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trato No 20\Mayo_2017\Hallazgos Plan de Mejora\2.1.4.2\Informe mensual de ejecución\"/>
    </mc:Choice>
  </mc:AlternateContent>
  <bookViews>
    <workbookView xWindow="0" yWindow="0" windowWidth="24000" windowHeight="8310"/>
  </bookViews>
  <sheets>
    <sheet name="TODO" sheetId="2" r:id="rId1"/>
    <sheet name="Grafica" sheetId="1" r:id="rId2"/>
    <sheet name="recurrencia" sheetId="3" r:id="rId3"/>
  </sheets>
  <definedNames>
    <definedName name="_xlnm._FilterDatabase" localSheetId="0" hidden="1">TODO!$B$7:$N$28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2" l="1"/>
  <c r="H8" i="2"/>
  <c r="G8" i="2"/>
  <c r="J22" i="2"/>
  <c r="J11" i="2"/>
  <c r="J13" i="2"/>
  <c r="L12" i="2" l="1"/>
  <c r="L19" i="2"/>
  <c r="L18" i="2"/>
  <c r="H13" i="2" l="1"/>
  <c r="H28" i="2"/>
  <c r="I13" i="2"/>
  <c r="I28" i="2"/>
  <c r="G21" i="2"/>
  <c r="G15" i="2"/>
  <c r="G9" i="2"/>
  <c r="J19" i="2"/>
  <c r="J20" i="2"/>
  <c r="J17" i="2"/>
  <c r="H19" i="2"/>
  <c r="L25" i="2"/>
  <c r="L16" i="2"/>
  <c r="L11" i="2"/>
  <c r="H15" i="2"/>
  <c r="H17" i="2"/>
  <c r="G22" i="2"/>
  <c r="G13" i="2"/>
  <c r="G11" i="2"/>
  <c r="G17" i="2"/>
  <c r="G16" i="2"/>
  <c r="H11" i="2"/>
  <c r="H22" i="2"/>
  <c r="H9" i="2"/>
  <c r="G20" i="2"/>
  <c r="G19" i="2"/>
  <c r="G18" i="2"/>
  <c r="H18" i="2"/>
  <c r="J25" i="2"/>
  <c r="H20" i="2"/>
  <c r="M27" i="2"/>
  <c r="K27" i="2"/>
  <c r="I27" i="2"/>
  <c r="G27" i="2"/>
  <c r="M26" i="2"/>
  <c r="K26" i="2"/>
  <c r="I26" i="2"/>
  <c r="H26" i="2"/>
  <c r="M25" i="2"/>
  <c r="K25" i="2"/>
  <c r="I25" i="2"/>
  <c r="H25" i="2"/>
  <c r="M24" i="2"/>
  <c r="K24" i="2"/>
  <c r="I24" i="2"/>
  <c r="M23" i="2"/>
  <c r="K23" i="2"/>
  <c r="I23" i="2"/>
  <c r="M22" i="2"/>
  <c r="K22" i="2"/>
  <c r="I22" i="2"/>
  <c r="M21" i="2"/>
  <c r="K21" i="2"/>
  <c r="I21" i="2"/>
  <c r="M20" i="2"/>
  <c r="K20" i="2"/>
  <c r="I20" i="2"/>
  <c r="M19" i="2"/>
  <c r="K19" i="2"/>
  <c r="I19" i="2"/>
  <c r="M18" i="2"/>
  <c r="K18" i="2"/>
  <c r="J18" i="2"/>
  <c r="I18" i="2"/>
  <c r="M17" i="2"/>
  <c r="K17" i="2"/>
  <c r="I17" i="2"/>
  <c r="M16" i="2"/>
  <c r="K16" i="2"/>
  <c r="I16" i="2"/>
  <c r="M15" i="2"/>
  <c r="K15" i="2"/>
  <c r="J15" i="2"/>
  <c r="I15" i="2"/>
  <c r="L14" i="2"/>
  <c r="J14" i="2"/>
  <c r="H14" i="2"/>
  <c r="G14" i="2"/>
  <c r="M13" i="2"/>
  <c r="K13" i="2"/>
  <c r="M12" i="2"/>
  <c r="K12" i="2"/>
  <c r="J12" i="2"/>
  <c r="I12" i="2"/>
  <c r="H12" i="2"/>
  <c r="M11" i="2"/>
  <c r="K11" i="2"/>
  <c r="I11" i="2"/>
  <c r="L10" i="2"/>
  <c r="J10" i="2"/>
  <c r="M10" i="2" s="1"/>
  <c r="H10" i="2"/>
  <c r="G10" i="2"/>
  <c r="M9" i="2"/>
  <c r="K9" i="2"/>
  <c r="I9" i="2"/>
  <c r="M8" i="2"/>
  <c r="K8" i="2"/>
  <c r="I8" i="2"/>
  <c r="J28" i="2"/>
  <c r="K14" i="2"/>
  <c r="I14" i="2"/>
  <c r="I10" i="2"/>
  <c r="K10" i="2"/>
  <c r="G28" i="2"/>
  <c r="M14" i="2"/>
  <c r="M28" i="2" l="1"/>
  <c r="K28" i="2"/>
  <c r="L28" i="2"/>
</calcChain>
</file>

<file path=xl/sharedStrings.xml><?xml version="1.0" encoding="utf-8"?>
<sst xmlns="http://schemas.openxmlformats.org/spreadsheetml/2006/main" count="140" uniqueCount="82">
  <si>
    <t>Datos Grafico</t>
  </si>
  <si>
    <t>Mes</t>
  </si>
  <si>
    <t>apro vigente</t>
  </si>
  <si>
    <t>Cdp's</t>
  </si>
  <si>
    <t>Crp</t>
  </si>
  <si>
    <t>Giro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</si>
  <si>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</si>
  <si>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</si>
  <si>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</si>
  <si>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</si>
  <si>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</si>
  <si>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</si>
  <si>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</si>
  <si>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</si>
  <si>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</si>
  <si>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</si>
  <si>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</si>
  <si>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</si>
  <si>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UNIDAD ADMINISTRATIVA ESPECIAL DE SERVICIOS PUBLICOS - UAESP</t>
  </si>
  <si>
    <r>
      <t>PROYECTO DE INVERSION:</t>
    </r>
    <r>
      <rPr>
        <sz val="24"/>
        <color theme="1"/>
        <rFont val="Calibri"/>
        <family val="2"/>
        <scheme val="minor"/>
      </rPr>
      <t xml:space="preserve"> 1042 FORTALECIMIENTO INSTITUCIONAL EN LA GESTION PÚBLICA</t>
    </r>
  </si>
  <si>
    <t xml:space="preserve">Fecha de Corte: </t>
  </si>
  <si>
    <t>CONCEPTO DEL GASTO</t>
  </si>
  <si>
    <t>APROPIACION VIGENTE
(1)</t>
  </si>
  <si>
    <t>CDPS EXPEDIDOS
(2)</t>
  </si>
  <si>
    <t>SALDO DISPONIBLE
(3)= (1)-(2)</t>
  </si>
  <si>
    <t>COMPROMISOS (CRP - REGISTROS)
(4)</t>
  </si>
  <si>
    <t>0833 - Reposición De Vehículos</t>
  </si>
  <si>
    <t>Se encuentra en proceso</t>
  </si>
  <si>
    <t>Se requieren recursos adicionales aprox. $700 millones</t>
  </si>
  <si>
    <r>
      <t xml:space="preserve">0011 - Equipos, Materiales, Suministros Y Servicios Para El Proceso De Gestión (SAF)
</t>
    </r>
    <r>
      <rPr>
        <sz val="11"/>
        <color theme="1"/>
        <rFont val="Gisha"/>
        <family val="2"/>
      </rPr>
      <t>- Mobiliario
-  Elementos</t>
    </r>
  </si>
  <si>
    <t>0011 - Equipos, Materiales, Suministros Y Servicios Para El Proceso De Gestión (TIC)</t>
  </si>
  <si>
    <t>0050 - Compras equipo, licencias y software</t>
  </si>
  <si>
    <t>0098 - Contratación De Personal Para El Apoyo A La Gestión</t>
  </si>
  <si>
    <t>0098 - Contratación De Personal Para El Apoyo A La Gestión (OAC)</t>
  </si>
  <si>
    <t>Se requieren $322,270,800 para realizar las prórrogas de los contratos de prestación de servicios.(hasta el mes de diciembre)</t>
  </si>
  <si>
    <t>0098 - Contratación De Personal Para El Apoyo A La Gestión (SAF)</t>
  </si>
  <si>
    <t>0098 - Contratación De Personal Para El Apoyo A La Gestión (GD)</t>
  </si>
  <si>
    <t>0098 - Contratación De Personal Para El Apoyo A La Gestión (SAL)</t>
  </si>
  <si>
    <t xml:space="preserve">Las necesidades requeridas ascienden a novecientos noventa y ocho millones seiscientos cincuenta y sieta mil trescientos treinta y dis pesos $998.657.332, lo cuales se representan en la continuidad de treinta (30) contratistas que prestan sus servicios a esta Subdirección </t>
  </si>
  <si>
    <t>0098 - Contratación De Personal Para El Apoyo A La Gestión (TIC)</t>
  </si>
  <si>
    <t>0098 - Contratación De Personal Para El Apoyo A La Gestión (OAP)</t>
  </si>
  <si>
    <t>0098 - Contratación De Personal Para El Apoyo A La Gestión (CI)</t>
  </si>
  <si>
    <t>0007 - Gastos de mantenimiento preventivo y correctivo de la infraestructura tecnológica y arrendamiento de equipos</t>
  </si>
  <si>
    <t>0002 - Arrendamiento De Inmuebles</t>
  </si>
  <si>
    <t>Arrendamiento inmueble custodia de archivo operadores en espera de propuestas proveedores</t>
  </si>
  <si>
    <t>0088 - Adquisción De Servicios De Aseo Y Cafetería Para Los Proyectos De La Entidad</t>
  </si>
  <si>
    <t>Pendiente proceso</t>
  </si>
  <si>
    <r>
      <t xml:space="preserve">0089 - Adquisición De Servicios De Transporte Para Apoyar El Desarrollo De Las Labores De Los Proyectos De La Entidad
</t>
    </r>
    <r>
      <rPr>
        <sz val="11"/>
        <color theme="1"/>
        <rFont val="Gisha"/>
        <family val="2"/>
      </rPr>
      <t>- Flotilla de transporte</t>
    </r>
  </si>
  <si>
    <t>Se realizo adición por un mes en tnato se inicia la nueva contratación</t>
  </si>
  <si>
    <t>0133 - Vigilancia</t>
  </si>
  <si>
    <t>Proceso de Vigilancia en curso</t>
  </si>
  <si>
    <t>0015 - Mejoramiento y mantenimiento de Sedes Administrativas</t>
  </si>
  <si>
    <t>Recursos para contrato de Mantenimiento y adecuación de la sede</t>
  </si>
  <si>
    <t>TOTAL PROYECTO</t>
  </si>
  <si>
    <r>
      <t xml:space="preserve">0169 - Gastos de divulgación institucional
</t>
    </r>
    <r>
      <rPr>
        <sz val="11"/>
        <color theme="1"/>
        <rFont val="Gisha"/>
        <family val="2"/>
      </rPr>
      <t>- Central de medios (pautas)
- Contrato de Logistica (eventos)</t>
    </r>
  </si>
  <si>
    <r>
      <t xml:space="preserve">0011 - Equipos, Materiales, Suministros Y Servicios Para El Proceso De Gestión (TIC)
</t>
    </r>
    <r>
      <rPr>
        <sz val="11"/>
        <color theme="1"/>
        <rFont val="Gisha"/>
        <family val="2"/>
      </rPr>
      <t xml:space="preserve">- Solución Integral de Telecomunicaciones
-Arrendamiento Datacenter </t>
    </r>
  </si>
  <si>
    <t>RECURRENCIA</t>
  </si>
  <si>
    <t>0169 - Gastos de divulgación institucional
- Central de medios (pautas)
- Contrato de Logistica (eventos)</t>
  </si>
  <si>
    <t xml:space="preserve">0011 - Equipos, Materiales, Suministros Y Servicios Para El Proceso De Gestión (TIC)
- Solución Integral de Telecomunicaciones
-Arrendamiento Datacenter </t>
  </si>
  <si>
    <t>0011 - Equipos, Materiales, Suministros Y Servicios Para El Proceso De Gestión (SAF)
- Mobiliario
-  Elementos</t>
  </si>
  <si>
    <t>0089 - Adquisición De Servicios De Transporte Para Apoyar El Desarrollo De Las Labores De Los Proyectos De La Entidad
- Flotilla de transporte</t>
  </si>
  <si>
    <t>DEPENDENCIA</t>
  </si>
  <si>
    <t>SAF</t>
  </si>
  <si>
    <t>TIC</t>
  </si>
  <si>
    <t>CI</t>
  </si>
  <si>
    <t>OAP</t>
  </si>
  <si>
    <t>SAL</t>
  </si>
  <si>
    <t>GD</t>
  </si>
  <si>
    <t>OAC</t>
  </si>
  <si>
    <t>0011 - Equipos, Materiales, Suministros Y Servicios Para El Proceso De Gestión</t>
  </si>
  <si>
    <t>PAGOS EFECTUADOS
(6)</t>
  </si>
  <si>
    <t>CDPS PENDIENTES POR COMPROMETER
(7) = (2) - (4)</t>
  </si>
  <si>
    <r>
      <t>OBSERVACIONES</t>
    </r>
    <r>
      <rPr>
        <sz val="12"/>
        <color theme="1"/>
        <rFont val="Calibri"/>
        <family val="2"/>
        <scheme val="minor"/>
      </rPr>
      <t xml:space="preserve"> (necesidades, justificación, requerimientos, $)</t>
    </r>
    <r>
      <rPr>
        <b/>
        <sz val="12"/>
        <color theme="1"/>
        <rFont val="Calibri"/>
        <family val="2"/>
        <scheme val="minor"/>
      </rPr>
      <t xml:space="preserve">
(8)</t>
    </r>
  </si>
  <si>
    <t>% DE EJECUCION
(5) = (4)/(1)</t>
  </si>
  <si>
    <t>META PROYECTO</t>
  </si>
  <si>
    <t>META PDD</t>
  </si>
  <si>
    <t>71-Incrementar a un 90% la sostenibilidad del SIG en el Gobierno Distrital</t>
  </si>
  <si>
    <t xml:space="preserve">6-Divulgar y posicionar en los  diferentes grupos de interes de la ciudad el 100% de los planes, programas y proyecto de la entidad </t>
  </si>
  <si>
    <t>1-Mejorar el 100% de la capacidad operativa y administrativa para el buen desarrollo organizacional de la Unidad</t>
  </si>
  <si>
    <t>2-Ejecutar 1 plan de innovación tecnológica</t>
  </si>
  <si>
    <t>4-Fortalecer y mantener  el  100%  de la memoria institucional de la Unidad y promoveer la cultura de cero papel.</t>
  </si>
  <si>
    <t>3-Desarrollar y fortalecer el modelo el transformación organizacional de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</si>
</sst>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  <numFmt numFmtId="166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Gisha"/>
      <family val="2"/>
    </font>
    <font>
      <sz val="11"/>
      <color theme="1"/>
      <name val="Gisha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1" applyNumberFormat="1" applyFont="1"/>
    <xf numFmtId="0" fontId="3" fillId="0" borderId="0" xfId="0" applyFont="1"/>
    <xf numFmtId="164" fontId="3" fillId="0" borderId="0" xfId="1" applyNumberFormat="1" applyFont="1"/>
    <xf numFmtId="0" fontId="2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14" fontId="6" fillId="0" borderId="0" xfId="0" quotePrefix="1" applyNumberFormat="1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2" fontId="8" fillId="2" borderId="1" xfId="0" quotePrefix="1" applyNumberFormat="1" applyFont="1" applyFill="1" applyBorder="1" applyAlignment="1">
      <alignment horizontal="left" vertical="top" wrapText="1"/>
    </xf>
    <xf numFmtId="165" fontId="8" fillId="2" borderId="1" xfId="2" applyNumberFormat="1" applyFont="1" applyFill="1" applyBorder="1" applyAlignment="1">
      <alignment horizontal="center" vertical="center" wrapText="1"/>
    </xf>
    <xf numFmtId="165" fontId="8" fillId="2" borderId="1" xfId="2" quotePrefix="1" applyNumberFormat="1" applyFont="1" applyFill="1" applyBorder="1" applyAlignment="1">
      <alignment horizontal="center" vertical="center" wrapText="1"/>
    </xf>
    <xf numFmtId="2" fontId="9" fillId="2" borderId="1" xfId="0" quotePrefix="1" applyNumberFormat="1" applyFont="1" applyFill="1" applyBorder="1" applyAlignment="1">
      <alignment horizontal="left" vertical="top" wrapText="1"/>
    </xf>
    <xf numFmtId="165" fontId="9" fillId="2" borderId="1" xfId="2" applyNumberFormat="1" applyFont="1" applyFill="1" applyBorder="1" applyAlignment="1">
      <alignment horizontal="center" vertical="center" wrapText="1"/>
    </xf>
    <xf numFmtId="165" fontId="9" fillId="2" borderId="1" xfId="2" quotePrefix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8" fillId="2" borderId="1" xfId="2" applyNumberFormat="1" applyFont="1" applyFill="1" applyBorder="1" applyAlignment="1">
      <alignment horizontal="center" vertical="center"/>
    </xf>
    <xf numFmtId="0" fontId="0" fillId="0" borderId="1" xfId="0" applyBorder="1"/>
    <xf numFmtId="2" fontId="8" fillId="2" borderId="1" xfId="0" quotePrefix="1" applyNumberFormat="1" applyFont="1" applyFill="1" applyBorder="1" applyAlignment="1">
      <alignment horizontal="justify" vertical="top"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left" wrapText="1"/>
    </xf>
    <xf numFmtId="0" fontId="7" fillId="0" borderId="1" xfId="0" applyFont="1" applyBorder="1" applyAlignment="1">
      <alignment horizontal="center" vertical="center" textRotation="90"/>
    </xf>
    <xf numFmtId="2" fontId="8" fillId="2" borderId="1" xfId="0" quotePrefix="1" applyNumberFormat="1" applyFont="1" applyFill="1" applyBorder="1" applyAlignment="1">
      <alignment horizontal="left" vertical="center" wrapText="1"/>
    </xf>
    <xf numFmtId="2" fontId="9" fillId="2" borderId="1" xfId="0" quotePrefix="1" applyNumberFormat="1" applyFont="1" applyFill="1" applyBorder="1" applyAlignment="1">
      <alignment horizontal="left" vertical="center" wrapText="1"/>
    </xf>
    <xf numFmtId="2" fontId="8" fillId="2" borderId="1" xfId="0" quotePrefix="1" applyNumberFormat="1" applyFont="1" applyFill="1" applyBorder="1" applyAlignment="1">
      <alignment horizontal="justify" vertical="center" wrapText="1"/>
    </xf>
    <xf numFmtId="1" fontId="8" fillId="2" borderId="1" xfId="0" quotePrefix="1" applyNumberFormat="1" applyFont="1" applyFill="1" applyBorder="1" applyAlignment="1">
      <alignment horizontal="center" vertical="center" wrapText="1"/>
    </xf>
    <xf numFmtId="1" fontId="9" fillId="2" borderId="1" xfId="0" quotePrefix="1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0" xfId="0" applyNumberFormat="1"/>
    <xf numFmtId="9" fontId="8" fillId="2" borderId="1" xfId="4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5">
    <cellStyle name="Millares 2" xfId="2"/>
    <cellStyle name="Millares 3" xfId="3"/>
    <cellStyle name="Moneda" xfId="1" builtinId="4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1042 FORTALECIMIENTO INSTITUCIONAL EN LA GESTION PÚBLICA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132742794774476E-2"/>
          <c:y val="0.11947301406703788"/>
          <c:w val="0.89808531040371442"/>
          <c:h val="0.68542157775935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Grafica!$C$9</c:f>
              <c:strCache>
                <c:ptCount val="1"/>
                <c:pt idx="0">
                  <c:v>apro vigente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C50-4EA7-8F5D-7845EEABE220}"/>
              </c:ext>
            </c:extLst>
          </c:dPt>
          <c:cat>
            <c:strRef>
              <c:f>Grafica!$B$10:$B$21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Grafica!$C$10:$C$21</c:f>
              <c:numCache>
                <c:formatCode>General</c:formatCode>
                <c:ptCount val="12"/>
                <c:pt idx="0">
                  <c:v>10924</c:v>
                </c:pt>
                <c:pt idx="1">
                  <c:v>10924</c:v>
                </c:pt>
                <c:pt idx="2">
                  <c:v>10924</c:v>
                </c:pt>
                <c:pt idx="3">
                  <c:v>10896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0-4EA7-8F5D-7845EEABE220}"/>
            </c:ext>
          </c:extLst>
        </c:ser>
        <c:ser>
          <c:idx val="1"/>
          <c:order val="1"/>
          <c:tx>
            <c:strRef>
              <c:f>Grafica!$D$9</c:f>
              <c:strCache>
                <c:ptCount val="1"/>
                <c:pt idx="0">
                  <c:v>Cdp's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4"/>
              </a:solidFill>
              <a:ln w="22225" cap="rnd" cmpd="sng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50-4EA7-8F5D-7845EEABE220}"/>
              </c:ext>
            </c:extLst>
          </c:dPt>
          <c:cat>
            <c:strRef>
              <c:f>Grafica!$B$10:$B$21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Grafica!$D$10:$D$21</c:f>
              <c:numCache>
                <c:formatCode>_("$"\ * #,##0_);_("$"\ * \(#,##0\);_("$"\ * "-"??_);_(@_)</c:formatCode>
                <c:ptCount val="12"/>
                <c:pt idx="0">
                  <c:v>6624</c:v>
                </c:pt>
                <c:pt idx="1">
                  <c:v>7063</c:v>
                </c:pt>
                <c:pt idx="2">
                  <c:v>9154</c:v>
                </c:pt>
                <c:pt idx="3">
                  <c:v>9279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50-4EA7-8F5D-7845EEABE220}"/>
            </c:ext>
          </c:extLst>
        </c:ser>
        <c:ser>
          <c:idx val="2"/>
          <c:order val="2"/>
          <c:tx>
            <c:strRef>
              <c:f>Grafica!$E$9</c:f>
              <c:strCache>
                <c:ptCount val="1"/>
                <c:pt idx="0">
                  <c:v>Crp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Grafica!$B$10:$B$21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Grafica!$E$10:$E$21</c:f>
              <c:numCache>
                <c:formatCode>_("$"\ * #,##0_);_("$"\ * \(#,##0\);_("$"\ * "-"??_);_(@_)</c:formatCode>
                <c:ptCount val="12"/>
                <c:pt idx="0">
                  <c:v>5439</c:v>
                </c:pt>
                <c:pt idx="1">
                  <c:v>6138</c:v>
                </c:pt>
                <c:pt idx="2">
                  <c:v>7679</c:v>
                </c:pt>
                <c:pt idx="3">
                  <c:v>8381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50-4EA7-8F5D-7845EEABE220}"/>
            </c:ext>
          </c:extLst>
        </c:ser>
        <c:ser>
          <c:idx val="3"/>
          <c:order val="3"/>
          <c:tx>
            <c:strRef>
              <c:f>Grafica!$F$9</c:f>
              <c:strCache>
                <c:ptCount val="1"/>
                <c:pt idx="0">
                  <c:v>Giro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Grafica!$B$10:$B$21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Grafica!$F$10:$F$21</c:f>
              <c:numCache>
                <c:formatCode>_("$"\ * #,##0_);_("$"\ * \(#,##0\);_("$"\ * "-"??_);_(@_)</c:formatCode>
                <c:ptCount val="12"/>
                <c:pt idx="0">
                  <c:v>0</c:v>
                </c:pt>
                <c:pt idx="1">
                  <c:v>402</c:v>
                </c:pt>
                <c:pt idx="2">
                  <c:v>1140</c:v>
                </c:pt>
                <c:pt idx="3">
                  <c:v>1916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50-4EA7-8F5D-7845EEABE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820912"/>
        <c:axId val="449422752"/>
      </c:barChart>
      <c:catAx>
        <c:axId val="316820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9422752"/>
        <c:crosses val="autoZero"/>
        <c:auto val="1"/>
        <c:lblAlgn val="ctr"/>
        <c:lblOffset val="100"/>
        <c:noMultiLvlLbl val="0"/>
      </c:catAx>
      <c:valAx>
        <c:axId val="449422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Millones de Pesos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6820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271462</xdr:colOff>
      <xdr:row>2</xdr:row>
      <xdr:rowOff>180980</xdr:rowOff>
    </xdr:from>
    <xdr:to>
      <xdr:col>18</xdr:col>
      <xdr:colOff>723900</xdr:colOff>
      <xdr:row>23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1"/>
  <sheetViews>
    <sheetView tabSelected="1" zoomScale="90" zoomScaleNormal="90" workbookViewId="0">
      <selection activeCell="F4" sqref="F4"/>
    </sheetView>
  </sheetViews>
  <sheetFormatPr baseColWidth="10" defaultColWidth="28.140625" defaultRowHeight="15" x14ac:dyDescent="0.25"/>
  <cols>
    <col min="1" max="3" width="12.42578125" customWidth="1"/>
    <col min="4" max="4" width="35.28515625" customWidth="1"/>
    <col min="5" max="5" width="6.85546875" customWidth="1"/>
    <col min="6" max="6" width="5.7109375" customWidth="1"/>
    <col min="11" max="11" width="19.28515625" customWidth="1"/>
    <col min="12" max="12" width="23.85546875" customWidth="1"/>
    <col min="13" max="13" width="27.28515625" customWidth="1"/>
    <col min="14" max="14" width="30.140625" customWidth="1"/>
  </cols>
  <sheetData>
    <row r="2" spans="1:14" ht="31.5" x14ac:dyDescent="0.5">
      <c r="D2" s="5" t="s">
        <v>18</v>
      </c>
      <c r="E2" s="5"/>
      <c r="F2" s="5"/>
    </row>
    <row r="3" spans="1:14" ht="31.5" x14ac:dyDescent="0.5">
      <c r="D3" s="6" t="s">
        <v>19</v>
      </c>
      <c r="E3" s="6"/>
      <c r="F3" s="6"/>
    </row>
    <row r="4" spans="1:14" ht="31.5" x14ac:dyDescent="0.5">
      <c r="D4" s="6" t="s">
        <v>20</v>
      </c>
      <c r="E4" s="6"/>
      <c r="F4" s="6"/>
      <c r="G4" s="7">
        <v>42855</v>
      </c>
    </row>
    <row r="6" spans="1:14" x14ac:dyDescent="0.25">
      <c r="G6" s="8"/>
      <c r="H6" s="8"/>
      <c r="N6" s="9"/>
    </row>
    <row r="7" spans="1:14" ht="78" x14ac:dyDescent="0.25">
      <c r="A7" s="35"/>
      <c r="B7" s="40" t="s">
        <v>75</v>
      </c>
      <c r="C7" s="41" t="s">
        <v>74</v>
      </c>
      <c r="D7" s="10" t="s">
        <v>21</v>
      </c>
      <c r="E7" s="29" t="s">
        <v>61</v>
      </c>
      <c r="F7" s="29" t="s">
        <v>56</v>
      </c>
      <c r="G7" s="11" t="s">
        <v>22</v>
      </c>
      <c r="H7" s="12" t="s">
        <v>23</v>
      </c>
      <c r="I7" s="12" t="s">
        <v>24</v>
      </c>
      <c r="J7" s="13" t="s">
        <v>25</v>
      </c>
      <c r="K7" s="13" t="s">
        <v>73</v>
      </c>
      <c r="L7" s="13" t="s">
        <v>70</v>
      </c>
      <c r="M7" s="13" t="s">
        <v>71</v>
      </c>
      <c r="N7" s="13" t="s">
        <v>72</v>
      </c>
    </row>
    <row r="8" spans="1:14" ht="25.5" customHeight="1" x14ac:dyDescent="0.25">
      <c r="A8" s="36"/>
      <c r="B8" s="42" t="s">
        <v>76</v>
      </c>
      <c r="C8" s="42" t="s">
        <v>78</v>
      </c>
      <c r="D8" s="14" t="s">
        <v>26</v>
      </c>
      <c r="E8" s="30" t="s">
        <v>62</v>
      </c>
      <c r="F8" s="33">
        <v>2</v>
      </c>
      <c r="G8" s="15">
        <f>505000000-27000000</f>
        <v>478000000</v>
      </c>
      <c r="H8" s="15">
        <f>400000000+27000000-27000000</f>
        <v>400000000</v>
      </c>
      <c r="I8" s="16">
        <f>+G8-H8</f>
        <v>78000000</v>
      </c>
      <c r="J8" s="15">
        <v>353671390</v>
      </c>
      <c r="K8" s="39">
        <f>+J8/G8</f>
        <v>0.73989830543933055</v>
      </c>
      <c r="L8" s="15">
        <v>0</v>
      </c>
      <c r="M8" s="16">
        <f t="shared" ref="M8:M27" si="0">+H8-J8</f>
        <v>46328610</v>
      </c>
      <c r="N8" s="16" t="s">
        <v>27</v>
      </c>
    </row>
    <row r="9" spans="1:14" ht="65.25" customHeight="1" x14ac:dyDescent="0.25">
      <c r="A9" s="36"/>
      <c r="B9" s="42" t="s">
        <v>76</v>
      </c>
      <c r="C9" s="42" t="s">
        <v>77</v>
      </c>
      <c r="D9" s="14" t="s">
        <v>54</v>
      </c>
      <c r="E9" s="30" t="s">
        <v>68</v>
      </c>
      <c r="F9" s="33">
        <v>0</v>
      </c>
      <c r="G9" s="15">
        <f>300000000-289431000</f>
        <v>10569000</v>
      </c>
      <c r="H9" s="15">
        <f>160569000-150000000</f>
        <v>10569000</v>
      </c>
      <c r="I9" s="16">
        <f t="shared" ref="I9:I27" si="1">+G9-H9</f>
        <v>0</v>
      </c>
      <c r="J9" s="15">
        <v>10569000</v>
      </c>
      <c r="K9" s="39">
        <f t="shared" ref="K9:K28" si="2">+J9/G9</f>
        <v>1</v>
      </c>
      <c r="L9" s="15">
        <v>0</v>
      </c>
      <c r="M9" s="16">
        <f t="shared" si="0"/>
        <v>0</v>
      </c>
      <c r="N9" s="16" t="s">
        <v>28</v>
      </c>
    </row>
    <row r="10" spans="1:14" ht="45" x14ac:dyDescent="0.25">
      <c r="A10" s="36"/>
      <c r="B10" s="43"/>
      <c r="C10" s="43"/>
      <c r="D10" s="14" t="s">
        <v>69</v>
      </c>
      <c r="E10" s="30"/>
      <c r="F10" s="33">
        <v>0</v>
      </c>
      <c r="G10" s="15">
        <f>+G11+G12</f>
        <v>815404402</v>
      </c>
      <c r="H10" s="15">
        <f>+H11+H12</f>
        <v>608604230</v>
      </c>
      <c r="I10" s="16">
        <f t="shared" si="1"/>
        <v>206800172</v>
      </c>
      <c r="J10" s="15">
        <f>+J11+J12</f>
        <v>560850649</v>
      </c>
      <c r="K10" s="39">
        <f t="shared" si="2"/>
        <v>0.68781901057237604</v>
      </c>
      <c r="L10" s="15">
        <f>+L11+L12</f>
        <v>78773606</v>
      </c>
      <c r="M10" s="16">
        <f t="shared" si="0"/>
        <v>47753581</v>
      </c>
      <c r="N10" s="16"/>
    </row>
    <row r="11" spans="1:14" ht="88.5" customHeight="1" x14ac:dyDescent="0.25">
      <c r="A11" s="36"/>
      <c r="B11" s="42" t="s">
        <v>76</v>
      </c>
      <c r="C11" s="42" t="s">
        <v>79</v>
      </c>
      <c r="D11" s="14" t="s">
        <v>55</v>
      </c>
      <c r="E11" s="30" t="s">
        <v>63</v>
      </c>
      <c r="F11" s="33">
        <v>0</v>
      </c>
      <c r="G11" s="15">
        <f>1020609860-127905242-184562216</f>
        <v>708142402</v>
      </c>
      <c r="H11" s="15">
        <f>384356779+208628182-47746919+12904360</f>
        <v>558142402</v>
      </c>
      <c r="I11" s="16">
        <f t="shared" si="1"/>
        <v>150000000</v>
      </c>
      <c r="J11" s="15">
        <f>283489320+208628182+5366960+12904360</f>
        <v>510388822</v>
      </c>
      <c r="K11" s="39">
        <f t="shared" si="2"/>
        <v>0.72074320159125282</v>
      </c>
      <c r="L11" s="15">
        <f>10805960+12958065+5366960</f>
        <v>29130985</v>
      </c>
      <c r="M11" s="16">
        <f t="shared" si="0"/>
        <v>47753580</v>
      </c>
      <c r="N11" s="16"/>
    </row>
    <row r="12" spans="1:14" ht="78.75" customHeight="1" x14ac:dyDescent="0.25">
      <c r="A12" s="36"/>
      <c r="B12" s="42" t="s">
        <v>76</v>
      </c>
      <c r="C12" s="42" t="s">
        <v>78</v>
      </c>
      <c r="D12" s="14" t="s">
        <v>29</v>
      </c>
      <c r="E12" s="30" t="s">
        <v>62</v>
      </c>
      <c r="F12" s="33">
        <v>0</v>
      </c>
      <c r="G12" s="15">
        <v>107262000</v>
      </c>
      <c r="H12" s="15">
        <f>3344616+30725116+16392096</f>
        <v>50461828</v>
      </c>
      <c r="I12" s="16">
        <f t="shared" si="1"/>
        <v>56800172</v>
      </c>
      <c r="J12" s="15">
        <f>3344616+30725116+9552360+6839735</f>
        <v>50461827</v>
      </c>
      <c r="K12" s="39">
        <f t="shared" si="2"/>
        <v>0.47045390725513231</v>
      </c>
      <c r="L12" s="15">
        <f>42802886+6839735</f>
        <v>49642621</v>
      </c>
      <c r="M12" s="16">
        <f t="shared" si="0"/>
        <v>1</v>
      </c>
      <c r="N12" s="16"/>
    </row>
    <row r="13" spans="1:14" ht="34.5" customHeight="1" x14ac:dyDescent="0.25">
      <c r="A13" s="36"/>
      <c r="B13" s="42" t="s">
        <v>76</v>
      </c>
      <c r="C13" s="42" t="s">
        <v>79</v>
      </c>
      <c r="D13" s="14" t="s">
        <v>31</v>
      </c>
      <c r="E13" s="30" t="s">
        <v>63</v>
      </c>
      <c r="F13" s="33">
        <v>0</v>
      </c>
      <c r="G13" s="15">
        <f>470000000-12000000+184562216</f>
        <v>642562216</v>
      </c>
      <c r="H13" s="15">
        <f>34493430+148443755-141602305+141602305+7991870-6841450</f>
        <v>184087605</v>
      </c>
      <c r="I13" s="16">
        <f t="shared" si="1"/>
        <v>458474611</v>
      </c>
      <c r="J13" s="15">
        <f>17340680+126026052</f>
        <v>143366732</v>
      </c>
      <c r="K13" s="39">
        <f t="shared" si="2"/>
        <v>0.22311727709803592</v>
      </c>
      <c r="L13" s="15"/>
      <c r="M13" s="16">
        <f t="shared" si="0"/>
        <v>40720873</v>
      </c>
      <c r="N13" s="16"/>
    </row>
    <row r="14" spans="1:14" ht="30" x14ac:dyDescent="0.25">
      <c r="A14" s="36"/>
      <c r="B14" s="43"/>
      <c r="C14" s="43"/>
      <c r="D14" s="14" t="s">
        <v>32</v>
      </c>
      <c r="E14" s="30"/>
      <c r="F14" s="33">
        <v>1</v>
      </c>
      <c r="G14" s="15">
        <f>SUM(G15:G21)</f>
        <v>6744809974</v>
      </c>
      <c r="H14" s="15">
        <f>SUM(H15:H21)</f>
        <v>6317917181</v>
      </c>
      <c r="I14" s="16">
        <f t="shared" si="1"/>
        <v>426892793</v>
      </c>
      <c r="J14" s="15">
        <f>SUM(J15:J21)</f>
        <v>6095255378</v>
      </c>
      <c r="K14" s="39">
        <f t="shared" si="2"/>
        <v>0.90369564175952866</v>
      </c>
      <c r="L14" s="15">
        <f>SUM(L15:L21)</f>
        <v>1685537698</v>
      </c>
      <c r="M14" s="16">
        <f t="shared" si="0"/>
        <v>222661803</v>
      </c>
      <c r="N14" s="16"/>
    </row>
    <row r="15" spans="1:14" ht="34.5" customHeight="1" x14ac:dyDescent="0.25">
      <c r="A15" s="36"/>
      <c r="B15" s="42" t="s">
        <v>76</v>
      </c>
      <c r="C15" s="42" t="s">
        <v>77</v>
      </c>
      <c r="D15" s="17" t="s">
        <v>33</v>
      </c>
      <c r="E15" s="31" t="s">
        <v>68</v>
      </c>
      <c r="F15" s="34">
        <v>1</v>
      </c>
      <c r="G15" s="18">
        <f>673968000+255000000+289431000-45000000</f>
        <v>1173399000</v>
      </c>
      <c r="H15" s="18">
        <f>663381600+156600000</f>
        <v>819981600</v>
      </c>
      <c r="I15" s="19">
        <f t="shared" si="1"/>
        <v>353417400</v>
      </c>
      <c r="J15" s="18">
        <f>620541600+42840000</f>
        <v>663381600</v>
      </c>
      <c r="K15" s="39">
        <f t="shared" si="2"/>
        <v>0.56535040510516887</v>
      </c>
      <c r="L15" s="18">
        <v>253030062</v>
      </c>
      <c r="M15" s="19">
        <f t="shared" si="0"/>
        <v>156600000</v>
      </c>
      <c r="N15" s="19" t="s">
        <v>34</v>
      </c>
    </row>
    <row r="16" spans="1:14" ht="35.25" customHeight="1" x14ac:dyDescent="0.25">
      <c r="A16" s="36"/>
      <c r="B16" s="42" t="s">
        <v>76</v>
      </c>
      <c r="C16" s="44" t="s">
        <v>80</v>
      </c>
      <c r="D16" s="17" t="s">
        <v>35</v>
      </c>
      <c r="E16" s="31" t="s">
        <v>62</v>
      </c>
      <c r="F16" s="34">
        <v>1</v>
      </c>
      <c r="G16" s="18">
        <f>1145000000+75000000-5083142</f>
        <v>1214916858</v>
      </c>
      <c r="H16" s="18">
        <v>1208532259</v>
      </c>
      <c r="I16" s="19">
        <f t="shared" si="1"/>
        <v>6384599</v>
      </c>
      <c r="J16" s="18">
        <v>1205948925</v>
      </c>
      <c r="K16" s="39">
        <f t="shared" si="2"/>
        <v>0.99261848007051035</v>
      </c>
      <c r="L16" s="18">
        <f>173394071+111955651</f>
        <v>285349722</v>
      </c>
      <c r="M16" s="19">
        <f t="shared" si="0"/>
        <v>2583334</v>
      </c>
      <c r="N16" s="16"/>
    </row>
    <row r="17" spans="1:14" ht="36.75" customHeight="1" x14ac:dyDescent="0.25">
      <c r="A17" s="36"/>
      <c r="B17" s="42" t="s">
        <v>76</v>
      </c>
      <c r="C17" s="42" t="s">
        <v>80</v>
      </c>
      <c r="D17" s="17" t="s">
        <v>36</v>
      </c>
      <c r="E17" s="31" t="s">
        <v>67</v>
      </c>
      <c r="F17" s="34">
        <v>1</v>
      </c>
      <c r="G17" s="18">
        <f>500000000-26253026+5083142</f>
        <v>478830116</v>
      </c>
      <c r="H17" s="18">
        <f>133912980+326917136+18000000</f>
        <v>478830116</v>
      </c>
      <c r="I17" s="19">
        <f t="shared" si="1"/>
        <v>0</v>
      </c>
      <c r="J17" s="18">
        <f>354763681+19266666+19266666+19266666+18733333+19000000+9066667+17733333</f>
        <v>477097012</v>
      </c>
      <c r="K17" s="39">
        <f t="shared" si="2"/>
        <v>0.99638054512009855</v>
      </c>
      <c r="L17" s="18">
        <f>101586729+1080000+3226667</f>
        <v>105893396</v>
      </c>
      <c r="M17" s="19">
        <f t="shared" si="0"/>
        <v>1733104</v>
      </c>
      <c r="N17" s="16"/>
    </row>
    <row r="18" spans="1:14" ht="150" x14ac:dyDescent="0.25">
      <c r="A18" s="36"/>
      <c r="B18" s="42" t="s">
        <v>76</v>
      </c>
      <c r="C18" s="42" t="s">
        <v>81</v>
      </c>
      <c r="D18" s="17" t="s">
        <v>37</v>
      </c>
      <c r="E18" s="31" t="s">
        <v>66</v>
      </c>
      <c r="F18" s="34">
        <v>1</v>
      </c>
      <c r="G18" s="18">
        <f>1891802000-21000000</f>
        <v>1870802000</v>
      </c>
      <c r="H18" s="18">
        <f>1890394664-16720000-4760000</f>
        <v>1868914664</v>
      </c>
      <c r="I18" s="19">
        <f t="shared" si="1"/>
        <v>1887336</v>
      </c>
      <c r="J18" s="18">
        <f>1702314664+166600000</f>
        <v>1868914664</v>
      </c>
      <c r="K18" s="39">
        <f t="shared" si="2"/>
        <v>0.99899116207915106</v>
      </c>
      <c r="L18" s="18">
        <f>406953599+235111000+5000000</f>
        <v>647064599</v>
      </c>
      <c r="M18" s="19">
        <f t="shared" si="0"/>
        <v>0</v>
      </c>
      <c r="N18" s="20" t="s">
        <v>38</v>
      </c>
    </row>
    <row r="19" spans="1:14" ht="35.25" customHeight="1" x14ac:dyDescent="0.25">
      <c r="A19" s="36"/>
      <c r="B19" s="42" t="s">
        <v>76</v>
      </c>
      <c r="C19" s="42" t="s">
        <v>79</v>
      </c>
      <c r="D19" s="17" t="s">
        <v>39</v>
      </c>
      <c r="E19" s="31" t="s">
        <v>63</v>
      </c>
      <c r="F19" s="34">
        <v>1</v>
      </c>
      <c r="G19" s="18">
        <f>1180862000-7000000</f>
        <v>1173862000</v>
      </c>
      <c r="H19" s="18">
        <f>1110277886+5387200-10300010+67830000-5387200</f>
        <v>1167807876</v>
      </c>
      <c r="I19" s="19">
        <f t="shared" si="1"/>
        <v>6054124</v>
      </c>
      <c r="J19" s="18">
        <f>1099977876+67830000-59448698</f>
        <v>1108359178</v>
      </c>
      <c r="K19" s="39">
        <f t="shared" si="2"/>
        <v>0.94419887346212761</v>
      </c>
      <c r="L19" s="18">
        <f>220701787+10138800</f>
        <v>230840587</v>
      </c>
      <c r="M19" s="19">
        <f t="shared" si="0"/>
        <v>59448698</v>
      </c>
      <c r="N19" s="16"/>
    </row>
    <row r="20" spans="1:14" ht="32.25" customHeight="1" x14ac:dyDescent="0.25">
      <c r="A20" s="36"/>
      <c r="B20" s="42" t="s">
        <v>76</v>
      </c>
      <c r="C20" s="42" t="s">
        <v>81</v>
      </c>
      <c r="D20" s="17" t="s">
        <v>40</v>
      </c>
      <c r="E20" s="31" t="s">
        <v>65</v>
      </c>
      <c r="F20" s="34">
        <v>1</v>
      </c>
      <c r="G20" s="18">
        <f>940000000-75000000-130000000</f>
        <v>735000000</v>
      </c>
      <c r="H20" s="18">
        <f>789556666+110200000-218500000-176000-1230000+30000000+11000000</f>
        <v>720850666</v>
      </c>
      <c r="I20" s="19">
        <f t="shared" si="1"/>
        <v>14149334</v>
      </c>
      <c r="J20" s="18">
        <f>709850666+11000000</f>
        <v>720850666</v>
      </c>
      <c r="K20" s="39">
        <f t="shared" si="2"/>
        <v>0.98074920544217692</v>
      </c>
      <c r="L20" s="18">
        <v>160532666</v>
      </c>
      <c r="M20" s="19">
        <f t="shared" si="0"/>
        <v>0</v>
      </c>
      <c r="N20" s="16"/>
    </row>
    <row r="21" spans="1:14" ht="35.25" customHeight="1" x14ac:dyDescent="0.25">
      <c r="A21" s="36"/>
      <c r="B21" s="42" t="s">
        <v>76</v>
      </c>
      <c r="C21" s="42" t="s">
        <v>81</v>
      </c>
      <c r="D21" s="17" t="s">
        <v>41</v>
      </c>
      <c r="E21" s="31" t="s">
        <v>64</v>
      </c>
      <c r="F21" s="34">
        <v>1</v>
      </c>
      <c r="G21" s="18">
        <f>150000000-97000000+45000000</f>
        <v>98000000</v>
      </c>
      <c r="H21" s="18">
        <v>53000000</v>
      </c>
      <c r="I21" s="19">
        <f t="shared" si="1"/>
        <v>45000000</v>
      </c>
      <c r="J21" s="18">
        <v>50703333</v>
      </c>
      <c r="K21" s="39">
        <f t="shared" si="2"/>
        <v>0.51738094897959186</v>
      </c>
      <c r="L21" s="18">
        <v>2826666</v>
      </c>
      <c r="M21" s="19">
        <f t="shared" si="0"/>
        <v>2296667</v>
      </c>
      <c r="N21" s="16"/>
    </row>
    <row r="22" spans="1:14" ht="63" customHeight="1" x14ac:dyDescent="0.25">
      <c r="A22" s="36"/>
      <c r="B22" s="42" t="s">
        <v>76</v>
      </c>
      <c r="C22" s="42" t="s">
        <v>79</v>
      </c>
      <c r="D22" s="14" t="s">
        <v>42</v>
      </c>
      <c r="E22" s="30" t="s">
        <v>63</v>
      </c>
      <c r="F22" s="33">
        <v>0</v>
      </c>
      <c r="G22" s="15">
        <f>1301390147-7+127905242</f>
        <v>1429295382</v>
      </c>
      <c r="H22" s="15">
        <f>432476638-213116910+12580190-36531024+983886488</f>
        <v>1179295382</v>
      </c>
      <c r="I22" s="16">
        <f t="shared" si="1"/>
        <v>250000000</v>
      </c>
      <c r="J22" s="15">
        <f>195408894+461962296</f>
        <v>657371190</v>
      </c>
      <c r="K22" s="39">
        <f t="shared" si="2"/>
        <v>0.45992675711310738</v>
      </c>
      <c r="L22" s="15">
        <v>77194342</v>
      </c>
      <c r="M22" s="16">
        <f t="shared" si="0"/>
        <v>521924192</v>
      </c>
      <c r="N22" s="16"/>
    </row>
    <row r="23" spans="1:14" ht="37.5" customHeight="1" x14ac:dyDescent="0.25">
      <c r="A23" s="36"/>
      <c r="B23" s="42" t="s">
        <v>76</v>
      </c>
      <c r="C23" s="42" t="s">
        <v>80</v>
      </c>
      <c r="D23" s="14" t="s">
        <v>43</v>
      </c>
      <c r="E23" s="30" t="s">
        <v>62</v>
      </c>
      <c r="F23" s="33">
        <v>3</v>
      </c>
      <c r="G23" s="15">
        <v>150000000</v>
      </c>
      <c r="H23" s="15"/>
      <c r="I23" s="16">
        <f t="shared" si="1"/>
        <v>150000000</v>
      </c>
      <c r="J23" s="15"/>
      <c r="K23" s="39">
        <f t="shared" si="2"/>
        <v>0</v>
      </c>
      <c r="L23" s="15"/>
      <c r="M23" s="16">
        <f t="shared" si="0"/>
        <v>0</v>
      </c>
      <c r="N23" s="19" t="s">
        <v>44</v>
      </c>
    </row>
    <row r="24" spans="1:14" ht="51.75" customHeight="1" x14ac:dyDescent="0.25">
      <c r="A24" s="36"/>
      <c r="B24" s="42" t="s">
        <v>76</v>
      </c>
      <c r="C24" s="42" t="s">
        <v>78</v>
      </c>
      <c r="D24" s="14" t="s">
        <v>45</v>
      </c>
      <c r="E24" s="30" t="s">
        <v>62</v>
      </c>
      <c r="F24" s="33">
        <v>2</v>
      </c>
      <c r="G24" s="15">
        <v>160000000</v>
      </c>
      <c r="H24" s="15">
        <v>160000000</v>
      </c>
      <c r="I24" s="16">
        <f t="shared" si="1"/>
        <v>0</v>
      </c>
      <c r="J24" s="15">
        <v>141285857</v>
      </c>
      <c r="K24" s="39">
        <f t="shared" si="2"/>
        <v>0.88303660625000002</v>
      </c>
      <c r="L24" s="15"/>
      <c r="M24" s="16">
        <f t="shared" si="0"/>
        <v>18714143</v>
      </c>
      <c r="N24" s="19" t="s">
        <v>46</v>
      </c>
    </row>
    <row r="25" spans="1:14" ht="80.25" customHeight="1" x14ac:dyDescent="0.25">
      <c r="A25" s="36"/>
      <c r="B25" s="42" t="s">
        <v>76</v>
      </c>
      <c r="C25" s="42" t="s">
        <v>78</v>
      </c>
      <c r="D25" s="14" t="s">
        <v>47</v>
      </c>
      <c r="E25" s="30" t="s">
        <v>62</v>
      </c>
      <c r="F25" s="33">
        <v>2</v>
      </c>
      <c r="G25" s="21">
        <v>80000000</v>
      </c>
      <c r="H25" s="21">
        <f>20608008+43288000</f>
        <v>63896008</v>
      </c>
      <c r="I25" s="21">
        <f t="shared" si="1"/>
        <v>16103992</v>
      </c>
      <c r="J25" s="21">
        <f>20608008+43288000</f>
        <v>63896008</v>
      </c>
      <c r="K25" s="39">
        <f t="shared" si="2"/>
        <v>0.79870010000000002</v>
      </c>
      <c r="L25" s="21">
        <f>5884258+14723750</f>
        <v>20608008</v>
      </c>
      <c r="M25" s="16">
        <f t="shared" si="0"/>
        <v>0</v>
      </c>
      <c r="N25" s="19" t="s">
        <v>48</v>
      </c>
    </row>
    <row r="26" spans="1:14" ht="29.25" customHeight="1" x14ac:dyDescent="0.25">
      <c r="A26" s="36"/>
      <c r="B26" s="42" t="s">
        <v>76</v>
      </c>
      <c r="C26" s="42" t="s">
        <v>78</v>
      </c>
      <c r="D26" s="23" t="s">
        <v>49</v>
      </c>
      <c r="E26" s="32" t="s">
        <v>62</v>
      </c>
      <c r="F26" s="33">
        <v>3</v>
      </c>
      <c r="G26" s="21">
        <v>260000000</v>
      </c>
      <c r="H26" s="21">
        <f>260000000-31425806</f>
        <v>228574194</v>
      </c>
      <c r="I26" s="21">
        <f t="shared" si="1"/>
        <v>31425806</v>
      </c>
      <c r="J26" s="21">
        <v>228574194</v>
      </c>
      <c r="K26" s="39">
        <f t="shared" si="2"/>
        <v>0.87913151538461543</v>
      </c>
      <c r="L26" s="21">
        <v>54339153</v>
      </c>
      <c r="M26" s="16">
        <f t="shared" si="0"/>
        <v>0</v>
      </c>
      <c r="N26" s="19" t="s">
        <v>50</v>
      </c>
    </row>
    <row r="27" spans="1:14" ht="54" customHeight="1" x14ac:dyDescent="0.25">
      <c r="A27" s="36"/>
      <c r="B27" s="42" t="s">
        <v>76</v>
      </c>
      <c r="C27" s="42" t="s">
        <v>78</v>
      </c>
      <c r="D27" s="23" t="s">
        <v>51</v>
      </c>
      <c r="E27" s="32" t="s">
        <v>62</v>
      </c>
      <c r="F27" s="33">
        <v>1</v>
      </c>
      <c r="G27" s="21">
        <f>100000000+26253026</f>
        <v>126253026</v>
      </c>
      <c r="H27" s="21">
        <v>126253026</v>
      </c>
      <c r="I27" s="21">
        <f t="shared" si="1"/>
        <v>0</v>
      </c>
      <c r="J27" s="21">
        <v>126253026</v>
      </c>
      <c r="K27" s="39">
        <f t="shared" si="2"/>
        <v>1</v>
      </c>
      <c r="L27" s="22">
        <v>0</v>
      </c>
      <c r="M27" s="16">
        <f t="shared" si="0"/>
        <v>0</v>
      </c>
      <c r="N27" s="19" t="s">
        <v>52</v>
      </c>
    </row>
    <row r="28" spans="1:14" x14ac:dyDescent="0.25">
      <c r="A28" s="37"/>
      <c r="B28" s="37"/>
      <c r="C28" s="37"/>
      <c r="D28" s="23" t="s">
        <v>53</v>
      </c>
      <c r="E28" s="23"/>
      <c r="F28" s="23"/>
      <c r="G28" s="21">
        <f>+G27+G26+G25+G24+G23+G22+G14+G13+G10+G9+G8</f>
        <v>10896894000</v>
      </c>
      <c r="H28" s="21">
        <f t="shared" ref="H28:M28" si="3">+H27+H26+H25+H24+H23+H22+H14+H13+H10+H9+H8</f>
        <v>9279196626</v>
      </c>
      <c r="I28" s="21">
        <f t="shared" si="3"/>
        <v>1617697374</v>
      </c>
      <c r="J28" s="21">
        <f t="shared" si="3"/>
        <v>8381093424</v>
      </c>
      <c r="K28" s="39">
        <f t="shared" si="2"/>
        <v>0.76912681944047545</v>
      </c>
      <c r="L28" s="21">
        <f t="shared" si="3"/>
        <v>1916452807</v>
      </c>
      <c r="M28" s="21">
        <f t="shared" si="3"/>
        <v>898103202</v>
      </c>
      <c r="N28" s="22"/>
    </row>
    <row r="30" spans="1:14" x14ac:dyDescent="0.25">
      <c r="H30" s="38"/>
    </row>
    <row r="31" spans="1:14" x14ac:dyDescent="0.25">
      <c r="H31" s="38"/>
      <c r="J31" s="38"/>
      <c r="L31" s="38"/>
    </row>
    <row r="32" spans="1:14" x14ac:dyDescent="0.25">
      <c r="H32" s="38"/>
      <c r="J32" s="38"/>
      <c r="K32" s="38"/>
      <c r="L32" s="38"/>
    </row>
    <row r="33" spans="8:12" x14ac:dyDescent="0.25">
      <c r="H33" s="38"/>
      <c r="I33" s="38"/>
      <c r="L33" s="38"/>
    </row>
    <row r="37" spans="8:12" x14ac:dyDescent="0.25">
      <c r="L37" s="38"/>
    </row>
    <row r="41" spans="8:12" x14ac:dyDescent="0.25">
      <c r="L41" s="38"/>
    </row>
  </sheetData>
  <autoFilter ref="B7:N28"/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1"/>
  <sheetViews>
    <sheetView workbookViewId="0">
      <selection activeCell="D14" sqref="D14"/>
    </sheetView>
  </sheetViews>
  <sheetFormatPr baseColWidth="10" defaultRowHeight="15" x14ac:dyDescent="0.25"/>
  <cols>
    <col min="4" max="4" width="15.5703125" style="1" bestFit="1" customWidth="1"/>
    <col min="5" max="5" width="9.42578125" style="1" bestFit="1" customWidth="1"/>
    <col min="6" max="6" width="8.42578125" style="1" bestFit="1" customWidth="1"/>
  </cols>
  <sheetData>
    <row r="8" spans="2:6" x14ac:dyDescent="0.25">
      <c r="B8" t="s">
        <v>0</v>
      </c>
    </row>
    <row r="9" spans="2:6" x14ac:dyDescent="0.25"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0" spans="2:6" s="4" customFormat="1" x14ac:dyDescent="0.25">
      <c r="B10" s="2" t="s">
        <v>6</v>
      </c>
      <c r="C10" s="2">
        <v>10924</v>
      </c>
      <c r="D10" s="3">
        <v>6624</v>
      </c>
      <c r="E10" s="3">
        <v>5439</v>
      </c>
      <c r="F10" s="3">
        <v>0</v>
      </c>
    </row>
    <row r="11" spans="2:6" s="4" customFormat="1" x14ac:dyDescent="0.25">
      <c r="B11" s="2" t="s">
        <v>7</v>
      </c>
      <c r="C11" s="2">
        <v>10924</v>
      </c>
      <c r="D11" s="3">
        <v>7063</v>
      </c>
      <c r="E11" s="3">
        <v>6138</v>
      </c>
      <c r="F11" s="3">
        <v>402</v>
      </c>
    </row>
    <row r="12" spans="2:6" s="4" customFormat="1" x14ac:dyDescent="0.25">
      <c r="B12" s="2" t="s">
        <v>8</v>
      </c>
      <c r="C12" s="2">
        <v>10924</v>
      </c>
      <c r="D12" s="3">
        <v>9154</v>
      </c>
      <c r="E12" s="3">
        <v>7679</v>
      </c>
      <c r="F12" s="3">
        <v>1140</v>
      </c>
    </row>
    <row r="13" spans="2:6" s="4" customFormat="1" x14ac:dyDescent="0.25">
      <c r="B13" s="2" t="s">
        <v>9</v>
      </c>
      <c r="C13" s="2">
        <v>10896</v>
      </c>
      <c r="D13" s="3">
        <v>9279</v>
      </c>
      <c r="E13" s="3">
        <v>8381</v>
      </c>
      <c r="F13" s="3">
        <v>1916</v>
      </c>
    </row>
    <row r="14" spans="2:6" s="4" customFormat="1" x14ac:dyDescent="0.25">
      <c r="B14" s="2" t="s">
        <v>10</v>
      </c>
      <c r="C14" s="2"/>
      <c r="D14" s="3"/>
      <c r="E14" s="3"/>
      <c r="F14" s="3"/>
    </row>
    <row r="15" spans="2:6" s="4" customFormat="1" x14ac:dyDescent="0.25">
      <c r="B15" s="2" t="s">
        <v>11</v>
      </c>
      <c r="C15" s="2"/>
      <c r="D15" s="3"/>
      <c r="E15" s="3"/>
      <c r="F15" s="3"/>
    </row>
    <row r="16" spans="2:6" s="4" customFormat="1" x14ac:dyDescent="0.25">
      <c r="B16" s="2" t="s">
        <v>12</v>
      </c>
      <c r="C16" s="2"/>
      <c r="D16" s="3"/>
      <c r="E16" s="3"/>
      <c r="F16" s="3"/>
    </row>
    <row r="17" spans="2:6" s="4" customFormat="1" x14ac:dyDescent="0.25">
      <c r="B17" s="2" t="s">
        <v>13</v>
      </c>
      <c r="C17" s="2"/>
      <c r="D17" s="3"/>
      <c r="E17" s="3"/>
      <c r="F17" s="3"/>
    </row>
    <row r="18" spans="2:6" s="4" customFormat="1" x14ac:dyDescent="0.25">
      <c r="B18" s="2" t="s">
        <v>14</v>
      </c>
      <c r="C18" s="2"/>
      <c r="D18" s="3"/>
      <c r="E18" s="3"/>
      <c r="F18" s="3"/>
    </row>
    <row r="19" spans="2:6" s="4" customFormat="1" x14ac:dyDescent="0.25">
      <c r="B19" s="2" t="s">
        <v>15</v>
      </c>
      <c r="C19" s="2"/>
      <c r="D19" s="3"/>
      <c r="E19" s="3"/>
      <c r="F19" s="3"/>
    </row>
    <row r="20" spans="2:6" s="4" customFormat="1" x14ac:dyDescent="0.25">
      <c r="B20" s="2" t="s">
        <v>16</v>
      </c>
      <c r="C20" s="2"/>
      <c r="D20" s="3"/>
      <c r="E20" s="3"/>
      <c r="F20" s="3"/>
    </row>
    <row r="21" spans="2:6" s="4" customFormat="1" x14ac:dyDescent="0.25">
      <c r="B21" s="2" t="s">
        <v>17</v>
      </c>
      <c r="C21" s="2"/>
      <c r="D21" s="3"/>
      <c r="E21" s="3"/>
      <c r="F21" s="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24"/>
  <sheetViews>
    <sheetView workbookViewId="0">
      <selection activeCell="C2" sqref="C2:D25"/>
    </sheetView>
  </sheetViews>
  <sheetFormatPr baseColWidth="10" defaultRowHeight="15" x14ac:dyDescent="0.25"/>
  <cols>
    <col min="3" max="3" width="16" customWidth="1"/>
    <col min="4" max="4" width="94.28515625" customWidth="1"/>
  </cols>
  <sheetData>
    <row r="4" spans="3:5" x14ac:dyDescent="0.25">
      <c r="C4" s="24" t="s">
        <v>56</v>
      </c>
      <c r="D4" s="27" t="s">
        <v>21</v>
      </c>
      <c r="E4" s="4"/>
    </row>
    <row r="5" spans="3:5" x14ac:dyDescent="0.25">
      <c r="C5" s="26">
        <v>2</v>
      </c>
      <c r="D5" s="25" t="s">
        <v>26</v>
      </c>
    </row>
    <row r="6" spans="3:5" ht="45" x14ac:dyDescent="0.25">
      <c r="C6" s="26">
        <v>0</v>
      </c>
      <c r="D6" s="28" t="s">
        <v>57</v>
      </c>
    </row>
    <row r="7" spans="3:5" x14ac:dyDescent="0.25">
      <c r="C7" s="26">
        <v>0</v>
      </c>
      <c r="D7" s="25" t="s">
        <v>30</v>
      </c>
    </row>
    <row r="8" spans="3:5" ht="45" hidden="1" x14ac:dyDescent="0.25">
      <c r="C8" s="26"/>
      <c r="D8" s="25" t="s">
        <v>58</v>
      </c>
    </row>
    <row r="9" spans="3:5" ht="45" hidden="1" x14ac:dyDescent="0.25">
      <c r="C9" s="26"/>
      <c r="D9" s="25" t="s">
        <v>59</v>
      </c>
    </row>
    <row r="10" spans="3:5" x14ac:dyDescent="0.25">
      <c r="C10" s="26">
        <v>0</v>
      </c>
      <c r="D10" s="25" t="s">
        <v>31</v>
      </c>
    </row>
    <row r="11" spans="3:5" x14ac:dyDescent="0.25">
      <c r="C11" s="26">
        <v>1</v>
      </c>
      <c r="D11" s="25" t="s">
        <v>32</v>
      </c>
    </row>
    <row r="12" spans="3:5" hidden="1" x14ac:dyDescent="0.25">
      <c r="C12" s="26"/>
      <c r="D12" s="25" t="s">
        <v>33</v>
      </c>
    </row>
    <row r="13" spans="3:5" hidden="1" x14ac:dyDescent="0.25">
      <c r="C13" s="26"/>
      <c r="D13" s="25" t="s">
        <v>35</v>
      </c>
    </row>
    <row r="14" spans="3:5" hidden="1" x14ac:dyDescent="0.25">
      <c r="C14" s="26"/>
      <c r="D14" s="25" t="s">
        <v>36</v>
      </c>
    </row>
    <row r="15" spans="3:5" hidden="1" x14ac:dyDescent="0.25">
      <c r="C15" s="26"/>
      <c r="D15" s="25" t="s">
        <v>37</v>
      </c>
    </row>
    <row r="16" spans="3:5" hidden="1" x14ac:dyDescent="0.25">
      <c r="C16" s="26"/>
      <c r="D16" s="25" t="s">
        <v>39</v>
      </c>
    </row>
    <row r="17" spans="3:4" hidden="1" x14ac:dyDescent="0.25">
      <c r="C17" s="26"/>
      <c r="D17" s="25" t="s">
        <v>40</v>
      </c>
    </row>
    <row r="18" spans="3:4" hidden="1" x14ac:dyDescent="0.25">
      <c r="C18" s="26"/>
      <c r="D18" s="25" t="s">
        <v>41</v>
      </c>
    </row>
    <row r="19" spans="3:4" ht="30" x14ac:dyDescent="0.25">
      <c r="C19" s="26">
        <v>0</v>
      </c>
      <c r="D19" s="25" t="s">
        <v>42</v>
      </c>
    </row>
    <row r="20" spans="3:4" x14ac:dyDescent="0.25">
      <c r="C20" s="26">
        <v>3</v>
      </c>
      <c r="D20" s="25" t="s">
        <v>43</v>
      </c>
    </row>
    <row r="21" spans="3:4" x14ac:dyDescent="0.25">
      <c r="C21" s="26">
        <v>2</v>
      </c>
      <c r="D21" s="25" t="s">
        <v>45</v>
      </c>
    </row>
    <row r="22" spans="3:4" ht="45" x14ac:dyDescent="0.25">
      <c r="C22" s="26">
        <v>2</v>
      </c>
      <c r="D22" s="25" t="s">
        <v>60</v>
      </c>
    </row>
    <row r="23" spans="3:4" x14ac:dyDescent="0.25">
      <c r="C23" s="26">
        <v>3</v>
      </c>
      <c r="D23" s="25" t="s">
        <v>49</v>
      </c>
    </row>
    <row r="24" spans="3:4" x14ac:dyDescent="0.25">
      <c r="C24" s="26">
        <v>1</v>
      </c>
      <c r="D24" s="25" t="s">
        <v>51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TODO</vt:lpstr>
      <vt:lpstr>Grafica</vt:lpstr>
      <vt:lpstr>recurrencia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sjimenez</dc:creator>
  <cp:lastModifiedBy>mocastro</cp:lastModifiedBy>
  <cp:lastPrinted>2017-03-21T15:52:03Z</cp:lastPrinted>
  <dcterms:created xsi:type="dcterms:W3CDTF">2017-01-27T17:53:28Z</dcterms:created>
  <dcterms:modified xsi:type="dcterms:W3CDTF">2017-05-26T19:59:58Z</dcterms:modified>
</cp:coreProperties>
</file>