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Trabajo\lbarrios_BK\trabajo\LUISA BARRIOS\OFICINA\AÑO 2016\Planes de Acción 2016\PA 2016 BMPT\Seguimiento\Diciembre\"/>
    </mc:Choice>
  </mc:AlternateContent>
  <bookViews>
    <workbookView xWindow="0" yWindow="0" windowWidth="24000" windowHeight="8910" activeTab="5"/>
  </bookViews>
  <sheets>
    <sheet name="PAI-BMPT-Jul&amp;Agst" sheetId="3" r:id="rId1"/>
    <sheet name="PAI-BMPT-Sept" sheetId="1" r:id="rId2"/>
    <sheet name="PAI-BMPT-Oct" sheetId="4" r:id="rId3"/>
    <sheet name="PAI-BMPT-Nov" sheetId="5" r:id="rId4"/>
    <sheet name="PAI-BMPT-Dic" sheetId="6" r:id="rId5"/>
    <sheet name="Informe " sheetId="2" r:id="rId6"/>
  </sheets>
  <externalReferences>
    <externalReference r:id="rId7"/>
  </externalReferences>
  <definedNames>
    <definedName name="_xlnm._FilterDatabase" localSheetId="4" hidden="1">'PAI-BMPT-Dic'!$B$6:$AH$76</definedName>
    <definedName name="_xlnm._FilterDatabase" localSheetId="0" hidden="1">'PAI-BMPT-Jul&amp;Agst'!$B$6:$AH$76</definedName>
    <definedName name="_xlnm._FilterDatabase" localSheetId="3" hidden="1">'PAI-BMPT-Nov'!$B$6:$AH$76</definedName>
    <definedName name="_xlnm._FilterDatabase" localSheetId="2" hidden="1">'PAI-BMPT-Oct'!$B$6:$AH$76</definedName>
    <definedName name="_xlnm._FilterDatabase" localSheetId="1" hidden="1">'PAI-BMPT-Sept'!$B$6:$AH$76</definedName>
    <definedName name="_xlnm.Print_Area" localSheetId="5">'Informe '!$B$1:$N$88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1" i="6" l="1"/>
  <c r="AK8" i="6"/>
  <c r="D74" i="2" s="1"/>
  <c r="AL8" i="6"/>
  <c r="E74" i="2" s="1"/>
  <c r="AK9" i="6"/>
  <c r="D75" i="2" s="1"/>
  <c r="AL9" i="6"/>
  <c r="E75" i="2" s="1"/>
  <c r="AK10" i="6"/>
  <c r="D76" i="2" s="1"/>
  <c r="AL10" i="6"/>
  <c r="E76" i="2" s="1"/>
  <c r="AK11" i="6"/>
  <c r="D77" i="2" s="1"/>
  <c r="AL11" i="6"/>
  <c r="E77" i="2" s="1"/>
  <c r="AK12" i="6"/>
  <c r="D78" i="2" s="1"/>
  <c r="AL12" i="6"/>
  <c r="E78" i="2" s="1"/>
  <c r="AK13" i="6"/>
  <c r="D79" i="2" s="1"/>
  <c r="AL13" i="6"/>
  <c r="E79" i="2" s="1"/>
  <c r="AK14" i="6"/>
  <c r="D80" i="2" s="1"/>
  <c r="AL14" i="6"/>
  <c r="E80" i="2" s="1"/>
  <c r="AK15" i="6"/>
  <c r="D81" i="2" s="1"/>
  <c r="AL15" i="6"/>
  <c r="E81" i="2" s="1"/>
  <c r="AK16" i="6"/>
  <c r="D82" i="2" s="1"/>
  <c r="AL16" i="6"/>
  <c r="E82" i="2" s="1"/>
  <c r="AK17" i="6"/>
  <c r="D83" i="2" s="1"/>
  <c r="AL17" i="6"/>
  <c r="E83" i="2" s="1"/>
  <c r="AK18" i="6"/>
  <c r="D69" i="2" s="1"/>
  <c r="AL18" i="6"/>
  <c r="E69" i="2" s="1"/>
  <c r="AK19" i="6"/>
  <c r="D70" i="2" s="1"/>
  <c r="AL19" i="6"/>
  <c r="E70" i="2" s="1"/>
  <c r="AK20" i="6"/>
  <c r="D71" i="2" s="1"/>
  <c r="AL20" i="6"/>
  <c r="E71" i="2" s="1"/>
  <c r="AK21" i="6"/>
  <c r="D61" i="2" s="1"/>
  <c r="AL21" i="6"/>
  <c r="E61" i="2" s="1"/>
  <c r="AK22" i="6"/>
  <c r="D62" i="2" s="1"/>
  <c r="AL22" i="6"/>
  <c r="E62" i="2" s="1"/>
  <c r="AK23" i="6"/>
  <c r="D63" i="2" s="1"/>
  <c r="AL23" i="6"/>
  <c r="E63" i="2" s="1"/>
  <c r="AK24" i="6"/>
  <c r="D64" i="2" s="1"/>
  <c r="AL24" i="6"/>
  <c r="E64" i="2" s="1"/>
  <c r="AK25" i="6"/>
  <c r="D65" i="2" s="1"/>
  <c r="AL25" i="6"/>
  <c r="E65" i="2" s="1"/>
  <c r="AK26" i="6"/>
  <c r="D66" i="2" s="1"/>
  <c r="AL26" i="6"/>
  <c r="E66" i="2" s="1"/>
  <c r="AK27" i="6"/>
  <c r="D67" i="2" s="1"/>
  <c r="AL27" i="6"/>
  <c r="E67" i="2" s="1"/>
  <c r="AK28" i="6"/>
  <c r="D68" i="2" s="1"/>
  <c r="AL28" i="6"/>
  <c r="E68" i="2" s="1"/>
  <c r="AK29" i="6"/>
  <c r="D72" i="2" s="1"/>
  <c r="AL29" i="6"/>
  <c r="E72" i="2" s="1"/>
  <c r="AK30" i="6"/>
  <c r="D54" i="2" s="1"/>
  <c r="AL30" i="6"/>
  <c r="E54" i="2" s="1"/>
  <c r="AK31" i="6"/>
  <c r="D55" i="2" s="1"/>
  <c r="AL31" i="6"/>
  <c r="E55" i="2" s="1"/>
  <c r="AK32" i="6"/>
  <c r="D56" i="2" s="1"/>
  <c r="AL32" i="6"/>
  <c r="E56" i="2" s="1"/>
  <c r="AK33" i="6"/>
  <c r="D57" i="2" s="1"/>
  <c r="AL33" i="6"/>
  <c r="E57" i="2" s="1"/>
  <c r="AK34" i="6"/>
  <c r="D58" i="2" s="1"/>
  <c r="AL34" i="6"/>
  <c r="E58" i="2" s="1"/>
  <c r="AK35" i="6"/>
  <c r="D59" i="2" s="1"/>
  <c r="AL35" i="6"/>
  <c r="E59" i="2" s="1"/>
  <c r="AK36" i="6"/>
  <c r="D60" i="2" s="1"/>
  <c r="AL36" i="6"/>
  <c r="E60" i="2" s="1"/>
  <c r="AK37" i="6"/>
  <c r="D47" i="2" s="1"/>
  <c r="AL37" i="6"/>
  <c r="E47" i="2" s="1"/>
  <c r="AK38" i="6"/>
  <c r="D48" i="2" s="1"/>
  <c r="AL38" i="6"/>
  <c r="E48" i="2" s="1"/>
  <c r="AK39" i="6"/>
  <c r="D49" i="2" s="1"/>
  <c r="AL39" i="6"/>
  <c r="E49" i="2" s="1"/>
  <c r="AK40" i="6"/>
  <c r="D50" i="2" s="1"/>
  <c r="AL40" i="6"/>
  <c r="E50" i="2" s="1"/>
  <c r="AK41" i="6"/>
  <c r="D46" i="2" s="1"/>
  <c r="AL41" i="6"/>
  <c r="E46" i="2" s="1"/>
  <c r="AK42" i="6"/>
  <c r="D41" i="2" s="1"/>
  <c r="AL42" i="6"/>
  <c r="E41" i="2" s="1"/>
  <c r="AK43" i="6"/>
  <c r="D42" i="2" s="1"/>
  <c r="AL43" i="6"/>
  <c r="E42" i="2" s="1"/>
  <c r="AK44" i="6"/>
  <c r="D15" i="2" s="1"/>
  <c r="AL44" i="6"/>
  <c r="E15" i="2" s="1"/>
  <c r="AK45" i="6"/>
  <c r="D12" i="2" s="1"/>
  <c r="AL45" i="6"/>
  <c r="E12" i="2" s="1"/>
  <c r="AK46" i="6"/>
  <c r="D16" i="2" s="1"/>
  <c r="AL46" i="6"/>
  <c r="E16" i="2" s="1"/>
  <c r="AK47" i="6"/>
  <c r="D17" i="2" s="1"/>
  <c r="AL47" i="6"/>
  <c r="E17" i="2" s="1"/>
  <c r="AK48" i="6"/>
  <c r="D18" i="2" s="1"/>
  <c r="AL48" i="6"/>
  <c r="E18" i="2" s="1"/>
  <c r="AK49" i="6"/>
  <c r="D19" i="2" s="1"/>
  <c r="AL49" i="6"/>
  <c r="E19" i="2" s="1"/>
  <c r="AK50" i="6"/>
  <c r="D20" i="2" s="1"/>
  <c r="AL50" i="6"/>
  <c r="E20" i="2" s="1"/>
  <c r="AK51" i="6"/>
  <c r="D21" i="2" s="1"/>
  <c r="AL51" i="6"/>
  <c r="E21" i="2" s="1"/>
  <c r="AK52" i="6"/>
  <c r="D22" i="2" s="1"/>
  <c r="AL52" i="6"/>
  <c r="E22" i="2" s="1"/>
  <c r="AK53" i="6"/>
  <c r="D23" i="2" s="1"/>
  <c r="AL53" i="6"/>
  <c r="E23" i="2" s="1"/>
  <c r="AK54" i="6"/>
  <c r="D24" i="2" s="1"/>
  <c r="AL54" i="6"/>
  <c r="E24" i="2" s="1"/>
  <c r="AK55" i="6"/>
  <c r="D7" i="2" s="1"/>
  <c r="AL55" i="6"/>
  <c r="E7" i="2" s="1"/>
  <c r="AK56" i="6"/>
  <c r="D25" i="2" s="1"/>
  <c r="AL56" i="6"/>
  <c r="E25" i="2" s="1"/>
  <c r="AK57" i="6"/>
  <c r="D26" i="2" s="1"/>
  <c r="AL57" i="6"/>
  <c r="E26" i="2" s="1"/>
  <c r="AK58" i="6"/>
  <c r="D5" i="2" s="1"/>
  <c r="AL58" i="6"/>
  <c r="E5" i="2" s="1"/>
  <c r="AK59" i="6"/>
  <c r="D6" i="2" s="1"/>
  <c r="AL59" i="6"/>
  <c r="E6" i="2" s="1"/>
  <c r="AK60" i="6"/>
  <c r="D27" i="2" s="1"/>
  <c r="AL60" i="6"/>
  <c r="E27" i="2" s="1"/>
  <c r="AK61" i="6"/>
  <c r="D37" i="2" s="1"/>
  <c r="AL61" i="6"/>
  <c r="E37" i="2" s="1"/>
  <c r="AK62" i="6"/>
  <c r="D13" i="2" s="1"/>
  <c r="AL62" i="6"/>
  <c r="E13" i="2" s="1"/>
  <c r="AK63" i="6"/>
  <c r="D14" i="2" s="1"/>
  <c r="AL63" i="6"/>
  <c r="E14" i="2" s="1"/>
  <c r="AK64" i="6"/>
  <c r="D28" i="2" s="1"/>
  <c r="AL64" i="6"/>
  <c r="E28" i="2" s="1"/>
  <c r="AK65" i="6"/>
  <c r="D29" i="2" s="1"/>
  <c r="AL65" i="6"/>
  <c r="E29" i="2" s="1"/>
  <c r="AK66" i="6"/>
  <c r="D30" i="2" s="1"/>
  <c r="AL66" i="6"/>
  <c r="E30" i="2" s="1"/>
  <c r="AK67" i="6"/>
  <c r="D8" i="2" s="1"/>
  <c r="AL67" i="6"/>
  <c r="E8" i="2" s="1"/>
  <c r="AK68" i="6"/>
  <c r="D31" i="2" s="1"/>
  <c r="AL68" i="6"/>
  <c r="E31" i="2" s="1"/>
  <c r="AK69" i="6"/>
  <c r="D9" i="2" s="1"/>
  <c r="AL69" i="6"/>
  <c r="E9" i="2" s="1"/>
  <c r="AK70" i="6"/>
  <c r="D32" i="2" s="1"/>
  <c r="AL70" i="6"/>
  <c r="E32" i="2" s="1"/>
  <c r="AK71" i="6"/>
  <c r="D33" i="2" s="1"/>
  <c r="AL71" i="6"/>
  <c r="E33" i="2" s="1"/>
  <c r="AK72" i="6"/>
  <c r="D10" i="2" s="1"/>
  <c r="AL72" i="6"/>
  <c r="E10" i="2" s="1"/>
  <c r="AK73" i="6"/>
  <c r="D34" i="2" s="1"/>
  <c r="AL73" i="6"/>
  <c r="E34" i="2" s="1"/>
  <c r="AK74" i="6"/>
  <c r="D35" i="2" s="1"/>
  <c r="AL74" i="6"/>
  <c r="E35" i="2" s="1"/>
  <c r="AK75" i="6"/>
  <c r="D11" i="2" s="1"/>
  <c r="AL75" i="6"/>
  <c r="E11" i="2" s="1"/>
  <c r="AK76" i="6"/>
  <c r="D36" i="2" s="1"/>
  <c r="AL76" i="6"/>
  <c r="E36" i="2" s="1"/>
  <c r="AL7" i="6"/>
  <c r="AK7" i="6"/>
  <c r="AG71" i="6"/>
  <c r="F26" i="2" l="1"/>
  <c r="F30" i="2"/>
  <c r="F25" i="2"/>
  <c r="F69" i="2"/>
  <c r="F63" i="2"/>
  <c r="F21" i="2"/>
  <c r="D73" i="2"/>
  <c r="C88" i="2"/>
  <c r="E73" i="2"/>
  <c r="D88" i="2"/>
  <c r="F60" i="2"/>
  <c r="AG19" i="1" l="1"/>
  <c r="AG19" i="4" s="1"/>
  <c r="AG19" i="5" s="1"/>
  <c r="AG72" i="6"/>
  <c r="AG56" i="6" l="1"/>
  <c r="AG45" i="3"/>
  <c r="AG69" i="6"/>
  <c r="AG34" i="6" l="1"/>
  <c r="AG54" i="6" l="1"/>
  <c r="AG53" i="6"/>
  <c r="AG52" i="6"/>
  <c r="AG51" i="6"/>
  <c r="AG50" i="6"/>
  <c r="AG48" i="6"/>
  <c r="AG14" i="6" l="1"/>
  <c r="AG10" i="6"/>
  <c r="AG9" i="6"/>
  <c r="AG45" i="6" l="1"/>
  <c r="AG44" i="6"/>
  <c r="AG67" i="6" l="1"/>
  <c r="AG66" i="6"/>
  <c r="AG64" i="6"/>
  <c r="AG63" i="6"/>
  <c r="AG62" i="6"/>
  <c r="AG61" i="6"/>
  <c r="AG60" i="6"/>
  <c r="AG59" i="6"/>
  <c r="AG58" i="6"/>
  <c r="AG57" i="6"/>
  <c r="AF57" i="6"/>
  <c r="AG55" i="6"/>
  <c r="AG76" i="6" l="1"/>
  <c r="AG75" i="6"/>
  <c r="AG74" i="6"/>
  <c r="AG73" i="6"/>
  <c r="AG30" i="6" l="1"/>
  <c r="AG28" i="6"/>
  <c r="AG25" i="6"/>
  <c r="AG23" i="6"/>
  <c r="AG22" i="6"/>
  <c r="AG19" i="6"/>
  <c r="AG43" i="6" l="1"/>
  <c r="AG42" i="6"/>
  <c r="AG40" i="6"/>
  <c r="AG39" i="6"/>
  <c r="AG38" i="6"/>
  <c r="AG37" i="6"/>
  <c r="AG70" i="6" l="1"/>
  <c r="AG68" i="6"/>
  <c r="AG65" i="6"/>
  <c r="AG47" i="6"/>
  <c r="AG46" i="6"/>
  <c r="AG27" i="6"/>
  <c r="AG26" i="6"/>
  <c r="AG24" i="6"/>
  <c r="AG21" i="6"/>
  <c r="AG20" i="6"/>
  <c r="AG18" i="6"/>
  <c r="AG17" i="6"/>
  <c r="AG16" i="6"/>
  <c r="AG15" i="6"/>
  <c r="AG11" i="6"/>
  <c r="AG7" i="6"/>
  <c r="AN4" i="6"/>
  <c r="AK4" i="6"/>
  <c r="AL7" i="5" l="1"/>
  <c r="AL8" i="5"/>
  <c r="L74" i="2" s="1"/>
  <c r="M74" i="2" s="1"/>
  <c r="AL9" i="5"/>
  <c r="L75" i="2" s="1"/>
  <c r="M75" i="2" s="1"/>
  <c r="AL10" i="5"/>
  <c r="L76" i="2" s="1"/>
  <c r="M76" i="2" s="1"/>
  <c r="AL11" i="5"/>
  <c r="AL12" i="5"/>
  <c r="L78" i="2" s="1"/>
  <c r="M78" i="2" s="1"/>
  <c r="AL13" i="5"/>
  <c r="L79" i="2" s="1"/>
  <c r="M79" i="2" s="1"/>
  <c r="AL14" i="5"/>
  <c r="AL15" i="5"/>
  <c r="AL16" i="5"/>
  <c r="AL17" i="5"/>
  <c r="L83" i="2" s="1"/>
  <c r="M83" i="2" s="1"/>
  <c r="AL18" i="5"/>
  <c r="L69" i="2" s="1"/>
  <c r="M69" i="2" s="1"/>
  <c r="AL19" i="5"/>
  <c r="AL20" i="5"/>
  <c r="L71" i="2" s="1"/>
  <c r="M71" i="2" s="1"/>
  <c r="AL21" i="5"/>
  <c r="L61" i="2" s="1"/>
  <c r="M61" i="2" s="1"/>
  <c r="AL22" i="5"/>
  <c r="L62" i="2" s="1"/>
  <c r="M62" i="2" s="1"/>
  <c r="AL23" i="5"/>
  <c r="AL24" i="5"/>
  <c r="L64" i="2" s="1"/>
  <c r="M64" i="2" s="1"/>
  <c r="AL25" i="5"/>
  <c r="AL26" i="5"/>
  <c r="AL27" i="5"/>
  <c r="AL28" i="5"/>
  <c r="L68" i="2" s="1"/>
  <c r="M68" i="2" s="1"/>
  <c r="AL29" i="5"/>
  <c r="AL30" i="5"/>
  <c r="L54" i="2" s="1"/>
  <c r="M54" i="2" s="1"/>
  <c r="AL31" i="5"/>
  <c r="AL32" i="5"/>
  <c r="L56" i="2" s="1"/>
  <c r="M56" i="2" s="1"/>
  <c r="AL33" i="5"/>
  <c r="AL34" i="5"/>
  <c r="L58" i="2" s="1"/>
  <c r="M58" i="2" s="1"/>
  <c r="AL35" i="5"/>
  <c r="AL36" i="5"/>
  <c r="L60" i="2" s="1"/>
  <c r="M60" i="2" s="1"/>
  <c r="AL37" i="5"/>
  <c r="AL38" i="5"/>
  <c r="AL39" i="5"/>
  <c r="AL40" i="5"/>
  <c r="L50" i="2" s="1"/>
  <c r="M50" i="2" s="1"/>
  <c r="AL41" i="5"/>
  <c r="AL42" i="5"/>
  <c r="AL43" i="5"/>
  <c r="AL44" i="5"/>
  <c r="AL45" i="5"/>
  <c r="AL46" i="5"/>
  <c r="AL47" i="5"/>
  <c r="AL48" i="5"/>
  <c r="AL49" i="5"/>
  <c r="L19" i="2" s="1"/>
  <c r="M19" i="2" s="1"/>
  <c r="AL50" i="5"/>
  <c r="L20" i="2" s="1"/>
  <c r="M20" i="2" s="1"/>
  <c r="AL51" i="5"/>
  <c r="AL52" i="5"/>
  <c r="AL53" i="5"/>
  <c r="L23" i="2" s="1"/>
  <c r="M23" i="2" s="1"/>
  <c r="AL54" i="5"/>
  <c r="AL55" i="5"/>
  <c r="AL56" i="5"/>
  <c r="AL57" i="5"/>
  <c r="AL58" i="5"/>
  <c r="AL59" i="5"/>
  <c r="AL60" i="5"/>
  <c r="L27" i="2" s="1"/>
  <c r="M27" i="2" s="1"/>
  <c r="AL61" i="5"/>
  <c r="AL62" i="5"/>
  <c r="L13" i="2" s="1"/>
  <c r="M13" i="2" s="1"/>
  <c r="AL63" i="5"/>
  <c r="AL64" i="5"/>
  <c r="AL65" i="5"/>
  <c r="AL66" i="5"/>
  <c r="L30" i="2" s="1"/>
  <c r="M30" i="2" s="1"/>
  <c r="AL67" i="5"/>
  <c r="AL68" i="5"/>
  <c r="AL69" i="5"/>
  <c r="AL70" i="5"/>
  <c r="AL71" i="5"/>
  <c r="AL72" i="5"/>
  <c r="AL73" i="5"/>
  <c r="L34" i="2" s="1"/>
  <c r="M34" i="2" s="1"/>
  <c r="AL74" i="5"/>
  <c r="L35" i="2" s="1"/>
  <c r="M35" i="2" s="1"/>
  <c r="AL75" i="5"/>
  <c r="AL76" i="5"/>
  <c r="AK7" i="5"/>
  <c r="AK8" i="5"/>
  <c r="AK9" i="5"/>
  <c r="AK10" i="5"/>
  <c r="AK11" i="5"/>
  <c r="AK12" i="5"/>
  <c r="AK13" i="5"/>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58" i="5"/>
  <c r="AK59" i="5"/>
  <c r="AK60" i="5"/>
  <c r="AK61" i="5"/>
  <c r="AK62" i="5"/>
  <c r="AK63" i="5"/>
  <c r="AK64" i="5"/>
  <c r="AK65" i="5"/>
  <c r="AK66" i="5"/>
  <c r="AK67" i="5"/>
  <c r="AK68" i="5"/>
  <c r="AK69" i="5"/>
  <c r="AK70" i="5"/>
  <c r="AK71" i="5"/>
  <c r="AK72" i="5"/>
  <c r="AK73" i="5"/>
  <c r="AK74" i="5"/>
  <c r="AK75" i="5"/>
  <c r="AK76" i="5"/>
  <c r="L81" i="2"/>
  <c r="M81" i="2" s="1"/>
  <c r="L77" i="2"/>
  <c r="M77" i="2" s="1"/>
  <c r="L67" i="2"/>
  <c r="M67" i="2" s="1"/>
  <c r="L55" i="2"/>
  <c r="M55" i="2" s="1"/>
  <c r="L49" i="2"/>
  <c r="M49" i="2" s="1"/>
  <c r="L31" i="2"/>
  <c r="M31" i="2" s="1"/>
  <c r="L25" i="2"/>
  <c r="M25" i="2" s="1"/>
  <c r="L21" i="2"/>
  <c r="M21" i="2" s="1"/>
  <c r="L17" i="2"/>
  <c r="M17" i="2" s="1"/>
  <c r="L15" i="2"/>
  <c r="M15" i="2" s="1"/>
  <c r="L11" i="2"/>
  <c r="M11" i="2" s="1"/>
  <c r="L8" i="2"/>
  <c r="M8" i="2" s="1"/>
  <c r="L7" i="2"/>
  <c r="M7" i="2" s="1"/>
  <c r="L6" i="2"/>
  <c r="M6" i="2" s="1"/>
  <c r="AG17" i="5"/>
  <c r="AG63" i="5"/>
  <c r="AG57" i="5"/>
  <c r="AG56" i="5"/>
  <c r="AG45" i="5"/>
  <c r="AG44" i="5"/>
  <c r="AG54" i="5"/>
  <c r="AG53" i="5"/>
  <c r="AG52" i="5"/>
  <c r="AG50" i="5"/>
  <c r="AG48" i="5"/>
  <c r="AG14" i="5"/>
  <c r="AG11" i="5"/>
  <c r="AG10" i="5"/>
  <c r="AG9" i="5"/>
  <c r="AG7" i="5"/>
  <c r="AG7" i="4"/>
  <c r="AG67" i="5"/>
  <c r="AG66" i="5"/>
  <c r="AG64" i="5"/>
  <c r="AG62" i="5"/>
  <c r="AG61" i="5"/>
  <c r="AG60" i="5"/>
  <c r="AG59" i="5"/>
  <c r="AG58" i="5"/>
  <c r="AG55" i="5"/>
  <c r="AG34" i="5"/>
  <c r="AG43" i="5"/>
  <c r="AG40" i="5"/>
  <c r="AG42" i="5"/>
  <c r="AG41" i="5"/>
  <c r="AG39" i="5"/>
  <c r="AG38" i="5"/>
  <c r="AG37" i="5"/>
  <c r="AG30" i="5"/>
  <c r="AG28" i="5"/>
  <c r="AG27" i="5"/>
  <c r="AG25" i="5"/>
  <c r="AG24" i="5"/>
  <c r="AG22" i="5"/>
  <c r="AG76" i="5"/>
  <c r="AG75" i="5"/>
  <c r="AG74" i="5"/>
  <c r="AG72" i="5"/>
  <c r="AG71" i="5"/>
  <c r="AG70" i="5"/>
  <c r="AG69" i="5"/>
  <c r="AG68" i="5"/>
  <c r="AL70" i="4"/>
  <c r="AK70" i="4"/>
  <c r="AL71" i="4"/>
  <c r="AK71" i="4"/>
  <c r="AL72" i="4"/>
  <c r="AK72" i="4"/>
  <c r="AL73" i="4"/>
  <c r="AK73" i="4"/>
  <c r="AL74" i="4"/>
  <c r="AK74" i="4"/>
  <c r="AL75" i="4"/>
  <c r="AK75" i="4"/>
  <c r="AL76" i="4"/>
  <c r="AK76" i="4"/>
  <c r="AL59" i="4"/>
  <c r="AK59" i="4"/>
  <c r="AL60" i="4"/>
  <c r="AK60" i="4"/>
  <c r="AL61" i="4"/>
  <c r="AK61" i="4"/>
  <c r="AL62" i="4"/>
  <c r="AK62" i="4"/>
  <c r="AL63" i="4"/>
  <c r="AK63" i="4"/>
  <c r="AL64" i="4"/>
  <c r="AK64" i="4"/>
  <c r="AL65" i="4"/>
  <c r="AK65" i="4"/>
  <c r="AL66" i="4"/>
  <c r="AK66" i="4"/>
  <c r="AL67" i="4"/>
  <c r="AK67" i="4"/>
  <c r="AL68" i="4"/>
  <c r="AK68" i="4"/>
  <c r="AL69" i="4"/>
  <c r="AK69" i="4"/>
  <c r="AL46" i="4"/>
  <c r="AK46" i="4"/>
  <c r="AL47" i="4"/>
  <c r="AK47" i="4"/>
  <c r="AL48" i="4"/>
  <c r="AK48" i="4"/>
  <c r="AL49" i="4"/>
  <c r="AK49" i="4"/>
  <c r="AL50" i="4"/>
  <c r="AK50" i="4"/>
  <c r="AL51" i="4"/>
  <c r="AK51" i="4"/>
  <c r="AL52" i="4"/>
  <c r="AK52" i="4"/>
  <c r="AL53" i="4"/>
  <c r="AK53" i="4"/>
  <c r="AL54" i="4"/>
  <c r="AK54" i="4"/>
  <c r="AL55" i="4"/>
  <c r="AK55" i="4"/>
  <c r="AL56" i="4"/>
  <c r="AK56" i="4"/>
  <c r="AL57" i="4"/>
  <c r="AK57" i="4"/>
  <c r="AL58" i="4"/>
  <c r="AK58" i="4"/>
  <c r="AL8" i="4"/>
  <c r="AK8" i="4"/>
  <c r="AL9" i="4"/>
  <c r="AK9" i="4"/>
  <c r="AL10" i="4"/>
  <c r="AK10" i="4"/>
  <c r="AL11" i="4"/>
  <c r="AK11" i="4"/>
  <c r="AL12" i="4"/>
  <c r="AK12" i="4"/>
  <c r="AL13" i="4"/>
  <c r="AK13" i="4"/>
  <c r="AL14" i="4"/>
  <c r="AK14" i="4"/>
  <c r="AL15" i="4"/>
  <c r="AK15" i="4"/>
  <c r="AL16" i="4"/>
  <c r="AK16" i="4"/>
  <c r="AL17" i="4"/>
  <c r="AK17" i="4"/>
  <c r="AL18" i="4"/>
  <c r="AK18" i="4"/>
  <c r="AL19" i="4"/>
  <c r="AK19" i="4"/>
  <c r="AL20" i="4"/>
  <c r="AK20" i="4"/>
  <c r="AL21" i="4"/>
  <c r="AK21" i="4"/>
  <c r="AL22" i="4"/>
  <c r="AK22" i="4"/>
  <c r="AL23" i="4"/>
  <c r="AK23" i="4"/>
  <c r="AL24" i="4"/>
  <c r="AK24" i="4"/>
  <c r="AL25" i="4"/>
  <c r="AK25" i="4"/>
  <c r="AL26" i="4"/>
  <c r="AK26" i="4"/>
  <c r="AL27" i="4"/>
  <c r="AK27" i="4"/>
  <c r="AL28" i="4"/>
  <c r="AK28" i="4"/>
  <c r="AL29" i="4"/>
  <c r="AK29" i="4"/>
  <c r="AL30" i="4"/>
  <c r="AK30" i="4"/>
  <c r="AL31" i="4"/>
  <c r="AK31" i="4"/>
  <c r="AL32" i="4"/>
  <c r="AK32" i="4"/>
  <c r="AL33" i="4"/>
  <c r="AK33" i="4"/>
  <c r="AL34" i="4"/>
  <c r="AK34" i="4"/>
  <c r="AL35" i="4"/>
  <c r="AK35" i="4"/>
  <c r="AL36" i="4"/>
  <c r="AK36" i="4"/>
  <c r="AL37" i="4"/>
  <c r="AK37" i="4"/>
  <c r="AL38" i="4"/>
  <c r="AK38" i="4"/>
  <c r="AL39" i="4"/>
  <c r="AK39" i="4"/>
  <c r="AL40" i="4"/>
  <c r="AK40" i="4"/>
  <c r="AL41" i="4"/>
  <c r="AK41" i="4"/>
  <c r="AL42" i="4"/>
  <c r="AK42" i="4"/>
  <c r="AL43" i="4"/>
  <c r="AK43" i="4"/>
  <c r="AL44" i="4"/>
  <c r="AK44" i="4"/>
  <c r="AL45" i="4"/>
  <c r="AK45" i="4"/>
  <c r="AL7" i="4"/>
  <c r="AK7" i="4"/>
  <c r="AG65" i="5"/>
  <c r="AG51" i="5"/>
  <c r="AG47" i="5"/>
  <c r="AG46" i="5"/>
  <c r="AG26" i="5"/>
  <c r="AG23" i="5"/>
  <c r="AG21" i="5"/>
  <c r="AG20" i="5"/>
  <c r="AG18" i="5"/>
  <c r="AG16" i="5"/>
  <c r="AG15" i="5"/>
  <c r="AN4" i="5"/>
  <c r="AK4" i="5"/>
  <c r="H72" i="2"/>
  <c r="AL31" i="1"/>
  <c r="AK31" i="1"/>
  <c r="AL32" i="1"/>
  <c r="AK32" i="1"/>
  <c r="AL33" i="1"/>
  <c r="AK33" i="1"/>
  <c r="AL34" i="1"/>
  <c r="AK34" i="1"/>
  <c r="AL35" i="1"/>
  <c r="AK35" i="1"/>
  <c r="AL36" i="1"/>
  <c r="AK36" i="1"/>
  <c r="AL21" i="1"/>
  <c r="AK21" i="1"/>
  <c r="AL22" i="1"/>
  <c r="AK22" i="1"/>
  <c r="AL23" i="1"/>
  <c r="AK23" i="1"/>
  <c r="AL24" i="1"/>
  <c r="AK24" i="1"/>
  <c r="AL25" i="1"/>
  <c r="AK25" i="1"/>
  <c r="AL26" i="1"/>
  <c r="AK26" i="1"/>
  <c r="AL27" i="1"/>
  <c r="AK27" i="1"/>
  <c r="AL28" i="1"/>
  <c r="AK28" i="1"/>
  <c r="AL18" i="1"/>
  <c r="AK18" i="1"/>
  <c r="AL19" i="1"/>
  <c r="AK19" i="1"/>
  <c r="AL20" i="1"/>
  <c r="AK20" i="1"/>
  <c r="AL7" i="1"/>
  <c r="AK7" i="1"/>
  <c r="AL8" i="1"/>
  <c r="AK8" i="1"/>
  <c r="AL9" i="1"/>
  <c r="AK9" i="1"/>
  <c r="AL10" i="1"/>
  <c r="AK10" i="1"/>
  <c r="AL11" i="1"/>
  <c r="AK11" i="1"/>
  <c r="AL12" i="1"/>
  <c r="AK12" i="1"/>
  <c r="AL13" i="1"/>
  <c r="AK13" i="1"/>
  <c r="AL14" i="1"/>
  <c r="AK14" i="1"/>
  <c r="AL15" i="1"/>
  <c r="AK15" i="1"/>
  <c r="AL16" i="1"/>
  <c r="AK16" i="1"/>
  <c r="AL17" i="1"/>
  <c r="AK17" i="1"/>
  <c r="AG64" i="4"/>
  <c r="AG57" i="4"/>
  <c r="AG56" i="4"/>
  <c r="AG55" i="4"/>
  <c r="AG54" i="4"/>
  <c r="AG53" i="4"/>
  <c r="AG52" i="4"/>
  <c r="AG51" i="4"/>
  <c r="AG48" i="4"/>
  <c r="AG43" i="4"/>
  <c r="AG42" i="4"/>
  <c r="AG41" i="4"/>
  <c r="AG40" i="4"/>
  <c r="AG39" i="4"/>
  <c r="AG38" i="4"/>
  <c r="AG21" i="4"/>
  <c r="AG72" i="4"/>
  <c r="AG71" i="4"/>
  <c r="AG69" i="4"/>
  <c r="AG26" i="4"/>
  <c r="AG25" i="4"/>
  <c r="AG46" i="4"/>
  <c r="AG45" i="4"/>
  <c r="AG44" i="4"/>
  <c r="AG67" i="4"/>
  <c r="AG66" i="4"/>
  <c r="AG63" i="4"/>
  <c r="AG62" i="4"/>
  <c r="AG61" i="4"/>
  <c r="AG60" i="4"/>
  <c r="AG59" i="4"/>
  <c r="AG58" i="4"/>
  <c r="AG76" i="4"/>
  <c r="AG75" i="4"/>
  <c r="AG74" i="4"/>
  <c r="AG28" i="4"/>
  <c r="AG27" i="4"/>
  <c r="AG24" i="4"/>
  <c r="AG23" i="4"/>
  <c r="AG22" i="4"/>
  <c r="AG20" i="4"/>
  <c r="AG68" i="4"/>
  <c r="AG17" i="4"/>
  <c r="AG14" i="4"/>
  <c r="AG11" i="4"/>
  <c r="AG10" i="4"/>
  <c r="AG9" i="4"/>
  <c r="AG70" i="4"/>
  <c r="AG65" i="4"/>
  <c r="AG47" i="4"/>
  <c r="AG34" i="4"/>
  <c r="AG18" i="4"/>
  <c r="AG16" i="4"/>
  <c r="AG15" i="4"/>
  <c r="AN4" i="4"/>
  <c r="AK4" i="4"/>
  <c r="AL29" i="1"/>
  <c r="AK29" i="1"/>
  <c r="AL51" i="1"/>
  <c r="AL30" i="1"/>
  <c r="AK30" i="1"/>
  <c r="AL40" i="1"/>
  <c r="AK40" i="1"/>
  <c r="AL39" i="1"/>
  <c r="AK39" i="1"/>
  <c r="AL38" i="1"/>
  <c r="AK38" i="1"/>
  <c r="AL37" i="1"/>
  <c r="AK37" i="1"/>
  <c r="AL41" i="1"/>
  <c r="AK41" i="1"/>
  <c r="AL43" i="1"/>
  <c r="AK43" i="1"/>
  <c r="AL42" i="1"/>
  <c r="AK42" i="1"/>
  <c r="AL61" i="1"/>
  <c r="AK61" i="1"/>
  <c r="AL76" i="1"/>
  <c r="AK76" i="1"/>
  <c r="AL74" i="1"/>
  <c r="AK74" i="1"/>
  <c r="AL73" i="1"/>
  <c r="AK73" i="1"/>
  <c r="AL71" i="1"/>
  <c r="AK71" i="1"/>
  <c r="AL70" i="1"/>
  <c r="AK70" i="1"/>
  <c r="AL68" i="1"/>
  <c r="AK68" i="1"/>
  <c r="AL66" i="1"/>
  <c r="AK66" i="1"/>
  <c r="AL65" i="1"/>
  <c r="AK65" i="1"/>
  <c r="AL64" i="1"/>
  <c r="AK64" i="1"/>
  <c r="AL60" i="1"/>
  <c r="AK60" i="1"/>
  <c r="AL57" i="1"/>
  <c r="AK57" i="1"/>
  <c r="AL56" i="1"/>
  <c r="AK56" i="1"/>
  <c r="AL54" i="1"/>
  <c r="AK54" i="1"/>
  <c r="AL53" i="1"/>
  <c r="AK53" i="1"/>
  <c r="AL52" i="1"/>
  <c r="AK52" i="1"/>
  <c r="AK51" i="1"/>
  <c r="AL48" i="1"/>
  <c r="H18" i="2"/>
  <c r="AK48" i="1"/>
  <c r="AL47" i="1"/>
  <c r="AK47" i="1"/>
  <c r="AL46" i="1"/>
  <c r="AK46" i="1"/>
  <c r="AL44" i="1"/>
  <c r="AK44" i="1"/>
  <c r="AL63" i="1"/>
  <c r="AK63" i="1"/>
  <c r="AL62" i="1"/>
  <c r="AK62" i="1"/>
  <c r="AL45" i="1"/>
  <c r="AK45" i="1"/>
  <c r="AL75" i="1"/>
  <c r="AK75" i="1"/>
  <c r="AL72" i="1"/>
  <c r="AK72" i="1"/>
  <c r="AL55" i="1"/>
  <c r="AK55" i="1"/>
  <c r="AL69" i="1"/>
  <c r="AK69" i="1"/>
  <c r="AL67" i="1"/>
  <c r="AK67" i="1"/>
  <c r="AL59" i="1"/>
  <c r="AK59" i="1"/>
  <c r="AL58" i="1"/>
  <c r="AK58" i="1"/>
  <c r="AL49" i="1"/>
  <c r="AL50" i="1"/>
  <c r="AK49" i="1"/>
  <c r="AK50" i="1"/>
  <c r="H21" i="2"/>
  <c r="H20" i="2"/>
  <c r="H19" i="2"/>
  <c r="H17" i="2"/>
  <c r="H16" i="2"/>
  <c r="H15" i="2"/>
  <c r="H14" i="2"/>
  <c r="H13" i="2"/>
  <c r="H12" i="2"/>
  <c r="H11" i="2"/>
  <c r="H10" i="2"/>
  <c r="H9" i="2"/>
  <c r="H8" i="2"/>
  <c r="H7" i="2"/>
  <c r="H6" i="2"/>
  <c r="H5" i="2"/>
  <c r="AG17" i="1"/>
  <c r="AG16" i="1"/>
  <c r="AG15" i="1"/>
  <c r="AG14" i="1"/>
  <c r="AG11" i="1"/>
  <c r="AG10" i="1"/>
  <c r="AG45" i="1"/>
  <c r="AG44" i="1"/>
  <c r="AG67" i="1"/>
  <c r="AG66" i="1"/>
  <c r="AG65" i="1"/>
  <c r="AG64" i="1"/>
  <c r="AG63" i="1"/>
  <c r="AG62" i="1"/>
  <c r="AG61" i="1"/>
  <c r="AG60" i="1"/>
  <c r="AG59" i="1"/>
  <c r="AG58" i="1"/>
  <c r="AG57" i="1"/>
  <c r="AG56" i="1"/>
  <c r="AG55" i="1"/>
  <c r="AG71" i="1"/>
  <c r="AG70" i="1"/>
  <c r="AG69" i="1"/>
  <c r="AG28" i="1"/>
  <c r="AG26" i="1"/>
  <c r="AG23" i="1"/>
  <c r="AG20" i="1"/>
  <c r="AG18" i="1"/>
  <c r="AG76" i="1"/>
  <c r="AG75" i="1"/>
  <c r="AG74" i="1"/>
  <c r="AG43" i="1"/>
  <c r="AG42" i="1"/>
  <c r="AG39" i="1"/>
  <c r="AG38" i="1"/>
  <c r="AG53" i="1"/>
  <c r="AG52" i="1"/>
  <c r="AG48" i="1"/>
  <c r="AG47" i="1"/>
  <c r="AG68" i="1"/>
  <c r="AG34" i="1"/>
  <c r="AG76" i="3"/>
  <c r="AL76" i="3"/>
  <c r="AK76" i="3"/>
  <c r="AG75" i="3"/>
  <c r="AL75" i="3"/>
  <c r="AK75" i="3"/>
  <c r="AG74" i="3"/>
  <c r="AL74" i="3"/>
  <c r="AK74" i="3"/>
  <c r="AL73" i="3"/>
  <c r="AK73" i="3"/>
  <c r="AG72" i="3"/>
  <c r="AL72" i="3"/>
  <c r="AK72" i="3"/>
  <c r="AG71" i="3"/>
  <c r="AL71" i="3"/>
  <c r="AK71" i="3"/>
  <c r="AG70" i="3"/>
  <c r="AL70" i="3"/>
  <c r="AK70" i="3"/>
  <c r="AG69" i="3"/>
  <c r="AL69" i="3"/>
  <c r="AK69" i="3"/>
  <c r="AL68" i="3"/>
  <c r="AK68" i="3"/>
  <c r="AG67" i="3"/>
  <c r="AL67" i="3"/>
  <c r="AK67" i="3"/>
  <c r="AG66" i="3"/>
  <c r="AL66" i="3"/>
  <c r="AK66" i="3"/>
  <c r="AG65" i="3"/>
  <c r="AL65" i="3"/>
  <c r="AK65" i="3"/>
  <c r="AG64" i="3"/>
  <c r="AL64" i="3"/>
  <c r="AK64" i="3"/>
  <c r="AG63" i="3"/>
  <c r="AL63" i="3"/>
  <c r="AK63" i="3"/>
  <c r="AG62" i="3"/>
  <c r="AL62" i="3"/>
  <c r="AK62" i="3"/>
  <c r="AG61" i="3"/>
  <c r="AL61" i="3"/>
  <c r="AK61" i="3"/>
  <c r="AG60" i="3"/>
  <c r="AL60" i="3"/>
  <c r="AK60" i="3"/>
  <c r="AG59" i="3"/>
  <c r="AL59" i="3"/>
  <c r="AK59" i="3"/>
  <c r="AG58" i="3"/>
  <c r="AL58" i="3"/>
  <c r="AK58" i="3"/>
  <c r="AG57" i="3"/>
  <c r="AL57" i="3"/>
  <c r="AK57" i="3"/>
  <c r="AG56" i="3"/>
  <c r="AL56" i="3"/>
  <c r="AK56" i="3"/>
  <c r="AG55" i="3"/>
  <c r="AL55" i="3"/>
  <c r="AK55" i="3"/>
  <c r="AL54" i="3"/>
  <c r="AK54" i="3"/>
  <c r="AL53" i="3"/>
  <c r="AK53" i="3"/>
  <c r="AL52" i="3"/>
  <c r="AK52" i="3"/>
  <c r="AL51" i="3"/>
  <c r="AK51" i="3"/>
  <c r="AL50" i="3"/>
  <c r="AK50" i="3"/>
  <c r="AL49" i="3"/>
  <c r="AK49" i="3"/>
  <c r="AG48" i="3"/>
  <c r="AL48" i="3"/>
  <c r="AK48" i="3"/>
  <c r="AG47" i="3"/>
  <c r="AL47" i="3"/>
  <c r="AK47" i="3"/>
  <c r="AL46" i="3"/>
  <c r="AK46" i="3"/>
  <c r="AL45" i="3"/>
  <c r="AK45" i="3"/>
  <c r="AG44" i="3"/>
  <c r="AL44" i="3"/>
  <c r="AK44" i="3"/>
  <c r="AG43" i="3"/>
  <c r="AL43" i="3"/>
  <c r="AK43" i="3"/>
  <c r="AG42" i="3"/>
  <c r="AL42" i="3"/>
  <c r="AK42" i="3"/>
  <c r="AG41" i="3"/>
  <c r="AL41" i="3"/>
  <c r="AK41" i="3"/>
  <c r="AL40" i="3"/>
  <c r="AK40" i="3"/>
  <c r="AL39" i="3"/>
  <c r="AK39" i="3"/>
  <c r="AG38" i="3"/>
  <c r="AL38" i="3"/>
  <c r="AK38" i="3"/>
  <c r="AL37" i="3"/>
  <c r="AK37" i="3"/>
  <c r="AL36" i="3"/>
  <c r="AK36" i="3"/>
  <c r="AL35" i="3"/>
  <c r="AK35" i="3"/>
  <c r="AL34" i="3"/>
  <c r="AK34" i="3"/>
  <c r="AL33" i="3"/>
  <c r="AK33" i="3"/>
  <c r="AL32" i="3"/>
  <c r="AK32" i="3"/>
  <c r="AL31" i="3"/>
  <c r="AK31" i="3"/>
  <c r="AL30" i="3"/>
  <c r="AK30" i="3"/>
  <c r="AL29" i="3"/>
  <c r="AK29" i="3"/>
  <c r="AL28" i="3"/>
  <c r="AK28" i="3"/>
  <c r="AL27" i="3"/>
  <c r="AK27" i="3"/>
  <c r="AL26" i="3"/>
  <c r="AK26" i="3"/>
  <c r="AL25" i="3"/>
  <c r="AK25" i="3"/>
  <c r="AL24" i="3"/>
  <c r="AK24" i="3"/>
  <c r="AL23" i="3"/>
  <c r="AK23" i="3"/>
  <c r="AL22" i="3"/>
  <c r="AK22" i="3"/>
  <c r="AL21" i="3"/>
  <c r="AK21" i="3"/>
  <c r="AL20" i="3"/>
  <c r="AK20" i="3"/>
  <c r="AL19" i="3"/>
  <c r="AK19" i="3"/>
  <c r="AL18" i="3"/>
  <c r="AK18" i="3"/>
  <c r="AG17" i="3"/>
  <c r="AL17" i="3"/>
  <c r="AK17" i="3"/>
  <c r="AG16" i="3"/>
  <c r="AL16" i="3"/>
  <c r="AK16" i="3"/>
  <c r="AL15" i="3"/>
  <c r="AK15" i="3"/>
  <c r="AG14" i="3"/>
  <c r="AL14" i="3"/>
  <c r="AK14" i="3"/>
  <c r="AL13" i="3"/>
  <c r="AK13" i="3"/>
  <c r="AL12" i="3"/>
  <c r="AK12" i="3"/>
  <c r="AL11" i="3"/>
  <c r="AK11" i="3"/>
  <c r="AG10" i="3"/>
  <c r="AL10" i="3"/>
  <c r="AK10" i="3"/>
  <c r="AL9" i="3"/>
  <c r="AK9" i="3"/>
  <c r="AL8" i="3"/>
  <c r="AK8" i="3"/>
  <c r="AL7" i="3"/>
  <c r="AK7" i="3"/>
  <c r="AM4" i="3"/>
  <c r="AN4" i="3"/>
  <c r="AK4" i="3"/>
  <c r="H37" i="2"/>
  <c r="I37" i="2" s="1"/>
  <c r="H36" i="2"/>
  <c r="H35" i="2"/>
  <c r="H34" i="2"/>
  <c r="H33" i="2"/>
  <c r="H32" i="2"/>
  <c r="H31" i="2"/>
  <c r="H30" i="2"/>
  <c r="H29" i="2"/>
  <c r="H28" i="2"/>
  <c r="H27" i="2"/>
  <c r="H26" i="2"/>
  <c r="H25" i="2"/>
  <c r="H24" i="2"/>
  <c r="H23" i="2"/>
  <c r="H22" i="2"/>
  <c r="AG72" i="1"/>
  <c r="AN4" i="1"/>
  <c r="H83" i="2"/>
  <c r="H82" i="2"/>
  <c r="H81" i="2"/>
  <c r="H80" i="2"/>
  <c r="H79" i="2"/>
  <c r="H78" i="2"/>
  <c r="H77" i="2"/>
  <c r="H76" i="2"/>
  <c r="H75" i="2"/>
  <c r="H74" i="2"/>
  <c r="H73" i="2"/>
  <c r="H71" i="2"/>
  <c r="H70" i="2"/>
  <c r="H69" i="2"/>
  <c r="H68" i="2"/>
  <c r="H67" i="2"/>
  <c r="H63" i="2"/>
  <c r="H66" i="2"/>
  <c r="H65" i="2"/>
  <c r="H64" i="2"/>
  <c r="H62" i="2"/>
  <c r="H61" i="2"/>
  <c r="H60" i="2"/>
  <c r="H59" i="2"/>
  <c r="H58" i="2"/>
  <c r="H57" i="2"/>
  <c r="H56" i="2"/>
  <c r="H55" i="2"/>
  <c r="H54" i="2"/>
  <c r="H50" i="2"/>
  <c r="H49" i="2"/>
  <c r="H48" i="2"/>
  <c r="H47" i="2"/>
  <c r="AG41" i="1"/>
  <c r="H46" i="2"/>
  <c r="H42" i="2"/>
  <c r="K42" i="2" s="1"/>
  <c r="H41" i="2"/>
  <c r="K41" i="2" s="1"/>
  <c r="G5" i="2"/>
  <c r="G12" i="2"/>
  <c r="G7" i="2"/>
  <c r="G9" i="2"/>
  <c r="G11" i="2"/>
  <c r="G13" i="2"/>
  <c r="G14" i="2"/>
  <c r="G15" i="2"/>
  <c r="G17" i="2"/>
  <c r="G25" i="2"/>
  <c r="G31" i="2"/>
  <c r="G32" i="2"/>
  <c r="G34" i="2"/>
  <c r="G37" i="2"/>
  <c r="AK4" i="1"/>
  <c r="AM37" i="4" l="1"/>
  <c r="AM25" i="4"/>
  <c r="AM64" i="4"/>
  <c r="I74" i="2"/>
  <c r="J74" i="2" s="1"/>
  <c r="I64" i="2"/>
  <c r="J64" i="2" s="1"/>
  <c r="AM8" i="4"/>
  <c r="AM59" i="4"/>
  <c r="AM76" i="4"/>
  <c r="AM74" i="4"/>
  <c r="AM72" i="4"/>
  <c r="F11" i="2"/>
  <c r="I67" i="2"/>
  <c r="J67" i="2" s="1"/>
  <c r="AM70" i="4"/>
  <c r="I31" i="2"/>
  <c r="J31" i="2" s="1"/>
  <c r="AM7" i="4"/>
  <c r="AM44" i="4"/>
  <c r="AM42" i="4"/>
  <c r="AM40" i="4"/>
  <c r="AM38" i="4"/>
  <c r="AM32" i="4"/>
  <c r="AM30" i="4"/>
  <c r="AM28" i="4"/>
  <c r="AM26" i="4"/>
  <c r="AM16" i="4"/>
  <c r="AM75" i="4"/>
  <c r="I27" i="2"/>
  <c r="J27" i="2" s="1"/>
  <c r="F27" i="2"/>
  <c r="F31" i="2"/>
  <c r="I49" i="2"/>
  <c r="J49" i="2" s="1"/>
  <c r="F42" i="2"/>
  <c r="L5" i="2"/>
  <c r="M5" i="2" s="1"/>
  <c r="I5" i="2"/>
  <c r="J5" i="2" s="1"/>
  <c r="I13" i="2"/>
  <c r="J13" i="2" s="1"/>
  <c r="I30" i="2"/>
  <c r="J30" i="2" s="1"/>
  <c r="F50" i="2"/>
  <c r="I14" i="2"/>
  <c r="J14" i="2" s="1"/>
  <c r="F18" i="2"/>
  <c r="F71" i="2"/>
  <c r="I11" i="2"/>
  <c r="J11" i="2" s="1"/>
  <c r="I20" i="2"/>
  <c r="J20" i="2" s="1"/>
  <c r="AM24" i="4"/>
  <c r="AM15" i="4"/>
  <c r="AM13" i="4"/>
  <c r="AM11" i="4"/>
  <c r="AM50" i="4"/>
  <c r="AM48" i="4"/>
  <c r="AM46" i="4"/>
  <c r="AM14" i="4"/>
  <c r="AM12" i="4"/>
  <c r="AM57" i="4"/>
  <c r="AM51" i="4"/>
  <c r="AM49" i="4"/>
  <c r="AM47" i="4"/>
  <c r="AM69" i="4"/>
  <c r="AM67" i="4"/>
  <c r="AM43" i="4"/>
  <c r="AM41" i="4"/>
  <c r="AM31" i="4"/>
  <c r="AM19" i="4"/>
  <c r="AM73" i="4"/>
  <c r="J37" i="2"/>
  <c r="I7" i="2"/>
  <c r="J7" i="2" s="1"/>
  <c r="L18" i="2"/>
  <c r="M18" i="2" s="1"/>
  <c r="I35" i="2"/>
  <c r="J35" i="2" s="1"/>
  <c r="F5" i="2"/>
  <c r="I69" i="2"/>
  <c r="J69" i="2" s="1"/>
  <c r="I18" i="2"/>
  <c r="J18" i="2" s="1"/>
  <c r="F74" i="2"/>
  <c r="AM39" i="4"/>
  <c r="AM35" i="4"/>
  <c r="AM33" i="4"/>
  <c r="AM22" i="4"/>
  <c r="AM20" i="4"/>
  <c r="AM18" i="4"/>
  <c r="AM58" i="4"/>
  <c r="AM56" i="4"/>
  <c r="AM54" i="4"/>
  <c r="AM52" i="4"/>
  <c r="AM65" i="4"/>
  <c r="AM63" i="4"/>
  <c r="AM61" i="4"/>
  <c r="AM29" i="4"/>
  <c r="AM21" i="4"/>
  <c r="AM10" i="4"/>
  <c r="AM68" i="4"/>
  <c r="AM71" i="4"/>
  <c r="AM45" i="4"/>
  <c r="AM36" i="4"/>
  <c r="AM34" i="4"/>
  <c r="AM23" i="4"/>
  <c r="AM17" i="4"/>
  <c r="AM9" i="4"/>
  <c r="AM55" i="4"/>
  <c r="AM53" i="4"/>
  <c r="AM66" i="4"/>
  <c r="AM62" i="4"/>
  <c r="AM60" i="4"/>
  <c r="I22" i="2"/>
  <c r="J22" i="2" s="1"/>
  <c r="I66" i="2"/>
  <c r="J66" i="2" s="1"/>
  <c r="I33" i="2"/>
  <c r="J33" i="2" s="1"/>
  <c r="I54" i="2"/>
  <c r="J54" i="2" s="1"/>
  <c r="I62" i="2"/>
  <c r="J62" i="2" s="1"/>
  <c r="I70" i="2"/>
  <c r="J70" i="2" s="1"/>
  <c r="F10" i="2"/>
  <c r="I6" i="2"/>
  <c r="J6" i="2" s="1"/>
  <c r="I21" i="2"/>
  <c r="J21" i="2" s="1"/>
  <c r="F36" i="2"/>
  <c r="F82" i="2"/>
  <c r="F6" i="2"/>
  <c r="F35" i="2"/>
  <c r="F20" i="2"/>
  <c r="F62" i="2"/>
  <c r="F13" i="2"/>
  <c r="F66" i="2"/>
  <c r="F78" i="2"/>
  <c r="I60" i="2"/>
  <c r="J60" i="2" s="1"/>
  <c r="I68" i="2"/>
  <c r="J68" i="2" s="1"/>
  <c r="I25" i="2"/>
  <c r="J25" i="2" s="1"/>
  <c r="F17" i="2"/>
  <c r="F15" i="2"/>
  <c r="F68" i="2"/>
  <c r="I78" i="2"/>
  <c r="J78" i="2" s="1"/>
  <c r="F49" i="2"/>
  <c r="I58" i="2"/>
  <c r="J58" i="2" s="1"/>
  <c r="L66" i="2"/>
  <c r="M66" i="2" s="1"/>
  <c r="F58" i="2"/>
  <c r="F33" i="2"/>
  <c r="I76" i="2"/>
  <c r="J76" i="2" s="1"/>
  <c r="I15" i="2"/>
  <c r="J15" i="2" s="1"/>
  <c r="AM27" i="4"/>
  <c r="I71" i="2"/>
  <c r="J71" i="2" s="1"/>
  <c r="I63" i="2"/>
  <c r="J63" i="2" s="1"/>
  <c r="I81" i="2"/>
  <c r="J81" i="2" s="1"/>
  <c r="I42" i="2"/>
  <c r="J42" i="2" s="1"/>
  <c r="I65" i="2"/>
  <c r="J65" i="2" s="1"/>
  <c r="I73" i="2"/>
  <c r="J73" i="2" s="1"/>
  <c r="I8" i="2"/>
  <c r="J8" i="2" s="1"/>
  <c r="I16" i="2"/>
  <c r="J16" i="2" s="1"/>
  <c r="L41" i="2"/>
  <c r="M41" i="2" s="1"/>
  <c r="I48" i="2"/>
  <c r="J48" i="2" s="1"/>
  <c r="I56" i="2"/>
  <c r="J56" i="2" s="1"/>
  <c r="I77" i="2"/>
  <c r="J77" i="2" s="1"/>
  <c r="I80" i="2"/>
  <c r="J80" i="2" s="1"/>
  <c r="I26" i="2"/>
  <c r="J26" i="2" s="1"/>
  <c r="L26" i="2"/>
  <c r="M26" i="2" s="1"/>
  <c r="I12" i="2"/>
  <c r="J12" i="2" s="1"/>
  <c r="F12" i="2"/>
  <c r="I46" i="2"/>
  <c r="J46" i="2" s="1"/>
  <c r="F46" i="2"/>
  <c r="I57" i="2"/>
  <c r="J57" i="2" s="1"/>
  <c r="F57" i="2"/>
  <c r="L57" i="2"/>
  <c r="M57" i="2" s="1"/>
  <c r="F54" i="2"/>
  <c r="L80" i="2"/>
  <c r="M80" i="2" s="1"/>
  <c r="I82" i="2"/>
  <c r="J82" i="2" s="1"/>
  <c r="F70" i="2"/>
  <c r="L42" i="2"/>
  <c r="M42" i="2" s="1"/>
  <c r="L33" i="2"/>
  <c r="M33" i="2" s="1"/>
  <c r="I75" i="2"/>
  <c r="J75" i="2" s="1"/>
  <c r="I36" i="2"/>
  <c r="J36" i="2" s="1"/>
  <c r="F16" i="2"/>
  <c r="F80" i="2"/>
  <c r="L82" i="2"/>
  <c r="M82" i="2" s="1"/>
  <c r="F56" i="2"/>
  <c r="L70" i="2"/>
  <c r="M70" i="2" s="1"/>
  <c r="F14" i="2"/>
  <c r="F28" i="2"/>
  <c r="F59" i="2"/>
  <c r="I9" i="2"/>
  <c r="J9" i="2" s="1"/>
  <c r="F9" i="2"/>
  <c r="L9" i="2"/>
  <c r="M9" i="2" s="1"/>
  <c r="F29" i="2"/>
  <c r="I29" i="2"/>
  <c r="J29" i="2" s="1"/>
  <c r="L29" i="2"/>
  <c r="M29" i="2" s="1"/>
  <c r="F37" i="2"/>
  <c r="L37" i="2"/>
  <c r="M37" i="2" s="1"/>
  <c r="I47" i="2"/>
  <c r="J47" i="2" s="1"/>
  <c r="F47" i="2"/>
  <c r="L47" i="2"/>
  <c r="M47" i="2" s="1"/>
  <c r="F72" i="2"/>
  <c r="I72" i="2"/>
  <c r="J72" i="2" s="1"/>
  <c r="L72" i="2"/>
  <c r="M72" i="2" s="1"/>
  <c r="I23" i="2"/>
  <c r="J23" i="2" s="1"/>
  <c r="F24" i="2"/>
  <c r="F23" i="2"/>
  <c r="F32" i="2"/>
  <c r="F73" i="2"/>
  <c r="L73" i="2"/>
  <c r="M73" i="2" s="1"/>
  <c r="F61" i="2"/>
  <c r="I41" i="2"/>
  <c r="J41" i="2" s="1"/>
  <c r="F79" i="2"/>
  <c r="L63" i="2"/>
  <c r="M63" i="2" s="1"/>
  <c r="F48" i="2"/>
  <c r="I50" i="2"/>
  <c r="J50" i="2" s="1"/>
  <c r="F77" i="2"/>
  <c r="I24" i="2"/>
  <c r="J24" i="2" s="1"/>
  <c r="F22" i="2"/>
  <c r="I34" i="2"/>
  <c r="J34" i="2" s="1"/>
  <c r="L32" i="2"/>
  <c r="M32" i="2" s="1"/>
  <c r="I28" i="2"/>
  <c r="J28" i="2" s="1"/>
  <c r="I19" i="2"/>
  <c r="J19" i="2" s="1"/>
  <c r="I10" i="2"/>
  <c r="J10" i="2" s="1"/>
  <c r="I61" i="2"/>
  <c r="J61" i="2" s="1"/>
  <c r="F41" i="2"/>
  <c r="I83" i="2"/>
  <c r="J83" i="2" s="1"/>
  <c r="I17" i="2"/>
  <c r="J17" i="2" s="1"/>
  <c r="L65" i="2"/>
  <c r="M65" i="2" s="1"/>
  <c r="L12" i="2"/>
  <c r="M12" i="2" s="1"/>
  <c r="L36" i="2"/>
  <c r="M36" i="2" s="1"/>
  <c r="L46" i="2"/>
  <c r="M46" i="2" s="1"/>
  <c r="F55" i="2"/>
  <c r="F67" i="2"/>
  <c r="L22" i="2"/>
  <c r="M22" i="2" s="1"/>
  <c r="F34" i="2"/>
  <c r="F81" i="2"/>
  <c r="F83" i="2"/>
  <c r="L24" i="2"/>
  <c r="M24" i="2" s="1"/>
  <c r="I32" i="2"/>
  <c r="J32" i="2" s="1"/>
  <c r="L28" i="2"/>
  <c r="M28" i="2" s="1"/>
  <c r="L10" i="2"/>
  <c r="M10" i="2" s="1"/>
  <c r="F8" i="2"/>
  <c r="I59" i="2"/>
  <c r="J59" i="2" s="1"/>
  <c r="L59" i="2"/>
  <c r="M59" i="2" s="1"/>
  <c r="L16" i="2"/>
  <c r="M16" i="2" s="1"/>
  <c r="L48" i="2"/>
  <c r="M48" i="2" s="1"/>
  <c r="F76" i="2"/>
  <c r="I79" i="2"/>
  <c r="J79" i="2" s="1"/>
  <c r="L14" i="2"/>
  <c r="M14" i="2" s="1"/>
  <c r="I55" i="2"/>
  <c r="J55" i="2" s="1"/>
  <c r="F75" i="2"/>
  <c r="E88" i="2" l="1"/>
</calcChain>
</file>

<file path=xl/comments1.xml><?xml version="1.0" encoding="utf-8"?>
<comments xmlns="http://schemas.openxmlformats.org/spreadsheetml/2006/main">
  <authors>
    <author>lbarrios</author>
  </authors>
  <commentList>
    <comment ref="AH35" authorId="0" shapeId="0">
      <text>
        <r>
          <rPr>
            <b/>
            <sz val="9"/>
            <color indexed="81"/>
            <rFont val="Tahoma"/>
            <family val="2"/>
          </rPr>
          <t>lbarrios:</t>
        </r>
        <r>
          <rPr>
            <sz val="9"/>
            <color indexed="81"/>
            <rFont val="Tahoma"/>
            <family val="2"/>
          </rPr>
          <t xml:space="preserve">
Que viabilidad de financiamiento de esta acción se han concertado con otras entidades..??</t>
        </r>
      </text>
    </comment>
  </commentList>
</comments>
</file>

<file path=xl/sharedStrings.xml><?xml version="1.0" encoding="utf-8"?>
<sst xmlns="http://schemas.openxmlformats.org/spreadsheetml/2006/main" count="4780" uniqueCount="647">
  <si>
    <t>PROCESO DE DIRECCIONAMIENTO ESTRATÉGICO</t>
  </si>
  <si>
    <t>FORMATO PLAN DE ACCIÓN INSTITUCIONAL</t>
  </si>
  <si>
    <t xml:space="preserve">PLAN DE DESARROLLO </t>
  </si>
  <si>
    <t xml:space="preserve">PLAN ESTRATÉGICO INSTITUCIONAL </t>
  </si>
  <si>
    <t>PLAN DE ACCIÓN INSTITUCIONAL</t>
  </si>
  <si>
    <r>
      <t xml:space="preserve">PROGRAMACIÓN CUANTITATIVA 
</t>
    </r>
    <r>
      <rPr>
        <sz val="12"/>
        <color theme="1"/>
        <rFont val="Arial"/>
        <family val="2"/>
      </rPr>
      <t>(Indique el porcentaje o cantidad)</t>
    </r>
  </si>
  <si>
    <t>SEGUIMENTO</t>
  </si>
  <si>
    <t>Pilar / Eje</t>
  </si>
  <si>
    <t>Meta PDD</t>
  </si>
  <si>
    <t>Programa</t>
  </si>
  <si>
    <t>Proyecto de inversión</t>
  </si>
  <si>
    <t>Meta proyecto de inversión</t>
  </si>
  <si>
    <t>Objetivo estratégico</t>
  </si>
  <si>
    <t>Iniciativa</t>
  </si>
  <si>
    <t>Proyectos</t>
  </si>
  <si>
    <t>Hitos</t>
  </si>
  <si>
    <t>Resultado final esperado (Producto o servicio)</t>
  </si>
  <si>
    <t>Contingencias que pueden impedir el logro del producto</t>
  </si>
  <si>
    <t xml:space="preserve">Dependencia responsable </t>
  </si>
  <si>
    <t xml:space="preserve">Fecha de inicio </t>
  </si>
  <si>
    <t>Fecha de terminación</t>
  </si>
  <si>
    <t>Dependencias con las que se requiere articular para lograr el resultado</t>
  </si>
  <si>
    <t>Entidades con las que se requiere articular para lograr el resultado</t>
  </si>
  <si>
    <t>Ponderación</t>
  </si>
  <si>
    <t>ENE</t>
  </si>
  <si>
    <t>FEB</t>
  </si>
  <si>
    <t>MAR</t>
  </si>
  <si>
    <t>ABR</t>
  </si>
  <si>
    <t>MAY</t>
  </si>
  <si>
    <t>JUN</t>
  </si>
  <si>
    <t>JUL</t>
  </si>
  <si>
    <t>AGO</t>
  </si>
  <si>
    <t>SEP</t>
  </si>
  <si>
    <t>OCT</t>
  </si>
  <si>
    <t>NOV</t>
  </si>
  <si>
    <t>DIC</t>
  </si>
  <si>
    <t>Periodo evaluado</t>
  </si>
  <si>
    <t xml:space="preserve">Descripción cuantitativa del avance (Mes) </t>
  </si>
  <si>
    <t xml:space="preserve">Descripción cuantitativa del avance (Acumulado) </t>
  </si>
  <si>
    <t xml:space="preserve">Descripción cualitativa del avance </t>
  </si>
  <si>
    <t xml:space="preserve">Programado avance (Mes) </t>
  </si>
  <si>
    <t xml:space="preserve">Ejecutado avance (Mes) </t>
  </si>
  <si>
    <t>Pilar 2. Democracia Urbana</t>
  </si>
  <si>
    <t>Disminuir en 6% las toneladas de residuos urbanos dispuestos en el relleno sanitario. (Cambio cultural en manejo de residuos y separación en fuente)</t>
  </si>
  <si>
    <t>13. Infraestrutuara para el desarrollo del Habitat</t>
  </si>
  <si>
    <t>1109. Manejo integral de residuos sólidos en el Distrito Capital y la Región</t>
  </si>
  <si>
    <t>Reducir el 6 % de residuos ordinarios que se generan en la ciudad producto de la separación en la fuente</t>
  </si>
  <si>
    <t>Diseñar e implementar un modelo de control de la prestación del servicio público de aseo</t>
  </si>
  <si>
    <t>Un contrato de interventoría firmado y en ejecución.</t>
  </si>
  <si>
    <t>Si se toma la decisión de realizar adición y prórroga al contrato de interventoría que actualmente se encuentra en ejecución, se podría vencer el plazo para realizar la adición y prórroga.
Si se toma la decisión de realizar una nueva contratación para el contrato de interventoría, el proceso de adjudicación del contrato de interventoría se declare desierto o que no se presenten proponentes.</t>
  </si>
  <si>
    <t>Subdirección de Recolección, Barrido y Limpieza</t>
  </si>
  <si>
    <t>Subdirección de Asuntos Legales</t>
  </si>
  <si>
    <t>N/A</t>
  </si>
  <si>
    <t>Agosto</t>
  </si>
  <si>
    <t>A la fecha se cuenta con un contrato de interventoria vigente</t>
  </si>
  <si>
    <t>Elaborar el Plan 2016 de Supervisión y Control del servicio de RBL</t>
  </si>
  <si>
    <t>Plan de supervisión y control aprobado por zona de prestación y operación del servicio público de aseo</t>
  </si>
  <si>
    <t>Ejecutar el Plan de Supervision y Control aprobado para servicio de RBL.</t>
  </si>
  <si>
    <t>Informe de supervisión a los contratos de prestación y operación del servicio de aseo en todos sus componentes.</t>
  </si>
  <si>
    <t>Personal de apoyo insuficiente para la supervisión de los contratos de prestación y operación del servicio de aseo en todos sus componentes.</t>
  </si>
  <si>
    <t>Subdirección de Disposición Final</t>
  </si>
  <si>
    <t>No se han entregado los informes de supervisión y control, a junio de 2016, el subdirector concedio plazo hasta el 2 de septiembre.</t>
  </si>
  <si>
    <t>Elaborar estrategias de manejo de las situaciones particulares de la prestacion del Servicio de Aseo en el marco del Sistema Integral de Respuesta a Eventos de Gran Magnitud-SIRE, Puesto de Mando Unificado - PMU</t>
  </si>
  <si>
    <t>Acciones especificas aplicadas en respuesta a los eventos criticos presentados en las actividades del servicio.</t>
  </si>
  <si>
    <t>El prestador u operador del servicio público de aseo de la zona en donde se presenten  los eventos criticos no cuente con la capacidad o facultad para la intervención.</t>
  </si>
  <si>
    <t>Se atendieron los eventos sire 3958904 de 4/6/2016, 4034441 del 14/7/2016,4062414 del 29/08/2016 y 4095271 del 4/8/2016</t>
  </si>
  <si>
    <t>Diseñar e implementar un modelo de control de prestación del servicio de residuos hospitalarios</t>
  </si>
  <si>
    <t>Si se toma la decisión de realizar adición y prórroga al contrato de interventoría que actualmente se encuentra en ejecución, se podría vencer el plazo para realizar la adición y prórroga.
Si se toma la decisión de realizar una nueva contratación para el contrato de interventoría, el proceso de adjudicación del contrato de interventoría se declare desierto o que no se presenten proponentes.</t>
  </si>
  <si>
    <t xml:space="preserve">A la fecha se cuenta con un contrato de interventoria vigente  </t>
  </si>
  <si>
    <t>Elaborar el Plan de Supervisión y Control del servicio de residuos hospitalarios</t>
  </si>
  <si>
    <t>Plan de supervisión y control aprobado.</t>
  </si>
  <si>
    <t>Ejecutar el Plan de Supervision y Control aprobado para servicio de Residuos Hospitalarios</t>
  </si>
  <si>
    <t>Informe de supervisión al contrato de prestación del servicio de Residuos Hospitalarios.</t>
  </si>
  <si>
    <t xml:space="preserve">Ejecutar el Plan de Acción marco del convenio 006 de 2015 suscrito entre la UAESP y el FONDIGER para manejo integral de residuos sólidos en  situaciones de emergencia y/o desastre.  </t>
  </si>
  <si>
    <t>Informe de actividades ejecutados en el marco del convenio 006 de 2015.
Situaciones de emergencia atendidas</t>
  </si>
  <si>
    <t>Vencimiento de términos para realización de procesos contractuales que den cumplimiento a lo establecido en el plan de acción.</t>
  </si>
  <si>
    <t>Dirección General,  Subdirección de Asuntos Legales, Subdirección de Disposición Final y Subdirección Administrativa y financiera.</t>
  </si>
  <si>
    <t>IDIGER
FONDIGER</t>
  </si>
  <si>
    <t>A la fecha se han recibido informes en los meses de junio, julio y agosto</t>
  </si>
  <si>
    <t>Presentar la verificación de motivos para la aprobación de las áreas de servico exclusivo ante la Comisión de Regulación de agua Potable.</t>
  </si>
  <si>
    <t>Estudio de verificación de motivos para la aprobación de las áreas de servico exclusivo aprobado por la Comisión de Regulación de Agua Potable - CRA, para la prestación del servicio público de aseo.</t>
  </si>
  <si>
    <t>La Comisión de Regulación de Agua Potable - CRA no apruebe el estudio de verificación de motivos.</t>
  </si>
  <si>
    <t xml:space="preserve">Dirección General
Subdirección de Asuntos legales </t>
  </si>
  <si>
    <t>Comisión de Regulación de Agua Potable - CRA</t>
  </si>
  <si>
    <t>Se presentaron los estudios de verificación de motivos a la CRA.</t>
  </si>
  <si>
    <t>Coordinar e iniciar el proceso de adjudicación de la licitación del servicio de aseo.</t>
  </si>
  <si>
    <t>Pliegos de referencia para la contratación del modelo de prestación del servicio público de aseo.</t>
  </si>
  <si>
    <t>La Comisión de Regulación de Agua Potable - CRA no apruebe el estudio de verificación de motivos, por ende no se podrían elaborar los pliegos de referencia para el proceso licitatorio del modelo de prestación del servicio público de aseo.</t>
  </si>
  <si>
    <t>Dirección General, Subdirección de Aprovechamiento, Subdirección de Asuntos Legales</t>
  </si>
  <si>
    <t>En SECOP se encuentran publicados los pre-Pliegos de referencia para la contratación del modelo de prestación del servicio público de aseo.</t>
  </si>
  <si>
    <t>Apoyar la actualización y seguimiento del Plan de Gestión Integral de Residuos Sólidos - PGIRS</t>
  </si>
  <si>
    <t>Documento actulizado del Plan de Gestión Integral de Residuos Sólidos - PGIRS</t>
  </si>
  <si>
    <t>Falta de información en las entidades distritales</t>
  </si>
  <si>
    <t>Dirección General, Subdirección de Aprovechamiento</t>
  </si>
  <si>
    <t>Secretaría Distrital de Ambiente, Secretaría Distrital de Hábitat, IDU, Defensoría del Espacio Público</t>
  </si>
  <si>
    <t xml:space="preserve">Se recopilo la información enviada por las entidades distritales y mediante Decreto 227 de 2016  se modificó parcialmente el Decreto Distrital 548 de 2015, en el sentido de actualizar la información de línea base para la aplicación del nuevo marco tarifario contenido en la Resolución 720 de 2015 de la CRA, y demás disposiciones reglamentarias del servicio público de aseo. Los datos agregados objeto de actualización se encuentran contenidos en el Anexo No. 1 del presente Decreto. Igualmente se continua solicitando y consolidando información de otras entidades. </t>
  </si>
  <si>
    <t>Formular e implementar un proyecto de capacitación para la formalización a la poblacion recicladora de oficio</t>
  </si>
  <si>
    <t>Ejecutar campañas de Producción, consumo responsable y disminución en la generación de residuos sólidos</t>
  </si>
  <si>
    <t>1 campaña planeada y en ejecución para la ciudad en temáticas tales como: producción limpia, responsabilidad extendida, disminución en la generación y consumo responsable  con un avance del 30% al finalizar el año.</t>
  </si>
  <si>
    <t>No lograr el prefeccionamiento del convenio o contrato con una entidad para realizar la campaña</t>
  </si>
  <si>
    <t>Subdirección de Aprovechamiento</t>
  </si>
  <si>
    <t>Oficina Asesora de Planeación
Oficina Asesora de Comunicaciones y Relaciones Interinstitucionales</t>
  </si>
  <si>
    <t>Secretaria Distrital de Educación
Secretaria Distrital de Salud
Secretaria Distrital de Gobierno
Secretaria Distrital de Ambiente</t>
  </si>
  <si>
    <t xml:space="preserve">El equipo pedagógico presentó el documento técnico "Concientizar en separación en la fuente, proyecto integral para prestación del servicio público de aseo" a la Subdirección para la discusión sobre las líneas de acción y los enfoques a desarrollar en el contrato que se espera tener con una entidad que desarrolle contenidos de cultura ciudadana. </t>
  </si>
  <si>
    <t>Fomentar la cultura del aprovechamiento</t>
  </si>
  <si>
    <t>3000  personas concientizadas en separación en la fuente.</t>
  </si>
  <si>
    <t>No contar con suficiente público para ls jornadas de concientización</t>
  </si>
  <si>
    <t>Secretaria Distrital de Educación
Secretaria Distrital de Salud
Secretaria Distrital de Gobierno</t>
  </si>
  <si>
    <t>Capacitar a las organizaciones de recicladores en aspectos administrativos, comerciales, financieros, técnicos y operativos para el manejo empresarial</t>
  </si>
  <si>
    <t>Un taller de capacitación para recicladores</t>
  </si>
  <si>
    <t>No contar con suficiente público para la realización del taller</t>
  </si>
  <si>
    <t>Oficina Asesora de Comunicaciones y Relaciones Interinstitucionales</t>
  </si>
  <si>
    <t>A final del mes de agosto se realizó una capacitación a recicladores de oficio por parte de Ajover para el aprovechamiento de icopor y desechables.</t>
  </si>
  <si>
    <t>Establecer una linea base del componente de aprovechamiento en la Ciudad de Bogotá D.C.</t>
  </si>
  <si>
    <t>Levantamiento de línea base para el PRAS en aprovechamiento y separación en la fuente</t>
  </si>
  <si>
    <t>Un (1) documento técnico con la línea base de aprovechamiento y separación en la fuente avanzado en un 70%</t>
  </si>
  <si>
    <t>Inconsistencias en la información registrada al interior de la Entidad.</t>
  </si>
  <si>
    <t xml:space="preserve"> Levantamiento de línea base para el PRAS en aprovechamiento y separación en la fuente</t>
  </si>
  <si>
    <t>Un (1) Informe consolidado de análisis de predios y diseños para la implementación de ECAS</t>
  </si>
  <si>
    <t>Deficiencias en la calidad de la información de base para elaborar el análisis.
Acceso a la información necesaria de otras entidades o sectores.</t>
  </si>
  <si>
    <t>Dirección General
Subdirección Administrativa y Financiera
Subdirección de Asuntos Legales</t>
  </si>
  <si>
    <t>Secretaria Distrital de Planeación
Secretaría Distrital de Movilidad
Secretaría Distrital de Ambiente
Secretaría Distrital de Gobierno
IDU
Curadurías Urbanas</t>
  </si>
  <si>
    <t>Registro actualizado y permanente de la población recicladora</t>
  </si>
  <si>
    <t>Registro RURO actualizado</t>
  </si>
  <si>
    <t>Expedicion tardia por parte de la Subdireccion de Asuntos Legales del acto administractivo de modificacion, inclusion o retiro de recicladores del RURO</t>
  </si>
  <si>
    <t xml:space="preserve">Se expidio resolucion 378 del 30 de agosto de 2016 mediante la cual se realizo la actualizacion del Registro Unico de Recicladores-RURO, de la siguiente manera: Retiro 4, inclusión 77, y corrección de documento 4.  </t>
  </si>
  <si>
    <t>Apoyo para el fortalecimiento empresarial de las organizaciones de recicladores</t>
  </si>
  <si>
    <t>Registro Unico de Organizaciones de Recicladores actualizado y completo, para el seguimiento a su proceso de formalización</t>
  </si>
  <si>
    <t>Ausencia o deficit en el acompañamiento técnico necesario para del desarrollo o adecuación de la herramienta tecnólogica corrrespondiente.</t>
  </si>
  <si>
    <t>Oficina de Tecnologias de la Información y la Comunicación</t>
  </si>
  <si>
    <t>Secretaría General - Subdirección Distrital de Inspección, Vigilancia y Control de Personas Jurídicas Sin Ánimo de Lucro</t>
  </si>
  <si>
    <t>Prestar Asistencia psicosocial.  Sistema de seguimiento a la condición de vulnerabilidad del reciclador de oficio</t>
  </si>
  <si>
    <t xml:space="preserve">Un plan de acompañamiento para el fortalecimiento de las organizaciones de recicladores </t>
  </si>
  <si>
    <t>Falta de compromiso de las entidades involucradas</t>
  </si>
  <si>
    <t>Secretaría Distrital de Integración Social
Secretaría Distrital de Salud
Secretaría Distrital de Gobierno
Secretaría Distrital de Ambiente
Secretaría Distrital de Planeación</t>
  </si>
  <si>
    <t>Sustitución de vehículos de tracción humana (VTH)</t>
  </si>
  <si>
    <t>Un estudio de alternativas de Transporte para el programa de  VTH</t>
  </si>
  <si>
    <t>El Convenio queda firmado este año pero los resultados se van a entregar en febrero.</t>
  </si>
  <si>
    <t>Subdirección de Asuntos Legales
Subdirección Administrativa y Financiera</t>
  </si>
  <si>
    <t>Universidad Nacional</t>
  </si>
  <si>
    <t>Se realizó toda la etapa pre contractual para la elaboración del estudio que tiene como objeto "Realizar el estudio técnico de la caracterización de residuos generados, así como tendencias de consumo en la Ciudad de Bogotá y la formulación de una propuesta de diseño conceptual de un sistema de transporte de residuos aprovechables, que son recogidos y transportados por parte de las asociaciones de recicladores en proceso de formalización en la ciudad de Bogotá D.C." Dichos estudios fueron radicados a finales de agosto y se está a la espera de que inicie la etapa contractual del proceso.</t>
  </si>
  <si>
    <t xml:space="preserve">Implementar acciones de aprovechamiento de llantas </t>
  </si>
  <si>
    <t>Acciones para el aprovechamiento de Llantas.</t>
  </si>
  <si>
    <t>Falta o deficiencia de liderazgo por la entidad que convoca la mesa (SDA)
Falta de interés por parte de los actores con poder en la toma de decisiones.</t>
  </si>
  <si>
    <t>Dirección General
Subdirección de RBL
Subdirección de Disposición Final
Subdirección Administrativa y Financiera
Subdirección de Asuntos Legales
Oficina Asesora de Comunicaciones y Relaciones Interinstitucionales</t>
  </si>
  <si>
    <t>Secretaría Distrital de Ambiente
Secretaría Distrital de Gobierno
Secretaría Distrital de Movilidad
IDU, UMV.</t>
  </si>
  <si>
    <t>Implementar acciones de manejo de residuos sólidos especiales (voluminosos, residuos de difícil manejo)</t>
  </si>
  <si>
    <t>Un (1) documento técnico que analice el ciclo de vida de los residuos sólidos especiales y diseñar la estrategia y las lineas de acción necesarias para su gestión.</t>
  </si>
  <si>
    <t>Falta de interés de los actores para gestionar este tipo de residuos</t>
  </si>
  <si>
    <t>Secretaría Distrital de Ambiente</t>
  </si>
  <si>
    <t>Definir una línea base de separación en la fuente</t>
  </si>
  <si>
    <t>Capacitación a organizaciones de recicladores en proceso de fortalecimiento</t>
  </si>
  <si>
    <t>Taller de capacitación con SSPD, CRA, y MVCT</t>
  </si>
  <si>
    <t>Disponibilidad de agenda de las entidades que realizarán la capacitación</t>
  </si>
  <si>
    <t>Oficina Asesora de Planeación
Oficina Asesora de comunicaciones y Relaciones Interinstitucionales</t>
  </si>
  <si>
    <t>SSPD, CRA. MVCT</t>
  </si>
  <si>
    <t>Fomentar el aprovechamiento de residuos sólidos en área rural</t>
  </si>
  <si>
    <t>Un (1) documento técnico con la línea base de aprovechamiento y separación en la fuente en la ruralidad avanzado en un 50% que contemple la estrategia y las lineas de acción necesarias para su gestión.</t>
  </si>
  <si>
    <t>Ausencia o deficit en el acompañamiento técnico necesario para del desarrollo del levantamiento de la información.</t>
  </si>
  <si>
    <t>Subdirección de RBL
Subdireccón de Disposición Final
Oficina Asesora de Comunicaciones y Relaciones Interinstitucionales</t>
  </si>
  <si>
    <t>Secretaría Distrital de Ambiente
Secretaría Distrital de Hábitat
Secretaría Distrital de Gobierno</t>
  </si>
  <si>
    <t>Disponer el 100% de los residuos que ingresan al RSDJ</t>
  </si>
  <si>
    <t>Brindar las condiciones técnicas básicas para la operación del RSDJ</t>
  </si>
  <si>
    <t>Contrato suscrito para el reforzamiento estructural de la PTL</t>
  </si>
  <si>
    <t>.- Cambios en los requerimientos técnicos para operación de la PTL.
.- Modificación en los requerimientos normativos y técnicos, que exijan una mayor inversión.</t>
  </si>
  <si>
    <t>Centro de Gerenciamiento de Residuos Doña Juana ESP SA.
Ut Inter DJ.</t>
  </si>
  <si>
    <t>Ejecutar el Plan de Gestión Social para la recuperación territorial, social, ambiental y económica del área de influencia directa del RSDJ</t>
  </si>
  <si>
    <t>Ejecución de 7 proyectos orientados a mitigar y/o compensar los impactos negativos ocasionados por la operación del RSDJ en la población aledaña.</t>
  </si>
  <si>
    <t>Incumplimiento de los ejecutores de los contratos.
Insuficiente o nula participación de las comunidades a las que se dirigen las acciones.</t>
  </si>
  <si>
    <t>Junta de Acción Comunal Mochuelo.
Ejecutores de contratos.</t>
  </si>
  <si>
    <t>Brindar las condiciones técnicas básicas para la operación del RSDJ.</t>
  </si>
  <si>
    <t>Contrato de obras de infraestructura para estabilización del terreno. Dique VI - Fase II.</t>
  </si>
  <si>
    <t xml:space="preserve">.- Temporada invernal.
.- Incumplimiento del contratista.
</t>
  </si>
  <si>
    <t>Identificar alternativas potenciales para el proceso de disposición final y/o tratamiento de residuos sólidos en términos de ubicación y tecnología.</t>
  </si>
  <si>
    <t>Áreas potenciales identificadas para disposición final de residuos y/ aprovechamiento.</t>
  </si>
  <si>
    <t>Incumplimiento del contratista.</t>
  </si>
  <si>
    <t>Universidad Nacional de Colombia.
Secretaría Distrital de Planeación.
Gobernación de Cundinamarca.
IGAC.</t>
  </si>
  <si>
    <t>El 1 de agosto se suscribió contrato interadministrativo 203 de 2016 (Acta de inicio 3 de agosto), con fecha de finalización el 31 de diciembre 2016.
Por lo anterior, se reprograma cuantitativamente: 25% en agosto, 25% septiembre; 25% noviembre y 25% diciembre.
El avance reportado, corresponde a la entrega del "Informe de Etapa 0" que contiene la revisión y análisis de requerimientos del Auto 195 de la CAR, estado del arte e información de antecedentes del tema y el cronograma de actividades.</t>
  </si>
  <si>
    <t>Tecnologías viables para la disposición final y/o tratamiento de residuos sólidos.</t>
  </si>
  <si>
    <t>Ejecutor seleccionado.</t>
  </si>
  <si>
    <t>Este estudio depende de la consecución de recursos de otras entidades.</t>
  </si>
  <si>
    <t>Gestión previa para la adquisición de predios para barrera ambiental y protección de fuentes hídricas.</t>
  </si>
  <si>
    <t>Insumos técnicos, jurídicos y sociales para la adquisición de predios necesarios para protección de fuentes hidrica (Estudios de títulos, Registro topogafico, Levantamiento topografico general, Plan de Gestión Social específico para los predios y avalúo de predios).</t>
  </si>
  <si>
    <t>Incumplimiento de los contratistas.</t>
  </si>
  <si>
    <t>Subdirección Administrativa y Financiera</t>
  </si>
  <si>
    <t>Unidad Administrativa Especial de Catastro Distrital.
IGAC.</t>
  </si>
  <si>
    <t>26 servicios funerarios integrales prestados en los cementerios de propiedad del Distrito</t>
  </si>
  <si>
    <t>1048. Gestión para la ampliación y modernización de los servicios funerarios prestados en los cementerios de propiedad del Distrito Capital</t>
  </si>
  <si>
    <t>Entregar 26 servicios funerarios integrales prestados en los cementerios de propiedad del distrito</t>
  </si>
  <si>
    <t>Estudios y diseños para la ampliación y/o modernización de los cementerios de propiedad del Distrito.</t>
  </si>
  <si>
    <t>Informes de avance de los estudios y diseños</t>
  </si>
  <si>
    <t>Que no se cuente con los estudios previos a tiempo que permitan dar inicio a los procesos contractuales</t>
  </si>
  <si>
    <t>Subdireccion de Servicios Funerarios y Alumbrado Público</t>
  </si>
  <si>
    <t>Empresas que aportan las cotizaciones para la elaboración de los estudios de mercado</t>
  </si>
  <si>
    <t>Se compraron predios para tener la infraestrucutura de los 26 servicios a suplir, sin embargo éstos estan sujetos a la aprobación de los planes de regulación y manejo, hasta finales del 2015 se comenzo a estructurar el PMR, éstos pasaron para aprobación , una vez aprobados se comenzaran hacer los diseños.</t>
  </si>
  <si>
    <t>Ejecutar obras civiles para la ampliación y/o modernización de los cementerios de propiedad del Distrito.</t>
  </si>
  <si>
    <t>Contrato en ejecución - Informes de avance de obra</t>
  </si>
  <si>
    <t>Externalidades de tipo natural (desastre) o una posible liquidación de la Unión Temporal que adelanta el contrato de suminsitro de hornos crematorios</t>
  </si>
  <si>
    <t>Firmas de contratistas</t>
  </si>
  <si>
    <r>
      <rPr>
        <b/>
        <sz val="11"/>
        <rFont val="Arial"/>
        <family val="2"/>
      </rPr>
      <t>Julio</t>
    </r>
    <r>
      <rPr>
        <sz val="11"/>
        <rFont val="Arial"/>
        <family val="2"/>
      </rPr>
      <t xml:space="preserve">. En este periodo el contratista efectuó la demolición de los hornos 1 y 2 antiguos del cementerio norte. A este punto los 2 equipos faltantes por instalar se encuentran listos en planta para realizar su montaje definitivo, a la fecha hay dos de los cinco hornos con permiso de emisiones y operando.
</t>
    </r>
    <r>
      <rPr>
        <b/>
        <sz val="11"/>
        <rFont val="Arial"/>
        <family val="2"/>
      </rPr>
      <t>Agosto</t>
    </r>
    <r>
      <rPr>
        <sz val="11"/>
        <rFont val="Arial"/>
        <family val="2"/>
      </rPr>
      <t xml:space="preserve"> el operador instaló los dos últimos hornos en el cementerio norte, a la fecha se encuentran instalados los 5 hornos y están operando 2. El proveedor realizo ajustes para el arranque de estos dos últimos hornos</t>
    </r>
  </si>
  <si>
    <t>Fortalecer 100% la planeación del servicio y la gestión de control, supervisión y evaluación de los servicios funerarios prestados en los cementerios de propiedad del Distrito Capital</t>
  </si>
  <si>
    <t>Interventoría a la operación de los cementerios de propiedad del Distrito</t>
  </si>
  <si>
    <t>Informes de interventoría</t>
  </si>
  <si>
    <t>Demoras en el inicio del proceso contractual (Concurso de mérito - convenio interadministrativo)</t>
  </si>
  <si>
    <t>Firma con la que contrate la interventoría</t>
  </si>
  <si>
    <t>Se elaborar un (1)  estudios previos se encuentran en la Subdirección de Asuntos Legales</t>
  </si>
  <si>
    <t>Supervisión a la interventoría a la operación de los cementerios de propiedad del Distrito.</t>
  </si>
  <si>
    <t>Informes de supervisión</t>
  </si>
  <si>
    <t>Que no se pueda contar con el convenio interadministrativo que apoye la gestión de supervisión a la operación de los cementerios de propiedad del Distrito.</t>
  </si>
  <si>
    <t>Firma con quien se adelante el convenio interadministrativo y Contratistas</t>
  </si>
  <si>
    <t xml:space="preserve">Debido a problemas de carácter administrativo se optó por contratar personal de apoyo y luego se establecio una supervisión directa. Existen estudios previos para realizar la interventoria en el año 2017, los cuales se encuentran en jurídica de la UAESP, por el momento se va a firmar un convenio con la U. Distrital a partir del mes de Octubre para apoyo a la Supervisión. </t>
  </si>
  <si>
    <t>4.000 subsidios del servicio funerario entregados a población vulnerable de Bogotá</t>
  </si>
  <si>
    <t>Subsidiar servicios funerarios prestados en los cementerios de propiedad del Distrito Capital a la población en condición de vulnerabilidad</t>
  </si>
  <si>
    <t>Subsidios funerarios entregados a población en condición de vulnerabilidad</t>
  </si>
  <si>
    <t>Que se agoten los recursos destinados para el pago de subsidios</t>
  </si>
  <si>
    <t>Fiducoldex</t>
  </si>
  <si>
    <t xml:space="preserve">EL indicador para el año 2016 son 500 Subsidios
No. 110  Subsidios Funerarios Entregados en julio
No 122 Subsidios Funerarios Entregados en agosto </t>
  </si>
  <si>
    <t>Pilar 3. Construcción de Comunidad y Cultura Ciudadana</t>
  </si>
  <si>
    <t>Aumentar en 17 puntos porcentuales las personas que consideran que el barrio en el que habitan es seguro</t>
  </si>
  <si>
    <t>19. Seguridad y convivencia para todos</t>
  </si>
  <si>
    <t>1045. Gestión para la eficiencia energética del servicio de alumbrado público en- D.C</t>
  </si>
  <si>
    <t>Fortalecer 100 % la planeación del servicio y la gestión de control, supervisión y evaluación de la prestación del servicio de alumbrado público en el Distrito Capital</t>
  </si>
  <si>
    <t>Interventoría a la operación del servicio de alumbrado público en Bogotá D.C.</t>
  </si>
  <si>
    <t>Que no se pueda llevar a cabo las prórrogas de los contratos de interventoría vigentes.</t>
  </si>
  <si>
    <t>Firmas con quienes se suscribió los contratos de consultoría</t>
  </si>
  <si>
    <t>Las interventorias del  servicio de alumbrado público, entregaron los informes de actividades correspondientes al mes de julio  de 2016, la periodicidad de los informes es mensual y y se presenta mes vencido.</t>
  </si>
  <si>
    <t>Supervisión a la interventoría a la operación del servicio de alumbrado público en Bogotá D.C.</t>
  </si>
  <si>
    <t>Informes de supervisión y apoyo a la gestión misional</t>
  </si>
  <si>
    <t>Que no se cuente con el personal técnico requerido para adelantar la supervisión</t>
  </si>
  <si>
    <t>Contratistas</t>
  </si>
  <si>
    <t xml:space="preserve">Para el mes de Agosto  se realizó el informe de supervisión y control correspondientes al mes de julio de 2016, la periodicidad es mensual y se presenta mes vencido. </t>
  </si>
  <si>
    <t>Eje 7. Gobierno Legítimo, fortalecimiento local y eficiencia</t>
  </si>
  <si>
    <t xml:space="preserve">Incrementar a un 90% la sostenibilidad del SIG en el Gobierno Distrital </t>
  </si>
  <si>
    <t>42. Transparencia, gestión pública y servicio a la ciudadanía</t>
  </si>
  <si>
    <t>1042. Fortalecimiento institucional de la gestión publica</t>
  </si>
  <si>
    <t>Mejorar el 100% de la capacidad operativa y administrativa para el buen desarrollo organizacional de la Unidad</t>
  </si>
  <si>
    <t xml:space="preserve">°Estrategia de comunicación interna
°Boletín virtual
°Noticiero Interno
°Eventos con funcionarios
°Campañas de comunicación interna </t>
  </si>
  <si>
    <t xml:space="preserve">Canales, piezas y campañas internas de comunicación para divulgar y dar a conocer el que hacer y apuestas de la entidad </t>
  </si>
  <si>
    <t xml:space="preserve">Fallas en la red interna de la entidad; restricción en el uso de redes sociales al interior de la entidad; no contar con el software requerido para las obtención de las diferentes piezas gráficas y audiovisuales y no contar con los insumos apropiados para el desarrollo de las estrategias comunicativas </t>
  </si>
  <si>
    <t>Oficina de Tecnologías de la Información y las Comunicaciones; Subdirección de Asuntos Legales; Subdirección Administrativa y Financiera (Talento Humano); Oficina Asesora de Planeación; Subdirecciones Misionales</t>
  </si>
  <si>
    <t>Divulgar y posicionar en los diferentes grupos de interés de la ciudad; los planes, programas y proyectos de la Unidad Administrativa Especial de Servicios Públicos.</t>
  </si>
  <si>
    <t>°Estrategia de comunicación externa y digital
°Plan de medios
°Free Press
°Eventos de divulgación 
°Campaña de divulgación de los planes y programas de la entidad.</t>
  </si>
  <si>
    <t>Canales, piezas y campañas de comunicación externa para contribuir con el posicionamiento de los programas y proyectos de la entidad</t>
  </si>
  <si>
    <t xml:space="preserve">Retraso en el trámite de los procesos de contratación y en la entega de insumos de las áreas misionales </t>
  </si>
  <si>
    <t>Subdirecciones Misionales UAESP</t>
  </si>
  <si>
    <t>Entidades distritales que tienen relación directa o indirecta con la misionalidad de la UAESP</t>
  </si>
  <si>
    <t>°Piezas gráficas
°Eventos
°Alianzas público-privadas
°Estrategias de comunicaciones (Interna, externa, digital)
°Plan de medios
°Elaboración de contenidos</t>
  </si>
  <si>
    <t xml:space="preserve">Contratación del personal necesario para cumplir con el objetivo de la Oficina de Comunicaciones. </t>
  </si>
  <si>
    <t>Complicaciones en los procesos de contratación.</t>
  </si>
  <si>
    <t>Sostenimiento de la Infraestructura física de la Unidad</t>
  </si>
  <si>
    <t>UPS en condiciones adecuadas de funcionamiento</t>
  </si>
  <si>
    <t>Traslado de Datacenter</t>
  </si>
  <si>
    <t>Oficina de Tecnologías de la Información y las Comunicaciones</t>
  </si>
  <si>
    <t>Se esta realizando la adicion al contrato N° 292 de 2015, para realizar el mantenimiento correctivo que se requiere para el buen funcionamiento de las UPS</t>
  </si>
  <si>
    <t>Actualizar y modernizar la Infraestructura tecnológica de la Unidad</t>
  </si>
  <si>
    <t xml:space="preserve">Equipos tecnológicos perifericos renovados, telefonos IP, Escaner </t>
  </si>
  <si>
    <t>Terminación del servicio de arrendamiento
Falta de recursos</t>
  </si>
  <si>
    <t>Se realizo la adición de la Orden de Arrendamiento N° 8591 con la adqusición de mas equipos con la finalidad de actualizar la infraestructura tecnologica de la Unidad.</t>
  </si>
  <si>
    <t>Mejorar el servicio de conexión y conectividad de la Unidad</t>
  </si>
  <si>
    <t>Sistemas de comunicaciones Red Wileress - WiFi, dispositivo MiFi implementados</t>
  </si>
  <si>
    <t>Reforzamiento estructural sede
Terminación del Servicio</t>
  </si>
  <si>
    <t>Subdirección Administrativa y Financiera
Dirección General</t>
  </si>
  <si>
    <t>Se realizo el proceso contractual para la adquisición del servicio de conectividad para los dispositivos de internet Inalámbrico- MIFI para el fortalecimiento institucional de la gestión pública, efectiva y eficiente.
Se realizo la adquisición de 30 dispositivos MIFI los cuales se amparan bajo el CDP No 426 de 12 de agosto de 2016, del cual se descuenta el pago como un servicio de conectividad, ya que el proceso de Red Wirless no va para este edificio porque se desconoce si en octubre hay traslado de sede, se opto por este servicio de Red potable que se llama MIFI en reemplazo del WIFI, por eso se da por terminada la actividad y con cumplimiento porque ya se adquirió el servicio el cual va hasta el 31 de diciembre de 2016</t>
  </si>
  <si>
    <t>Implementacion de herramientas de seguridad de la información</t>
  </si>
  <si>
    <t>Sistema de gestión de la información implementado</t>
  </si>
  <si>
    <t>Falta de recursos para la adquisición de la herramienta</t>
  </si>
  <si>
    <t>POR FALTA DE RECURSOS NO SE REALIZARA EL HITO POR LO TANTO NO SE OBTENDRA EL PRODUCTO ESPERADO</t>
  </si>
  <si>
    <t>Adquisición y/o actualización de licencias de software</t>
  </si>
  <si>
    <t>Falta de recursos</t>
  </si>
  <si>
    <t>Se esta adelantando el proceso contractual de adquisicion de estas licencias. Etapa: Estudio de Mercado</t>
  </si>
  <si>
    <t>Sostenimiento de los aplicativos y sistemas de la Unidad</t>
  </si>
  <si>
    <t>Sistema de telefonía IP y demas equipos eléctricos de la Unidad en correcto funcionamiento</t>
  </si>
  <si>
    <t>Se publico en SECOP el proceso para la compra de Escaner y demas elementos.</t>
  </si>
  <si>
    <t>Soporte técnico y desarrollo de nuevos requerimientos en los aplicativos PERNO, SAE /SAI Y TERCEROS II (Si Capital)</t>
  </si>
  <si>
    <t>Se contrato el soporte tecnico con sostenimeintos de funcionalidades de los aplicativos PERNO, SAE/SAI, SI CAPITAL</t>
  </si>
  <si>
    <t>Soporte técnico (Mesa de Servicios)</t>
  </si>
  <si>
    <t>Implementar el SGSST</t>
  </si>
  <si>
    <t>Sistema de SGSST implementado en un 80%</t>
  </si>
  <si>
    <t>No llevar a cabo el proceso de Contratación de personal experto y requerido en tema</t>
  </si>
  <si>
    <t>Oficina Asesora de Planeación (articulación con los demás elemenos del sistema)</t>
  </si>
  <si>
    <t xml:space="preserve">Alcaldía Mayor DDDI (Lineamientos); SDS (_); Mintrabajo (Asesoría y lineamientos) </t>
  </si>
  <si>
    <t>estudios de mercado  para adquisición de elementos de protencion personal,  compra de elementos de seguridad  industrial.  Radicación proceso contractual asesor del SGSST.</t>
  </si>
  <si>
    <t>Formular y ejecutar el Plan Cuatrienal Institucional de Bienestar</t>
  </si>
  <si>
    <t>Linea base de bienestar construida</t>
  </si>
  <si>
    <t>Imprevistos en la ejecución de las actividades programadas</t>
  </si>
  <si>
    <t>Análisis  de la información recopilada para  formación para formulación del plan,  avance  en actividades  programadas  para la vigencia  2016</t>
  </si>
  <si>
    <t>Formular y ejecutar el Plan Cuatrienal Institucional de Capacitación</t>
  </si>
  <si>
    <t>Linea base de capacitación construida</t>
  </si>
  <si>
    <t>Imprevistos en la ejecución de las capacitaciones programadas</t>
  </si>
  <si>
    <t>Todas las depencias de la UAESP</t>
  </si>
  <si>
    <t>Implementar el nuevo marco normativo contable</t>
  </si>
  <si>
    <t xml:space="preserve">Saldos iniciales definitivos a primero de enero de 2017 </t>
  </si>
  <si>
    <t>Falta de tiempo por parte de los responsables para cumplir con el tiempo establecido en cumplimiento de la actividad</t>
  </si>
  <si>
    <t>Se elaboro Plan Operativo de Sistemas (Aprobado por los Jefes de SAF y TIC´S), se han realizado Pruebas  interfase SICAPITAL (cargue de Saldos Iniciales, SAE/SAI, PERNO),                                           capacitaciones al Grupo Interno de Trabaj o NICSP, solicitud de Información a las áreas misionales de información que genere algún tipo de impacto para la información financiera de la Unidad, se establecio matriz  de Bienes de Uso Público y Propiedad Planta y Equipo, se realizo mesa de trabajo con la Secretaría Distrital de Hacienda (se presentarón los Avances de la Unidad en la Implementación de la Res.533/2015)</t>
  </si>
  <si>
    <t xml:space="preserve"> Formular e implementar el reglamento de cartera</t>
  </si>
  <si>
    <t>Procedimiento de cartera publicado en el SIG</t>
  </si>
  <si>
    <t>incumplimiento por parte del contratista
Tiempos de respuesta por parte de la Oficina Administradora del SIG</t>
  </si>
  <si>
    <t>Oficina Asesora de Planeación</t>
  </si>
  <si>
    <t>Circular 201660100000094 Socialización Reglamento Interno de Cartera de la Unidad Res.517 del 18/11/2015
Reunión el 19 agosto 2016 con la SAF, Oficina de Planeación, la  Dra. Elda Castañeda presentó el 23 de agosto la socialización ajustando el  reglamento interno de cartera,                                           la Dra. Elda Castañeda elaboró documento ajustado del Reglamento de Cartera, se enviarón observaciones por parte de la SAF.</t>
  </si>
  <si>
    <t>Gestión presupuestal de la entidad</t>
  </si>
  <si>
    <t>Informes de ejecución presupuestal
Presupuesto 2017
Balances Financieros</t>
  </si>
  <si>
    <t>Se reportaron los informes dentro del plazo establecido
Se encuentra en proceso de reporte</t>
  </si>
  <si>
    <t>Promover el 100% de la gestión institucional transparente</t>
  </si>
  <si>
    <t xml:space="preserve">Atender y hacer seguimiento a las PQRS, mediendo la satisfacción de los usuarios </t>
  </si>
  <si>
    <t xml:space="preserve">Informe mensual del estado y oportunidad de las PQRS y   encuentas de satisfacción de usuarios </t>
  </si>
  <si>
    <t xml:space="preserve">Inoportunidad a las respuestas de las PQRS
Fallas en el aplicativo SDQS
</t>
  </si>
  <si>
    <t>PQRS - Julio -  481
PQRS - Agosto - 555</t>
  </si>
  <si>
    <t>Fortalecer y mantener el 100% de la memoria institucional de la Unidad y promoveer la cultura de cero papel</t>
  </si>
  <si>
    <t>Tramitar las comunicaciones oficiales de la entidad</t>
  </si>
  <si>
    <t>Direccionamiento de correspondencia 100% con fiabilidad</t>
  </si>
  <si>
    <t>Redireccionamiento equivavado de las comunicaciones</t>
  </si>
  <si>
    <t xml:space="preserve">Documentos enviados y entregados
Julio - 1491 
Agosto - 1451 </t>
  </si>
  <si>
    <t>Gestionar la aprobación y aplicación de las TRD</t>
  </si>
  <si>
    <t>Tablas de retención implementadas</t>
  </si>
  <si>
    <t>No aprobación ni aplicación de las TRD</t>
  </si>
  <si>
    <t xml:space="preserve">Depencias de la UAESP </t>
  </si>
  <si>
    <t>Archivo Bogotá</t>
  </si>
  <si>
    <t>Dar de baja elementos obsoletos e inservibles</t>
  </si>
  <si>
    <t>100% de los bienes obsoletos e inservibles dados de baja</t>
  </si>
  <si>
    <t>Incumplimiento al procedimiento establecido</t>
  </si>
  <si>
    <t>Realizar el 100% del levantamento y avalúo del inventario físico</t>
  </si>
  <si>
    <t>Inventarios actualizados</t>
  </si>
  <si>
    <t>Carencia de personal para ejecutar la actividad</t>
  </si>
  <si>
    <t>Realizar las adecuaciones físicas, el suministro e instalación de mobiliarios que se requieran en las dependencias de la Unidad</t>
  </si>
  <si>
    <t>espacios adecuados</t>
  </si>
  <si>
    <t>Presupuesto insuficiente y falta de planeación
Incumplimiento del o los contratistas</t>
  </si>
  <si>
    <t>Dirección General</t>
  </si>
  <si>
    <t>Gestionar e implementar el 100% compromisos ambientales adquiridos en el marco del PIGA</t>
  </si>
  <si>
    <t>Informe de consumo de papel, combustible, energía y agua</t>
  </si>
  <si>
    <t>Insuficiencia de tiempo para elaborar y reportar el informe.</t>
  </si>
  <si>
    <t>Se han reportado los consumos en las fechas establecidas.</t>
  </si>
  <si>
    <t>Mantener y mejorar el proceso de Gestión de Asuntos Legales</t>
  </si>
  <si>
    <t>Manual de contratación y formatos actualizados</t>
  </si>
  <si>
    <t>Frecuente modificación de disposiciones Legales que regulan la Contratación Pública. El grado de complejidad de los documentos, formatos y modelos que conforman el manual de contratación que dificultan la agil aprobación por parte de la OAP</t>
  </si>
  <si>
    <t>Estamos ajustados a lo proyectado, teniendo en cuenta que en el curso del mes de agosto de 2016, se  revisaron, y ajustaron la totalidad de los formatos y algunos fueron eliminados, conforme a lo solicitado por  la Oficina Asesora de Planeación mediante radicado No. 20167010031343 Agosto 2 de 2016- 20167010035723 Agosto 24 de 2016</t>
  </si>
  <si>
    <t>Administrar y promover la sostenibilidad y mejora continua del Sistema Integrado de Gestión</t>
  </si>
  <si>
    <t>Rediseño del modelo de Operación (Fase 1)
Recertificación del Sistema de gestión de la calidad de la UAESP
Procesos, indicadores y riesgos publicados en el KAWAK</t>
  </si>
  <si>
    <t>Contratacón de personal idóneo</t>
  </si>
  <si>
    <t>Líderes y gestores de los procesos</t>
  </si>
  <si>
    <t>Establecer el Direccionamiento estratégico institucional</t>
  </si>
  <si>
    <t>Plan estratégico institucional
Planes de acción</t>
  </si>
  <si>
    <t>Dificultad para lograr el consenso</t>
  </si>
  <si>
    <t>Directivos</t>
  </si>
  <si>
    <t>Elaborar y divulgar los informes de seguimiento y evaluación de la planeación institucional</t>
  </si>
  <si>
    <t>Informes de seguimiento mensual de ejecución de los planes y el presupuesto de inversión.</t>
  </si>
  <si>
    <t>Deficiencias en los criterios de seguimiento</t>
  </si>
  <si>
    <t>Directivos y Planificadores</t>
  </si>
  <si>
    <t>Formular e implementar el PIGA</t>
  </si>
  <si>
    <t>Plan Institucional de Gestión Ambiental</t>
  </si>
  <si>
    <t>Restricciones técnicas de la herramienta STORM</t>
  </si>
  <si>
    <t>Grupo Técnico PIGA - Equipo de Innovación</t>
  </si>
  <si>
    <t>Evaluar en forma selectiva e independiente la gestión institucional</t>
  </si>
  <si>
    <t>* Realizar dos (2) Informes semestrales de PQRS de la Oficina Control Interno a la Dirección y publicarlo en la página web de la UAESP. 
* Realizar cuatro (4) seguimientos a las Estrategias del Plan Anticorrupción y de Atención al Ciudadano de la Unidad.</t>
  </si>
  <si>
    <t>Oficina de Control Interno</t>
  </si>
  <si>
    <t>Subdirección Administrativa y Financiera
Oficina Asesora de Comunicaciones y Relaciones Interinstitucionales</t>
  </si>
  <si>
    <t>* Se entrego informe de PQRs del primer semestre de 2016 con radicado No. 20161100032813 del 10 de agosto de 2016.
* Se realizó el seguimiento del Plan Anticorrupción y de Atención al Ciudadano de la Unidad y se publicó el 12 de septiembre de 2016.</t>
  </si>
  <si>
    <t>Realizar seguimiento a la relación con Entes Externos de Control.</t>
  </si>
  <si>
    <t xml:space="preserve">* Hacer seguimiento al trámite del 100% de los requerimientos de información de Entes Externos de Control.
* Hacer seguimiento a la Consolidación y Transmisión de las Cuentas periodicas a la Contraloría Distrital y a la Contraloria General de Nación que debe realizar la Dirección General de la Unidad. </t>
  </si>
  <si>
    <t>Evaluación y Seguimiento a los procesos, procedimientos y demás elementos del Sistema Integrado de Gestión de la Unidad.</t>
  </si>
  <si>
    <t>* Ejecutar y Coordinar el desarrollo del 100% del Programa Anual de Auditorias de la Unidad aprobado por el Comité Directivo.
* Hacer 2 seguimientos a la Administración de Riesgos por procesos de la Unidad, conforme procedimiento interno.</t>
  </si>
  <si>
    <t>* Se cumple con el Plan Anual de Auditorias, actualmente se  desarrollan las Auditorias programadas a los procesos de Tics y a la SDF.</t>
  </si>
  <si>
    <t>Elaborar y presentar Informes exigidos por Ley a cargo de la Oficina.</t>
  </si>
  <si>
    <t>Elaborar y presentar 12  Informes de Ley a cargo de la Oficina.</t>
  </si>
  <si>
    <t>Departamento Administrativo de la Función Pública.
Secretaría General de la Alcaldía Mayor.
Secretaría de Hacienda Distrital.</t>
  </si>
  <si>
    <t>* Se envió por correo electrónico a la Subdirección de Asuntos Legales la actualización del normograma del Proceso de Evaluación, Control y Mejora.
* Se envió seguimiento al  Programa Anual de Auditoría de la vigencia, a la Secretaría General de la Alcaldía Mayor el 18 de agosto de 2016, al correo paa@alcaldiabogota.gov.co</t>
  </si>
  <si>
    <t>Ejecutado</t>
  </si>
  <si>
    <t>Programado</t>
  </si>
  <si>
    <t>Sostenimiento de los aplicativos y sistemas de la Unidad
Soporte técnico (Mesa de Servicios)</t>
  </si>
  <si>
    <t>Sostenimiento de los aplicativos y sistemas de la Unidad
Soporte técnico y desarrollo de nuevos requerimientos en los aplicativos PERNO, SAE /SAI Y TERCEROS II (Si Capital)</t>
  </si>
  <si>
    <t>Sostenimiento de los aplicativos y sistemas de la Unidad
Sistema de telefonía IP y demas equipos eléctricos de la Unidad en correcto funcionamiento</t>
  </si>
  <si>
    <t>Implementacion de herramientas de seguridad de la información
Adquisición y/o actualización de licencias de software</t>
  </si>
  <si>
    <t>Implementacion de herramientas de seguridad de la información
Sistema de gestión de la información implementado</t>
  </si>
  <si>
    <t>Avance del Hito respecto a la Meta</t>
  </si>
  <si>
    <t>Cumplimiento</t>
  </si>
  <si>
    <t>Ponderación Meta</t>
  </si>
  <si>
    <t>Avance del Hito respecto al Proyecto</t>
  </si>
  <si>
    <t>Ponderación proyecto</t>
  </si>
  <si>
    <t>Avance</t>
  </si>
  <si>
    <r>
      <rPr>
        <b/>
        <sz val="18"/>
        <color theme="1" tint="0.499984740745262"/>
        <rFont val="Calibri"/>
        <family val="2"/>
        <scheme val="minor"/>
      </rPr>
      <t>Proyecto de inversión:</t>
    </r>
    <r>
      <rPr>
        <b/>
        <sz val="18"/>
        <color rgb="FF0070C0"/>
        <rFont val="Calibri"/>
        <family val="2"/>
        <scheme val="minor"/>
      </rPr>
      <t xml:space="preserve"> 1045-Gestión para la eficiencia energética del servicio de alumbrado público en Bogotá - D.C</t>
    </r>
  </si>
  <si>
    <r>
      <rPr>
        <b/>
        <sz val="18"/>
        <color theme="1" tint="0.499984740745262"/>
        <rFont val="Calibri"/>
        <family val="2"/>
        <scheme val="minor"/>
      </rPr>
      <t>Proyecto de inversión:</t>
    </r>
    <r>
      <rPr>
        <b/>
        <sz val="18"/>
        <color rgb="FF0070C0"/>
        <rFont val="Calibri"/>
        <family val="2"/>
        <scheme val="minor"/>
      </rPr>
      <t xml:space="preserve"> 1048-Gestión para la ampliación y modernización de los servicios funerarios prestados en los cementerios de propiedad del Distrito Capital</t>
    </r>
  </si>
  <si>
    <r>
      <rPr>
        <b/>
        <sz val="18"/>
        <color theme="1" tint="0.499984740745262"/>
        <rFont val="Calibri"/>
        <family val="2"/>
        <scheme val="minor"/>
      </rPr>
      <t>Proyecto de inversión:</t>
    </r>
    <r>
      <rPr>
        <b/>
        <sz val="18"/>
        <color rgb="FF0070C0"/>
        <rFont val="Calibri"/>
        <family val="2"/>
        <scheme val="minor"/>
      </rPr>
      <t xml:space="preserve"> 1109-Manejo integral de residuos sólidos en el Distrito Capital y la Región</t>
    </r>
  </si>
  <si>
    <r>
      <rPr>
        <b/>
        <sz val="18"/>
        <color theme="1" tint="0.499984740745262"/>
        <rFont val="Calibri"/>
        <family val="2"/>
        <scheme val="minor"/>
      </rPr>
      <t>Proyecto de inversión:</t>
    </r>
    <r>
      <rPr>
        <b/>
        <sz val="18"/>
        <color rgb="FF0070C0"/>
        <rFont val="Calibri"/>
        <family val="2"/>
        <scheme val="minor"/>
      </rPr>
      <t xml:space="preserve"> 1042- Fortalecimiento institucional de la gestión pública</t>
    </r>
  </si>
  <si>
    <t>Desarrollar y fortalecer el modelo de transformación organizacional de la entidad</t>
  </si>
  <si>
    <t>Identificar alternativas potenciales para el proceso de disposición final y/o tratamiento de residuos sólidos en términos de ubicación y tecnología.
Áreas potenciales identificadas para disposición final de residuos y/ aprovechamiento.</t>
  </si>
  <si>
    <t>Identificar alternativas potenciales para el proceso de disposición final y/o tratamiento de residuos sólidos en términos de ubicación y tecnología.
Tecnologías viables para la disposición final y/o tratamiento de residuos sólidos.</t>
  </si>
  <si>
    <t>Implementar acciones de aprovechamiento de llantas</t>
  </si>
  <si>
    <t xml:space="preserve">  Este mes se desarrollaron estrategias de concientizaciòn Gimnasio Los Robles (Alqueria): 35 personas, Puente Aranda, IED San Rafeal (Alqueria): 34 personas, Puente Aranda; Conjunto Residencial Bosque Verde: 26 personas de 4 multiusuarios, Evento: Alimentarte : 700 familias (2100 personas), ;  Edificio Agrupación Pradera de Tierra Grata: 11 personas localidad de Engativá; Policia Metropolitana: 52 personas locaclidad Tunjuelito; Senibilización puerta a puerta: 165 unidades localidad de Antonio Nariño; 14 personas Edificio el Parque localidad de Chapinero; Ministerio del interior 18 personas.</t>
  </si>
  <si>
    <t>Resultados alcanzados</t>
  </si>
  <si>
    <t>Septiembre</t>
  </si>
  <si>
    <t>Se enviaron a la Subdirección de Asuntos Legales, dos procesos contractuales de minima cuantia para contratar la elaboración de estudios y diseños de vías y construcción de tres gimnasios biosaludables, en el área de influencia del RSDJ). Se espera suscribir los contratos con las firmas seleccionadas, en el mes de octubre.</t>
  </si>
  <si>
    <t>El contratista entregó el primer producto "Identificación de áreas potenciales en Bogotá". Este primer producto fue remitido a la CAR para dar cumplimiento al Auto 195 de 2016, en el cual se le da a UAESP un plazo de 6 meses (a partird del 8 de marzo 2016) para presentar un estudio identificando las áreas potenciales para disposición final.</t>
  </si>
  <si>
    <t>Durante el curso del mes de septiembre de 2016, se realizaron actividades tales como reivisión y publicación de modelos de estudios previos y formatos del manual con su respectiva socialización, ajustes al texto del manual de contratación, envío a planeación de procedimientos de acuerdo a las modalidades de selección, incorporación de documentos en el SISCO y modificación de la minuta del SISCO con relación al acuerdo de integridad, entre otras. 
Se llevo a cabo socialización de los formatos del manual de contratación, sep 30 de 2016</t>
  </si>
  <si>
    <t>Se realizó la adición al contrato 292 de 2015, con CDP No. 574 y CRP No. 560 de 2016, el cual grarantizara el mantenimiento correctivo y preventivo de la infraestructura tecnológica, logrando asi el buen funcionamiento de las UPS</t>
  </si>
  <si>
    <t xml:space="preserve">Se realizo la contratación de los equipos de digitalización e impresión para la Unidad, con CDP No. 484 y CRP No. 540 de 2016. Se adquirieron 5 scanner y un plotter </t>
  </si>
  <si>
    <t xml:space="preserve">Se ha garantizado el buen funcionamiento de los telefonos y los equipos electronicos. </t>
  </si>
  <si>
    <t>Se realizo la contratación de los ingenieros de soporte (Si Capital) y se esta realizando el desarrollo en los aplicativos de acuerdo a los requerimientos presentados por la Subdirección Administrativa y Financiera</t>
  </si>
  <si>
    <t>Los requerimientos llegan al correo electronico soporte.tecnico@uaesp.gov.co y se le asigna al personal de planta o contratista el requerimiento de acuerdo a la solicitud, esto ha logrado el buen funcionamiento del software y hardware de la entidad.</t>
  </si>
  <si>
    <t>Se radico ante la Subdireccion de asuntos legales la solicitud de proceso contractual para "Realizar la actualización de los estudios de vulnerabilidad y los diseños del reforzamiento estructural del edificio de acceso a locales comerciales del cementerio Distrital del sur".</t>
  </si>
  <si>
    <t>Se realizaron las pruebas isocineticas de los Hornos 2 y 3 de los cementerios norte, al igual que al horno del cementerio serafín. Se está pendiente del otorgamiento de los permisos de emisiones por parte de la Secretaria de ambiente para los hornos 2 del cementerio sur y 2 y 3 del cementerio norte.</t>
  </si>
  <si>
    <t>Se radico a la Subdireccion de asuntos legales el proceso para iniciar proceso contractuala  a la contratacion de la interventoria a sf, que sera adjudicada en el mes de enero de 2017.</t>
  </si>
  <si>
    <t>Aun no se tiene el consolidado de subsidio otorgados correspondientes al mes de septiembre</t>
  </si>
  <si>
    <t>Actualmente contamos contratos de interventoria No.  098 y 099 de 2015 para supervision para la prestacion del servicio de alumbrado publico. Las interventorias del  servicio de alumbrado público, entregaron los informes de actividades correspondientes al mes de agosto de 2016, la periodicidad de los informes es mensual y y se presenta mes vencido.</t>
  </si>
  <si>
    <t xml:space="preserve">El grupo de supervision al operador e interventoria de la subdireccion se encuentra realizando el informe mensual de control y gestion al proceso corespondiente al mes de agosto. </t>
  </si>
  <si>
    <t>PROGRAMADO</t>
  </si>
  <si>
    <t>EJECUTADO</t>
  </si>
  <si>
    <t>* Se envió Informe de Seguimiento al trámite de solicitudes de entes externos de control, con el radicado 20161100043553 del 5/10/2016, dirigido a la Dirección de la Unidad.
* La cuenta del mes de septiembre a la Contraloría Distrital se transmitira a través del SIVICOF en los tiempos establecidos, así las cosas sera enviada el día septimo habil del mes.</t>
  </si>
  <si>
    <t>* Se cumple con el Plan Anual de Auditorias, en el mes de septiembre se  desarrollaron las Auditorias programadas a los procesos de Tics y a la SDF.</t>
  </si>
  <si>
    <t>* Se realizó corte al 30 de septiermbre del Mapa y del plan de manejo de Riesgos .
* Se realizó corte al 30 de septiembre del Plan de mejoramiento por Procesos.
Estos informes se consolidan y se envian en noviembre.</t>
  </si>
  <si>
    <t>El equipo pedagógico elaboró, presentó y ajuste el documento técnico sobre las líneas de acción para la campaña de cultura ciudadana en la ciudad en los temas relacionados a la formación de usuarios del servicio de aseo. Así mismo, envío al asesor Francisco Javier Acosta el documento para la construción de estudios previos.</t>
  </si>
  <si>
    <t>Para el mes de septiembre han asistido a las jornadas de información y capacitación 1073 personas. A continuación los datos desglosados por tipo de usuarios: multiusuarios 16- 120 personas, residenciales 273 personas, establecimientos comerciales: 3 - 47 personas,  colegios 5 - 405 personas,  entidades nacionales y distritales 5 - 228 personas.</t>
  </si>
  <si>
    <t>Se han iniciado las gestiones para realizar los talleres de capacitación a lasorganizaciones de recicladores de oficio.</t>
  </si>
  <si>
    <t xml:space="preserve">Se participó en el comité de contratación para evaluar el proceso de elaboración del estudio de caracterización de residuos sólidos en origen y se realizaron los ajustes sugeridos a los estudios previos, como resultado de esto, fue elaborada la minuta, que a final de mes estaba en posesión de la Universidad Nacional para su revisión y comentarios. </t>
  </si>
  <si>
    <t>Se realizó anteproyecto de ECA  piloto en en el predio de la Alqueria localidad de Kennedy.
Se edelanta la busqueda de predios para implantacion de ECAs en las localidades en las que ya se  tienen acuerdos de corresponsabilidad con algunas asociaciones de recicladores.
La busqueda se realizo dentro de los listados de predios entregados por algunas entidades distritales como IDU para convenios  y ademas en el mercado comercial para compra de donde resultaron 6 predios con viabilidad de implantacion de una ECA.</t>
  </si>
  <si>
    <t>Se expidio resolucion 420 del 20 de septiembre de 2016 mediante la cual se realizo la actualizacion del Registro Unico de Recicladores, RURO asi: Retiro 5, inclusión 80, y corrección de documento 2.</t>
  </si>
  <si>
    <t>La adecuación del aplicativo RURO se encuentra en la etapa final; para su prueba se ha instalado en las 5 ECA cuya administración esta a cargo de la UAESP y se han realizado 4 visitas a bodegas privadas con el fin de verificar la posibiidad de instalarlo para probarlo allí antes del inicio de su entrega oficial.</t>
  </si>
  <si>
    <t xml:space="preserve">    Se citaron para el día 14 de septiembre a la SED, SDIS, SDMujer, SDS, SCRD para dar a conocer qué es el Plan de inclusión social en cumplimiento de los Autos de la Corte Constitucional y de acuerdo a la misionalidad por entidad para la atención a esta población y así lograr una planificación acertada en cuanto cumplimiento de las metas trazadas para los siguientes cuatro años. Faltaron SDS Y SCRD. 
         Se plantea como una necesidad activar la mesa distrital para el Plan de inclusión   social, la UAESP empezará los trámites para tal fin. Las entidades quedaron en enviar a más tardar el lunes 10 de octubre un documento de referencia que permita conocer lo trabajado desde su misionalidad y el tercer informe para enviar a la Procuraduría General de la Nación.</t>
  </si>
  <si>
    <t xml:space="preserve">El 9 de septiembre del año en curso, en el marco del programa Rueda Verde, se realizó el retiro de 223 llantas almacenadas temporalmente en el Centro La Alquería, para ser aprovechadas. Además, se realizó una revisión del POT vigente con el fin de verificar el tipo de infraestructuras que pueden servir para la gestión de este tipo de residuos. </t>
  </si>
  <si>
    <t>Se realizó una revisión del POT vigente con el fin de verificar el tipo de infraestructuras que pueden servir para la gestión de este tipo de residuos, como punto de partida para la elaboración del documento solicitado.</t>
  </si>
  <si>
    <t>Se han iniciado las gestiones para realizar los talleres de capacitación a las organizaciones de recicladores de oficio.</t>
  </si>
  <si>
    <t>Se viene gestionando un convenio con Secretaria Distrital de Integracion Social para fortalecer la recoleccion y transporte de residuos aprovechables en la ruralidad por parte de las ORAS</t>
  </si>
  <si>
    <t xml:space="preserve">1. El rediseño del modelo de operación. Se ha avanzado con los elementos de los componentes en las 4 dimensiones del Modelo de transformación organizacional, lo cual es insumo para el proyecto de resolución de la modificación de la resolución 612, que actualmente se está trabajando. Adicional se han modificado los documentos del Sistema, orientados hacia procesos transversales. Se formuló con el apoyo del grupo de innovación y la Oficina de Comunicaciones la estrategia de divulgación del SIG.  2. Recertificación SIG. De acuerdo con el cronograma de trabajo, envío el plan de auditoria fase 1. La auditoría fase 1 se realizará el 21 de octubre y la fase 2 los días 31 de octubre, 1 y 2 de noviembre. 3. Se han modificado los objetivos de todos los procesos, ajustado caracterizaciones, indicadores y riesgos. En cuanto la herramienta Kawak, se realizó la depuración del listado activo, se definió el administrador. Se actualizó el versionamiento de la herramienta, y está pendiente de firma del contrato de capacitación a los servidores en los módulos que cuenta la unidad, para su implementación. En cuánto los indicadores, se realizó la revisión en conjunto con la Oficina de Control Interno sobre los reportes 2015, y se tomaron algunas consideraciones a tener en cuenta en la formulación de los nuevos indicadores 2016. El reporte se está empezando a ingresar en la herramienta. </t>
  </si>
  <si>
    <t>Se realizó seguimiento al Plan de Acción Institucional de acuerdo con los 4 proyectos de inversión del nuevo Plan de Desarrollo BMPT, con un porcentaje de cumplimiento en promedio del 38%.</t>
  </si>
  <si>
    <t>Se hizo seguimiento a la ejecución de los recursos de inversión de la vigencia con un porcentaje de avance del 65%, las reservas presupuestales con un porcentaje de avance en giros del 45% y los pasivos exigibles.</t>
  </si>
  <si>
    <t>Se llevó a cabo una reunión en la SDA con el Ingeniero Carlos Daniel Jiménez Zambrano y se revisó el documento PIGA enviado por la UAESP mediante correo eletrónico, donde se recibieron lineamientos generales para hacer ajustes al documento con el compromiso por parte de la Unidad de entregarlo con ajustes en el mes de octubre de 2016.</t>
  </si>
  <si>
    <t>* Se  suscribio  contrato con el profesional Asesor para el SGSST.
* Se genero un diagnostico del sistema de gestion con el asesor Alexander Bernal.
* se llevo acabo la capacitación por parte del proveedor de positiva (linea de vida), sobre el tema de primeros auxilios camillaje
*  Se adelantaron las elecciones para la conformación del COPASST 2016-2018
*  Se esta Cosolidación y copilación de la información soporte del SGSST</t>
  </si>
  <si>
    <t>1. Se recibio respuesta mediante Rad. 2016-601-0200652 del derecho de petición referente a la información de avalúo desagregado de predios de la Unidad. 2.Se recibio concepto de la CGN  con Rad.2016000025541 sobre la consulta para el Tratamiento contable de las consignaciones pendientes por identificar. 3. El área de álmacen mediante correo electronico del 12/096/16 informa los avances de toma de inventarios,propuesta de vida util por cada uno de los elementos de la Unidad y demás compromisos. 4.Se realizo reunión el 14/09/2016 con el área de TIC`S para ajustar el cronograma del plan operativo de sistemas. 5.- Mediente RAD. 20166010040483 Se reitero a la Subdirecciòn de Asuntos Legales información del "Deterioro Cuentas por Cobrar-UAESP" 6. Se solicitó concepto a la CGN sobre la clasificación de los Cementerios como PPYE / Bienes de Uso Público. 7. Se solicito mesa de trabajo a la SDH en los temas de reconocimiento de ingresos por transferencias y la estimación de provisiones en el aplicativo  SIPROJ. 8. Se realizarón pruebas de contabilizaciòn en el módulo de Limay(nómina y parafiscales) 9. el 26/09/2016 se reaizo reuniòn con el àrea de Tesoreria y Planeación para realizar Instructivo de partidas pendientes por identificar.</t>
  </si>
  <si>
    <t xml:space="preserve">Se realizó reuniòn el 20/09/2016 para revisar la 2da versión del proyecto de Reglamento de Interno de Cartera con la asistencia de la SAF, SAL.  El 21/09/16 se realizó mesa de trabajo para afinar la implementaciòn de Normas Internacionales Sector Público-NICSP Res.533/15 . Mediente correo eletronico del 20/09/16 la SAL envia modelo de documentos -(Cobro persuasivo y acuerdos de pago) </t>
  </si>
  <si>
    <t>Se han presentado oportunamente los informes correspondientes tanto como presupuestales como financieros.</t>
  </si>
  <si>
    <t>1. La oficina de atención al ciudadano en este mes hizo seguimiento a 562 requerimientos allegados a la entidad por 8 tipologias, de las cuales hay mayor concentración de cierres por: Petición de Interes General 289, Petición de Interes particular 192,   Reclamo 33  y Quejas 27  todos se registraron en el sistema SDQS.
2. Se presentaron los informes informes que de caracter obligatorio se deben reportar a la Alcaldía Mayor de Bogotá, a la Veeduría y a la oficina de planeación de la entidad los informes de Indicadores y de canales en los tiempos regulados.
3. Con respecto al grado de satisfacción se recibieron 10 encuestas. el mayor indice de llamadas lo hacen las mujeres; los Ciudadanos que mas llaman estan en un rango de edad entre 31 a 59 años, la mayoría son de estrato ocupación  hogar las cuales en su totalidad son Peticiones de Interes General, por el medio que se hace la solicitud es el Teléfono,  de igual forma califican la amabilidad y respeto de la persona que atiende como Excelente, califican la calidad de la información como Excelente, orientación brindada y rapidez como Excelente. El tiempo que tuvo que esperar el ciudadano para ser atendido  fue hasta cinco minutos igual que  el tiempo que duro la atención.</t>
  </si>
  <si>
    <t>En razon a las devoluciones se evidencia que la causa general corresponde a direcciones erradas o número no existe, para lo cual se realiza la verificacion con las respectivas areas con el fin de continuar disminuyendo el número de devoluciones y asegurar las respectivas entregas. 1951 Enviados-240 Devueltos.</t>
  </si>
  <si>
    <t>Preaprobadas por el jefe de area u oficina, firmadas y presentadas al Comité Interno de Archivo el pasado 21 de septiembre, el cual emitio acta de aprobación. En proceso de elaboración y firma del acto administrativo( Resolución) de adopcion e implementación por parte de la Unidad.</t>
  </si>
  <si>
    <t>Se realizó el comité de inventarios, en el cual se aprobó la baja de los bienes presentados con concepto técnico.</t>
  </si>
  <si>
    <t>Se realizó la toma de inventarios de 750 placas con los funcionarios del Almacén, dejando así el inventario actualizado en un 100%.</t>
  </si>
  <si>
    <t>Se finalizó la cubierta y se impermeabilizó de la calle 53.                                                                                                Mantinimiento de puestos de trabajos y cambio de chapas de las sedes adminsitrativas de la Uaesp}</t>
  </si>
  <si>
    <t>Se reporto de acuerdo con lo establecido a las áreas que solicitan la información.</t>
  </si>
  <si>
    <t xml:space="preserve">
-Apoyo a la estrategia Digital de la Alcaldía Mayor de Bogotá.
-En total, sumando la divulgación de contenidos de la UAESP y los contenidos digitales de la Alcaldía, las cuentas de la entidad presentaron los siguientes indicadores: 
*En Facebook tuvimos un alcance de 40.092 personas a través de nuestras publicaciones, del 01 al 30 de septiembre de 2016.
*En Twitter tuvimos 411.487 impresiones del 01 al 30 de septiembre de 2016.
-El comportamiento de la página web de la entidad durante este periodo fue el sigueinte:
Página web:
-4.758 visitas 
-2705 usuario nuevos.
-Duración media de la sesión: 2:52 min
-25  actualizaciones de contenido realizadas (artículos, banners, documentos)
-Como parte de las actividades realizadas por la OAC durante el mes de septiembre se registran 7 diseños de campaña externa, participación ciudadana y servicios de la Entidad y un (1) boletín de noticias.
-La OAC también asesora y participa en la creación editorial del periódico Doña Juana, duranteeste messe registra lapublicación de la última edición de este periódico.
-Campaña de divulgación digital,estrategia de comunicación y organización del evento "El centro embellece".
-Alianza estratégica realizada con Bancolombia, Probogotá y Aso Sandiego. 
-Campaña de divulgación digital y estrategia de comunicación de las diferentes jornadas de embellecimiento y recuperación realizadas por la Unidad. 
-Divulgación digital "Jornada de embellecimiento en la plaza principal de Suba".
-Divulgación digital y acompañamiento en jornada de diagnóstico y caracterización de recolección de residuos en Sumapaz.
-Acompañamiento y divulgación durante el Cabildo Abierto por la salud de Usme.
-Acompañamiento y divulgación durante la jornada de recolección en la cicloruta El Salitre  
-Acompañamiento y divulgación durante la   intervención en canal del Parque El Virrey y descontaminación de pasacalles y pendones.
-Acompañamiento y divulgación digital durante la marcha por los animales. 
-Apoyo a la campaña de divulgación sobre la Paz. 
-Campaña de divulgación digital,estrategia de comunicación y organización del evento "Entrega de luminarias parque Ricaurte y Parque Primavera".
-Divulgación digital "Ruta de la Innovación".
-Acompañamiento y divulgación de jornada en Parque Virrey. </t>
  </si>
  <si>
    <t>Durante el mes de septiembre la OAC formó siete (7) contratos de prestación de servicios para cumplir con las metas e indicadores propuestos por la Oficina.
Contrato 1: Comunicación externa (manejo de medios y plan de medios).
Contrato 2: Comunicación interna
Contrato 3: Comunicación externa (dirección logística y relaciones interinstitucionales.)
Contrato 4: Comunicación digital y estratégica.
Contrato 5: Diseño creativo y administración de los portales web de la entidad. 
Contrato 6: Comunicación interna y externa (manejo de crisis y evaluación de impacto.)
Contrato 7: Apoyo administrativo</t>
  </si>
  <si>
    <t>El 14 de septiembre de 2016 se firmó prórroga  y adición, hasta el 30 de diciembre DE 2016,  del contrato de interventoría 159 de 2014.</t>
  </si>
  <si>
    <t>Se cuenta con seis planes de supervisión, uno por zona, aprobados</t>
  </si>
  <si>
    <t xml:space="preserve">En el  mes de septiembre se entregaron los informes de supervisión y control, por zona, a junio 2016. </t>
  </si>
  <si>
    <t>Se atendieron los eventos Sire 4161726 del 15/09/16, 4173883 del 21/09/16, 4173640 del 21/09/16 y 4177200 del 23/09/16.</t>
  </si>
  <si>
    <t>Se cuenta un plan de supervisión aprobado para el servicio de hospitalarios</t>
  </si>
  <si>
    <t xml:space="preserve">No se han entregado los informes de supervisión y control del servicio de hospitalarios, el Subdirector diseñó un plan de choque con el fin de que a 21 de octubre se entreguen todos los informes que están pendientes de entrega. </t>
  </si>
  <si>
    <t xml:space="preserve">A la fecha se han entregado los informes mensuales de Junio, Julio, agosto y Septiembre. </t>
  </si>
  <si>
    <t>Se presentaron los estudios de verificación de motivos a la CRA. Durante el mes de septiembre se dio cumplimiento a lo establecido en el AUTO CRA 001 de 2016.Mediante comunicación con radicado UAESP 20161000114971 del 14 de septiembre de
2016, se le informó al director ejecutivo de la CRA, Dr. Julio Aguilera Wilches, el cumplimiento del deber de publicar establecido en el artículo 3 del Auto CRA No 001 de 2016</t>
  </si>
  <si>
    <t>Durante el mes de septiembre se elaboró documento sobre el tema de kilómetros de barrido, el cual será enviado a la Secretaría del Hábitat con el fin de que se proyecte el Decreto de actualización del PGIRS.</t>
  </si>
  <si>
    <t xml:space="preserve">
-Durante este mes la OAC realizó 15 diseños de campaña interna y canales de comuniación de la Entidad.
-Campaña de divulgación "Día sin Carro del Distrito"
-Campaña de divulgación; estrategia de comunicación y organización del evento "Trueque"
-Campaña de divulgación,estrategia de comunicación y organización del evento "Evento entrega de luminarias parque Francia"
-Campaña de divulgación "Mes de la innovación"
-Campaña de divulgación "Exceso de estres"
-Campaña de divulgación,estrategia de comunicación y organización del evento "Jornada de recuperación en los Mártires"
-Campaña de divulgación y estrategia de comunicación "Boletín Virtual de la Unidad"
-Campaña de divulgación "Tu talento Humano Informa"
-Campaña de divulgación,estrategia de comunicación y organización del evento "Las Cruces Reluce"
-Campaña de divulgación "Copast"
-Campaña de divulgación,estrategia de comunicación y organización del evento "El centro embellece"
-Campaña de divulgación,estrategia de comunicación y organización del evento "Episodio"
-Campaña de divulgación "Jornadas deportivas UAESP"
-Campaña de divulgación "Copasst"
-Campaña de divulgación,estrategia de comunicación y organización del evento "iluminación del Parque Ricaurte y Central Primavera"
-Campaña de divulgación "Cumpleaños UAESP"</t>
  </si>
  <si>
    <t>* Se coordinaron  y adelantó reuniones con  el Jefe de la Oficina Asesora de Planeación para   presentacion de la Plataforma estrategica para  la formulacion del plan.
Se ejecutaron las actividades programadas en el cronograma de Binestar vigencia 2016 en un  66,6%, quedando pendiente de ejecutar  2 actividades programadas (actividades programadas 6 - ejecutadas 4).</t>
  </si>
  <si>
    <t>* Se coordinaron  y adelantó reuniones con  el Jefe de la Oficina Asesora de Planeación para   presentacion de la Plataforma estrategica para  la formulacion del plan.
Conforme  al cronograma inicial   para el mes de septiembre    se ejecuto  en un 50%  (2 actividades programadas 1 ejecutada).
Sin embargo  como resultado de la gestion   se  incluyeron  capacitaciones del personal   dictadas   por la Unidad de las cuales se  adelantaron cuatro (4) capacitaciones</t>
  </si>
  <si>
    <t>Se firmó contrato interadministrativo No 282 de 2016, con la universidad Distrital para el apoyo a la supervision.</t>
  </si>
  <si>
    <t>Octubre</t>
  </si>
  <si>
    <t>Actualmente se viene ejecutando la adición y prorroga al contrato de interventoria No 159 de 2012, la cual vence el proximo 30 de Diciembre de 2016.</t>
  </si>
  <si>
    <t xml:space="preserve">Se cuenta con seis planes de supervisión, uno por zona, con su respectiva probación, estos planes vienen ejecutandose desde la vigencia 2015. </t>
  </si>
  <si>
    <t xml:space="preserve">En el mes de Octubre fueron entregados los informes de supervisión y control, por zona, con corte a Agosto de 2016. </t>
  </si>
  <si>
    <t>Se atendieron los eventos de reporte de caida de arboles SIRE 4250327 del 28/10/2016, Localidad de Kennedy,   4250384 del 28/10/16, Localidad de Kennedy y 4258003 del 31/10/16, Localidad de Puente Aranda.</t>
  </si>
  <si>
    <t xml:space="preserve">El 14 de septiembre de 2016 se firmó la prórroga  y adición  No 5 del contrato de interventoría 159 de 2014, la cual se tiene proyectada su ejecución hasta el hasta el 30 de diciembre de 2016.  </t>
  </si>
  <si>
    <t>Se cuenta un plan de supervisión aprobado para el servicio de hospitalarios, dicho Plan esta vigente y viene del año 2015.</t>
  </si>
  <si>
    <t xml:space="preserve">Se elaboran y entregan los informes de supervisión y control de residuos Hospitalarios de los meses de Enero  - Abril de la presente vigencia, y se contiuna con la consolidación de los informes pendientes.  </t>
  </si>
  <si>
    <t>A la fecha se entregó el informe de avance del mes de octubre. En el marco del Convenio se adjudico y se dio inicio a la ejecución del contrato No 134 de 2016 suscrito con INTERASEO S.A  para la atención de residuos peligrosos en San Benito Localidad de Tunjuelito.</t>
  </si>
  <si>
    <t>Teniendo en cuenta que el artículo 1 del Auto No 0021 de 2016 estableció la apertura de pruebas dentro de la actuación administrativa por un término de 20 (veinte) días hábiles y que durante dicho periodo se “entendía suspendida la actuación"; se especifica que durante el 16 de septiembre y el 13 de octubre de 2016 los términos se encontraron suspendidos. 
Con ocasión a la respuesta de la UAESP mediante radicado 20161000125201 de 2016 radicada ante la CRA el 13 de octubre de 2016, los términos de la actuación administrativa desde el día 14 de octubre se encuentran reactivados.</t>
  </si>
  <si>
    <t>En SECOP se encuentran publicados los pre-Pliegos de referencia para la contratación del modelo de prestación del servicio público de aseo.
No se han efectuado modificaciones, toda vez que la CRA no se ha pronunciado definitivamente.</t>
  </si>
  <si>
    <t>En el mes de Octubre, se radicó ante la Secretaría Distrital del Hábitat el proyecto de Decreto de modificación del Plan de Gestión Integral de Residuos Solidos -PGIRS, mediante radicado UAESP No 20161000123351 del 07/10/2016, al cual se le dio alcance con Radicado UAESP No. 20162010127401 del 18/10/2016.</t>
  </si>
  <si>
    <t xml:space="preserve">Durante el  mes de octubre de 2016, se solicito la incorporación de documentos teniendo en cuenta los lineamientos impartidos por la Agencia de Colombia Compra Eficiente, Actualizando la norma aplicable, Decreto 1082 de 2015.  </t>
  </si>
  <si>
    <t>Se envió el documento técnico para la elaboración de estudios previos a la Dirección de la entidad quienes realizaban el trámite para la realización del convenio interadministrativo entre la UAESP y EAAB, el proceso de revisión y firma se encuentra en su fase final.</t>
  </si>
  <si>
    <t>Se realizaron 3 laboratorios de capacitación para acompañar a los recicladores de oficio, cuyo objetivo fue apoyar y acompañar a los recicladores de oficio en sus procesos de formación y fortalecimiento empresarial, donde se construye la teoría que promueve a través de la practica, con el fin de obtener recicladores empresarios y con cultura emprendedora.
Bajo este enfoque, se constituye un espacio de socialización y reconocimiento de cada una de las etapas y condiciones en las que se encuentran las organizaciones o asociaciones y donde se evalúa el objetivo misional de la empresa, estrategias empresariales, capacidad operativa, herramientas y condiciones del mercado.
Adicionalmente se suscribió un convenio con el SENA para capacitar a las organizaciones de recicladores.</t>
  </si>
  <si>
    <t>Una vez revisada la minuta, por parte de la Universidad Nacional, se decidió no llevar a cabo el contrato, debido a que por el tiempo restante de ejecución para lo que queda del año no era suficiente para tener los productos solicitados por parte de la Unidad.
Sin embargo, y teniendo en cuenta dicha situación, se están haciendo contactos con otras instituciones para que en enero de 2017 se haga la contratación del estudio en mención.</t>
  </si>
  <si>
    <t>Se realizaron correcciones al anteproyecto de ECA  piloto en en el predio de la Alqueria localidad de Kennedy.
Se realizo tambien el ajuste a la propuesta industrial que se esta desarrollando a fin de optimizar los procesos y lograr una mayor eficiencia y volumen de aprovechamiento
Se continúa con  la busqueda de predios para implantacion de ECAs en las localidades en las que ya se  tienen acuerdos de corresponsabilidad con algunas asociaciones de recicladores y otras mas.
La busqueda se realizo dentro de los listados de predios entregados por algunas entidades distritales como IDU acueducto y terminal del sur para realizar convenios  y ademas en el mercado comercial para compra de donde al momento se encuentran 14 predios con viabilidad de implantacion de una ECA.</t>
  </si>
  <si>
    <t>Se realizo la actualizacion respectiva de la base de datos RURO mediante Resolucion 493 de 2016 del 24 de octubre, con 2 personas que manifiestan retiro voluntario, 140 personas que son incluidas como Recicladores de Oficio y dos personas con correccion en numero de documento.</t>
  </si>
  <si>
    <t>Se cuenta con información de 84 organizaciones de recicladores sobre la fase en la que se encuentra de su proceso de formalización, con base en lo cual se ha construido la línea base del programa de formalización.
Se cuenta con información completa de 37 organizaciones</t>
  </si>
  <si>
    <t>Se llevaron a cabo las gestiones administrativas para formalizar la mesa interinstitucional, escenario en el que participan las entidades del distrito que cuentan con programas en beneficio de los recicladores, desde esta mesa se realizara el acompañamiento a las organizaciones.</t>
  </si>
  <si>
    <t>Una vez revisada la minuta, por parte de la Universidad Nacional, se decidió no llevar a cabo el contrato, debido a que por el tiempo restnate de ejecución para lo que queda del año no era suficiente para tener los productos solicitados por parte de la Unidad.
Sin embargo, y teniendo en cuenta dicha situación, se están haciendo contactos con otras instituciones para que en enero de 2017 se haga la contratación del estudio en mención.</t>
  </si>
  <si>
    <t>Se continuó con la revisión del POT vigente, realizando una revisión de los avances con Secretaría Distrital de Planeación, dónde se discutieron los resultados del análisis del POT vigente, en lo relacionado a infraestructuras para la gestión de residuos sólidos. 
Contando con las observaciones de SDP, se generará un primer borrador del documento solicitado.</t>
  </si>
  <si>
    <t>La Oficina de Comunicaciones, para la organización de los eventos, contrató el operador logístico que realizará la organización de los mismos.
Se diligenciaron las solicitudes formales a Comunicaciones para la realización de las 3 jornadas de capacitación a recicladores sobre temas relacionados con el servicio público, con el acompañamiento del MVCT, SSPD y CRA.</t>
  </si>
  <si>
    <t>El convenio se encuentra aún en tramite con Secretaria de Integración Social.</t>
  </si>
  <si>
    <t>* Se envió Informe de Seguimiento al trámite de solicitudes de entes externos de control, con el radicado 20161100048643 del 8/11/2016, dirigido a la Dirección de la Unidad.
* La cuenta del mes de octubre a la Contraloría Distrital se está transmitiendo a través del SIVICOF en los tiempos establecidos. ( Los primero 7 días habiles del mes).</t>
  </si>
  <si>
    <t>* Se cumple con el Plan Anual de Auditorias, en el mes de octubre se  terminaron las Auditorias programadas a los procesos de Tics y a la SDF.</t>
  </si>
  <si>
    <t>* En el mes de octubre se consolido el Mapa y del plan de manejo de Riesgos .
* En el mes de octubre se consolido el Plan de mejoramiento por Procesos.
Estos informes se consolidan y se envian en noviembre.</t>
  </si>
  <si>
    <t>1).  Mediante radicado 216-601100-43453  del 4/10/2016 se solicitó a la Subdirección de Aprovechamiento  información de bienes de uso público que esa Subdirección controla,  con fin de tener en cuenta en la implementación del nuevo marco normativo contable;  2) Mediante radicado 2016-60100-43683 del 5/10/2016 se solicitó a la Subdirección de Disposición Final información de activos incluidos en los acuerdos de concesión, con el fin de de tener en cuenta en la implementación del nuevo marco normativo contable; 3). Mediante radicado 2016-60100-44813 del 12/10/2016 se solicitó a la Subdirección de Servicios Funerarios y Alumbrado Público información de activos incluidos en los acuerdos de concesión, con el fin de de tener en cuenta en la implementación del nuevo marco normativo contable; 4). El 14/10/2016 a través de correo electrónico se envío a la Doctora Luz Helena Gómez, Profesional  de la Sbdirección de RBL matríz de propiedad planta y equipo para su respectivo diligenciamiento, de acuerdo con  lo establecido en el mesa de trabajo del 11/10/2016, con el fin de dar cumplimiento al desarrollo e impementación del nuevo marco normativo contable; 5) El 14/10/2016 a través de correo electrónico se envío al Dr. Miguel Nuñez, Subdirector de la Subdirección de Disposición Final matríz de propiedad planta y equipo para su respectivo diligenciamiento, de acuerdo con lo establecido en el mesa de trabajo del 11/10/2016, con el fin de dar cumplimiento al desarrollo e impementación del nuevo marco normativo contable; 7)  EL 25/10/2016 a través de correo electrónico se envío a la Leonardo Andrés Fonseca,   de la Sbdirección de RBL matríz de activos intangibles para el suuministro de la información correspondiente a los procesos jurídicos de los acuerdos de concesión, con el fin de dar cumplimiento al desarrollo e impementación del nuevo marco normativo contable; 8) El 27/10/2016 medinte radicado 2016-6100-46883 se envío a la dra Juanita Farfán Ospina, Subdirectora de Asuntos Legales,  reiteración de suministro de la información del deterioro en cuentas por cobrar;  9) El 21/10/2016 se realizó reunión con la Subdirección de Asutos Legales para clarar el tema relacionado con el deterioro de cartera; así mismo revisar el proyecto de reglamento de cartera; 10) en acta del 20/10/2016 se realizó reunión con el Área de Tic con el fin de realizar seguimiento al plan operativo; 11) El 11/10/2016 se realizó capacitación en temas de  Acuerdos de Concesión; 12) Durante los días 6/10/2016 y 4/10/2016 se realizaron pruebas de contabilización de documentos desde el módulo de tesorería como se evencia en las actas de dichas fechas.  Es de precisar que los soportes de las gestiones antes citadas se encuentran en la carpeta de gestión  impelentación normas internacionaes que se lleva en la Oficina de Contabilidad de la Subdirección  Administrativa y Financiera.</t>
  </si>
  <si>
    <t>Mediante correo electrónico del 6/10/2016 se recibió última versión del documento reglamento interno de cartera el cual fue trabajado con la Subdirección de Asuntos Legales y el 12/10/2016  mediante acta se analizó la propuesta de deterioro de cartera para ser inlucido en el reglamento de cartera;  es de precisar que el proyeto de reglamento de cartera se paso con visto bueno de la Subdirección Administrativa y Financiera a la Dra Elda Castañeda,  para revisión por parte del Área Jurídica, firma de la Directora General y de ser el caso con la publicación.</t>
  </si>
  <si>
    <t>Se hizo seguimiento a 514 PQRS en el mes de octubre.   Durante el mes  de octubre se verificó el cierre de 472 PQRS en las difetentes áreas.</t>
  </si>
  <si>
    <t>Se ha continuado con la verificacion de las direcciones por parte del area de correspondencia para asegurar  la  entrega oportuna de la  totalidad de las comunicaciones de la Entidad. Es asi como para el mes de Octubre unicamente hubo 61  devoluciones de las 1233 comunicaciones enviadas, lo que evidencia una mejora en la calidadf del servicio.</t>
  </si>
  <si>
    <t>Se emitió proyecto de resolución  por medio del cual se aprueban y adoptan  las TRD de la Unidad Administrativa Especial de Servicios Públicos  la  cual se encuentra para firma de la Directora  de la Unidad.</t>
  </si>
  <si>
    <t>Se elaboró el proyecto de resolución de baja y se esta trabajando en los anexos de los bienes con valores respectivos para enviar a contabilidad.</t>
  </si>
  <si>
    <t>Se acondicionaron los puestos de trabajo de acuerdo a los requerimientos de contratación de personal  y traslados internos; se han atendido las reparaciones locativas con el personal  de mantenimiento.</t>
  </si>
  <si>
    <t>se presenta informe de consumo de papel, combustible, energía y agua  de acuerdo con las solicitudes que realiza la Oficina Asesora de planeación.</t>
  </si>
  <si>
    <t xml:space="preserve">El personal necesario para la OAC ya está contratado hasta el 31 de diciembre de 2016. </t>
  </si>
  <si>
    <t>Se presentó un retraso en el tiempo estimado para esta contratación, debido a revisiones tecnico presupuestales con el contratista, hasta llegar a un acuero sobre el valor de la obra. Se espera entregar los estudios previos a la Subdirección de Asuntos Legales a principios de noviembre para iniciar el proceso de contratación.</t>
  </si>
  <si>
    <t xml:space="preserve">Se enviaron a la Subdirección de Asuntos Legales, los documentos para el inicio de los procesos precontractuales de los siguientes proyectos: UNAL, UPN, cerramiento del predio la Isla y FDLCB; de igual forma se hicieron ajustes a los proyectos de vias y gimnasios biosaludables. Se hizo la revisión de los Estudios Previos del Convenio a suscribir con la Universidad Distrital y se hizo la solicitud de CDP. </t>
  </si>
  <si>
    <t>Se suscribió la Adición N° 5 al contrato de concesión 344 de 2010 para la realización de la obra de estabilización Dique VI Fase II, por valor de $12,334,606,608 y se sucribió la Adición N° 2 al contrato de interventoría 130 E de 2011, por valor de $1,202,863,151.</t>
  </si>
  <si>
    <t>Durante el mes de octubre se realizó una reunión del Comité Técnico del contrato, con la participación de la Gobernación de Cundinamarca en la que se evaluaron los mapas que componen el Sistema de Información Geográfico departamental,  y se decidió que sean incluidos en el segundo producto a entregar por parte  de la Universidad Nacional.</t>
  </si>
  <si>
    <t>Actualmente la Subdirección de Aprovechamiento adelanta la gestión con el Banco Mundial para el desarrollo del estudio de alternativas potenciales para el proceso de disposición final y/o tratamiento de residuos sólidos en términos de ubicación y tecnología.</t>
  </si>
  <si>
    <t>Se llevaron a cabo reuniones, con Secretaría Distrital de Ambiente para la discusión de estrategias y acciones para el aprovechamiento de llantas, y con Secretaría Distrital de Planeación para discutir los resultados del análisis del POT vigente, en lo relacionado a infraestructuras para la gestión de residuos sólidos, entre ellos llantas.
Esta actividad según ordenes de la Dirección de la UAESP, la llevará a cabo la Subdirección de RBL, por ser de su competencia.</t>
  </si>
  <si>
    <t xml:space="preserve">1. Se ajustaron los objejtivos de los procesos, se han actualizado la documentación, indicadores y riesgos de los procesos. Se ha simplificado y mejorado el sistema, a partir de la evaluación de la pertinencia de la documentación actual del sistema. El día 5/10/2016 se formuló la estrategia de divulgación con el apoyo de la Oficina de Comunicaciones y el grupo de innovación para apoyar la comprensión del personal en el SIG. Se desarrollaron las siguientes actividades: Tips para la preparación de la auditoria de renovación del certificado de calidad, presentación del proceso por parte del líder en 1 minuto enviado por comunicación interna. Adicional se realizó una reunión con la Oficina TIC para mejorar la accesibilidad al sitio del SIG. El 20 de Octubre se realizó la revisión por la alta dirección.
2. Los días 24 y 31 octubre, 1 y 2, se realizó la auditoria de recertificación del sistema integrado de gestión; obteniendo como resultado la renovación del certificado por 3 años. 
3. Durante el mes de octubre, se solicitó el reporte de los indicadores a los líderes de proceso, los cuales fueron consolidados y enviados a actualizar en el sitio del SIG en la intranet y en el aplicativo Kawak. Así mismo, se adelantó la contratación para la capacitación para los módulos de kawak de acuerdo con la actualización del versionamiento del aplicativo. </t>
  </si>
  <si>
    <t>Se ha elaborado los informes de ejecución de los proyectos de inversión, semanalmente se actuliza la información a los gerentes de proyectos y planificadores. La ejecución del plan de acción se reporta con informes mensuales a cada dependencia.</t>
  </si>
  <si>
    <t>En el mes de octubre fue asignado el profesional de la SDA para el proceso de concertación PIGA vigencia BMPT, siguiendo los lineamientos de la SDA se envío por correo electrónico el documento PIGA para revisión.</t>
  </si>
  <si>
    <t>En el mes de septiembre se llego a un cumplimiento del hito planteado de "3000  personas concientizadas en separación en la fuente" superando en un 117% por lo anterior a partir del mes de octubre se da por terminada la gestión del hito.</t>
  </si>
  <si>
    <t>Se realizaron las pruebas isocineticas de los Hornos 2 y 3 de los cementerios norte, al igual que al horno del cementerio serafín. Se está pendiente del otorgamiento de los permisos de emisiones por parte de la Secretaria de ambiente para los hornos 2 del cementerio sur y 2 y 3 del cementerio norte. se avanzado en la fabricación e instalacion de plataforma de toma de muestras del horno 2 del cementerio sur.</t>
  </si>
  <si>
    <t>Se radico a la Subdireccion de asuntos legales los estudios previos para iniciar proceso contractual de la interventoria a SF, que será adjudicada en el mes de enero de 2017.</t>
  </si>
  <si>
    <t xml:space="preserve">Se presento el primer informe del avance del Convenio con la Universidad Distrital, en el cual se apoyo al consecionario en los productos establecidos dentro del ordenamiento al contrato de concesión 311 de 2013. </t>
  </si>
  <si>
    <t>EL indicador para el año 2016 son 500 Subsidios
No. 119  Subsidios Funerarios Entregados en septiembre
No 90 Subsidios Funerarios Entregados en octubre</t>
  </si>
  <si>
    <t>Actualmente contamos contratos de interventoria No.  098 y 099 de 2015 para supervision para la prestacion del servicio de alumbrado publico. Las interventorias del  servicio de alumbrado público, entregaron los informes de actividades correspondientes al mes de septiembre de 2016, la periodicidad de los informes es mensual y y se presenta mes vencido.</t>
  </si>
  <si>
    <t xml:space="preserve">El grupo de supervision al operador e interventoria de la subdireccion se encuentra realizando el informe mensual de control y gestion al proceso corespondiente al mes de septiembre. </t>
  </si>
  <si>
    <t>Se realizo el Arrendamiento de equipos tecnológicos al amparo del acuerdo marco de precios suscrito por Colombia Compra Eficiente para el servicio de arrendamiento de equipos tecnológicos y periféricos-ETP CCE-1-AMP-2015, con CDP # 575 y CRP # 566</t>
  </si>
  <si>
    <t>Actualmente se encuentra la empresa NV GESTION Y GERENCIA S.A.S cuyo objeto es: Apoyar a la Oficina TIC en la planeación, seguimiento e implementación de procesos informáticos tendientes a garantizar la seguridad de la Información de la Unidad Administrativa Especial de Servicios Públicos, realizando la construcción de los requerimientos para la adquisción e implementación del sistema de seguridad</t>
  </si>
  <si>
    <t>Se realizo la contratación de las licencias con cargo al CDP # 600 y CRP # 606  cuyo cobjeto es: Adquisición de licencias a perpetuidad de herramienta BIM (Building Information Modeling - Modelado de Información para la Construcción) -CAAD (Diseño arquitectónico asistido por computadora o siglas en inglés de computer-aided architectural design) ARCHICAD, para el fortalecimiento de los procesos misionales de la Unidad Administrativa Especial de Servicios Públicos</t>
  </si>
  <si>
    <t>Se realizó la contratación para el buen funcionamiento de las impresoras y tener un control de las impresiones realizadas por cada subdirección y/o funcionario cuy objeto es: Adquisición, instalación, configuración, parametrización e implementación de software de administración, gestión y control de recursos de impresión empleados en la Unidad Administrativa Especial de Servicios Públicos, CDP # 524 y RP #: 598</t>
  </si>
  <si>
    <t>En el mes de octubre los ingenieros de soporte realizaron las siguientes actividades: Mantener actualizados los aplicativos, realizar la parametrización y pruebas de los diferentes sistemas, atender requerimientos de soporte, realizar soportes y mantenimiento de los aplicativos</t>
  </si>
  <si>
    <t>Durante el mes de Octubre se observó un incremento en los incidentes reportados y una disminucion en el numero de incidentes resueltos dentro de los tiempos establecidos.
La mesa de ayuda cuenta con personal de planta provisonal y contratistas.</t>
  </si>
  <si>
    <t>1) Se  revisó y ajustó el diagnóstico del SGSST.
2) Se  elaboró la política y objetivos del SGSST la cual se   presentará en comité Directivo en el próximo mes
3) Se conformó e instalo el  COPASTT
4)  Se   adelantó el proceso contractual para   el esquema de vacunación
5) Se  dio inicio a la revisión  y levantando las matriz  de peligros de las sedes de la  Unidad.
6). Está pendiente la aprobación de la política, objetivos e indicadores del SGSST.</t>
  </si>
  <si>
    <t>1)  Se esta levantando información para la formulación del plan de Bienestar  vigencia 2017-2020
2)  Se continua con la ejecución del  plan de bienestar  vigencia 2014-2016, según programación registrada en  cronograma da 30 de octubre se a ejecutado en  un   50%, quedando pendiente de ejecutar 1 actividad de las actividades programadas (actividades programadas 2 - ejecutadas 1).</t>
  </si>
  <si>
    <t>1)  Se elaboró la propuesta del Plan de Institucional de capacitación  la cual  será revisada con  la Oficina de Planeación en el siguiente mes.
2). Conforme  al cronograma inicial   para el mes de octubre  se ejecutó  en un 100%  (3 actividades programadas 3 ejecutada).</t>
  </si>
  <si>
    <t xml:space="preserve">Se han presentado oportunamente los informes  presupuestales y financieros.
Es de precisar,  que mediante Acuerdo No. 07 del 14 de octubre de 2016, se aprobó el  anteproyecto  de presupuesto de rentas e ingresos  de gastos e inversión  para la  vigencia fiscal de 2017, como se evidencia en el anexo al presente. </t>
  </si>
  <si>
    <t xml:space="preserve">Se firmó el contrato de consultoria No. 288 de 2016, con la firma ingenieria y diseños  de Occidente  el 19 de septiembre de 2016, para realizar la actualización de los estudios de vulnerabilidad de diseños y reforzamiento estructural del edificio de acceso a los locales comerciales. </t>
  </si>
  <si>
    <t>Noviembre</t>
  </si>
  <si>
    <t>Mediante Resolución No. 000581 del 30 de Noviembre de 2016, La directora de la Unidad, adoptó la Versión 9 del Manual de Contratación.</t>
  </si>
  <si>
    <t xml:space="preserve">1. Se revisó el proyecto de resolución que modifica la resolución 612, así mismo se evaluó la necesidad de incluir la estrategia de Gobierno en Línea frente al requerimiento solicitado por la Alta Consejería de las TIC. 
2. Se envío el plan de mejoramiento de la auditoria externa de calidad, en respuesta a los 3 no conformidades detectadas durante la auditoria. El 8/11/2016 fueron aceptadas por SGS Colombia y el 25 de Nov fueron enviadas a la Oficina de Control Interno para su respectivo seguimiento.
3. De acuerdo con el plan de trabajo de la capacitación de kawak bajo el contrato No 330 de 2016. Se han capacitado a los servidores en los módulos de la herramienta. Así mismo se han realizado ajustes de acuerdo con las observaciones y comentarios durante las capacitaciones. </t>
  </si>
  <si>
    <t xml:space="preserve">El plan estratégico institucional fue construido con la alta dirección. Está pendiente la expedición mediante acto administrativo.  </t>
  </si>
  <si>
    <t>1. Seguimiento plan de acción: Se elaboró informe de seguimiento al Plan de Acción Institucional con corte al 31 de octubre, el cual fue enviado a los jefes de oficina y subdirectores el día 28 de noviembre.
2. Seguimiento plan sectorial: Las metas reportadas con avances se encuentran en la herramienta y en los archivos de la Oficina Asesora de Planeación para los indicadores 391, 138, 137 y 304.
Seguimiento Presupuesto:  (i) El nivel de Ejecución presupuestal a corte noviembre esta en 75% , el saldo de compromiso esta en $69,680 millones y el nivel de giros corresponde 65% (analisis de funcionamiento y inversion); (ii) Reservas Presupuestales, se ha pagado el 80% de las reservas constituida a diciembre 2015; (iii) La UAESP a enero contaba con un total 316 obligaciones de Pasivos Exigibles que sumaban $ 11.523, al corte de noviembre, quedando un saldo de $6,598, de los cuales llevamos acumulado en pagos  $4,118. Estan tramitando traslados de los proyectos de inversion al rubro de pasivos exigibles $581.</t>
  </si>
  <si>
    <t>Se recibio observaciones por parte de la SDA vía correo electrónico el  10 de noviembre de 2016. Se desarrollará reunión programada en la SDA el  6 de Diciembre de 2016 para realizar el acta de Concertación entre las dos entidades.</t>
  </si>
  <si>
    <t>* Se envió Informe de Seguimiento al trámite de solicitudes de entes externos de control, con el radicado  del 8/11/2016, dirigido a la Dirección de la Unidad.
* La cuenta del mes de noviembre a la Contraloría Distrital se está transmitiendo a través del SIVICOF en los tiempos establecidos. ( Los primero 7 días habiles del mes).</t>
  </si>
  <si>
    <t>* Se cumple con el Plan Anual de Auditorias, en el mes de noviembre se  termino la Auditoria programada a los procesos de Apoyo Logistico.</t>
  </si>
  <si>
    <t>En la actualidad se encuentra perfeccionado el convenio y se continua con su desarrollo.</t>
  </si>
  <si>
    <t xml:space="preserve">A 30 de noviembre se han concientizado en total 5967 personas, en tal sentido la meta se ajusta en 6300 personas concientizadas para finalizar la vigencia 2016 , quedando un 95% de ejecución de la meta para el mes de noviembre.
Este mes se trabajó con 970 asistentes a talleres y eventos en los que se informó de manera detallada el manejo integral de residuos y la responsabilidad ciudadana en 17 multiusuarios, 2 eventos, 60 residenciales, 236 establecimientos comerciales, 1 universidad y 9 entidades distritales. </t>
  </si>
  <si>
    <t>6300  personas concientizadas en separación en la fuente.</t>
  </si>
  <si>
    <t>No se puede registrar % de avance teniendo en cuenta que el resultado final esperado se reprogramará para la vigencia 2017</t>
  </si>
  <si>
    <t>Se han encontrado predios adecuados para la implantacion de las ECAs en varias localidades, la reducción del numero de ECAs a implantar motivó la elaboración de una herramienta que permite optimizar el cubrimiento de cada una de ellas definiendolo de forma modular por UPZs, teniendo en cuenta la estratificacion socioeconomica encontrada en ellas según la SDP y la caracterizacion de los residuos por estrato encontrada en el PGIRS.</t>
  </si>
  <si>
    <t>En el mes de noviembre no se realizo actualización del RURO, ya que se estaba consolidando la resolución de pago a los recicladores de oficio.</t>
  </si>
  <si>
    <t>Actualmente se encuentran registradas 86 organizaciones con datos generales y de 40 de ellas se tiene respuesta afirmativa o negativa frente a su situación por cada uno de los aspectos señalados por el Decreto para su formalización.  Es necesario indicar que se diseñó un formato de autorización de datos para a través de los gestores las organizaciones remitieran indicando si daban visto bueno  a la UAESP para el manejo de los datos de su organización, recibiendo respuesta positiva de 25 de ellas.
Sobre al aplicativo para seguimiento se realizaron cruces de categorías, subcategorías y preguntas con los aspectos y tópico para formalización del Decreto 596 de 2016  a fin de actualizarlo y poder adelantar la segunda aplicación de la encuesta y obtener resultados sobre el estado de fortalecimiento de las organizaciones de recicladores.</t>
  </si>
  <si>
    <t xml:space="preserve">Con el propósito de generar un espacio  de acompañamiento para el fortalecimiento de las organizaciones en el cual las entidades nacionales y del distrito presenten su oferta institucional a los recicladores de oficio, se realizaron 5 ferias dirigidas a la totalidad de las localidades del Distrito Capital, agrupadas así:
Chapinero: Chapinero, Santa Fe, Mártires, Candelaria, Barrios Unidos, Teusaquillo.
Tunjuelito: Tunjuelito, San Cristóbal, Puente Aranda, Antonio Nariño.
Usme: Usme, Rafael Uribe Uribe, Ciudad Bolívar, Sumapáz.
Suba: Suba, Usaquén, Engativá.
Kennedy: Kennedy, Bosa, Fontibón.
Estas se realizaron los días 22 de noviembre, 1, 6, 12 y 14 de diciembre. Se contó con el acompañamiento de entidades como Secretaría de Hábitat, ICBF, Ejercito Nacional, Secretaría de Salud, Ministerio de Salud, Secretaría de la Mujer, Integración Social, Colpensiones, Ministerio de Vivienda, Ciudad y Territorio, AV Villas, Superservicios, Alianza Nacional para Reciclaje Inclusivo y SENA, entre otras. </t>
  </si>
  <si>
    <t xml:space="preserve">La acción concreta de esta actividad corresponde a la entrega de 223 llantas acopiadas temporalmente en el Centro La Alquería al programa poscosumo rueda verde para su posterior aprovechamiento. Se adjunta el certfiicado de entrega. 
Es importante tener en cuenta que esta actividad será reportada de ahora en adelante por la Subdirección de Recolección, Barrido y Limpieza.  </t>
  </si>
  <si>
    <t>Se elaboró una primera parte del documento analizando los contenidos que va a incluir para su finalización en el mes de diciembre</t>
  </si>
  <si>
    <t>Se realizó un recorrido en la localidad de Sumapaz para recoleccion de material potencialmente aprovechable con la organización de recicladores ASOSEMILLEROS, lo que permite demostrar gestión como estrategia para el aprovechamiento y separación de residuos en la ruralidad, de igual manera se esta consolidando el documento técnico con la línea base de aprovechamiento y separación en la fuente en la ruralidad.</t>
  </si>
  <si>
    <t>El contratista en el mes de noviembre, realizó la toma de muestras en campo para la desarrollo del estudio de vulnerabilidad de las cubiertas. Se  desarrollo una reunión con IDPC para un primer acercamiento de la propuesta estructural, allí se solicito un análisis de estudio fito sanitario el cual no esta contemplado en el contrato, se encuentra a la espera de la aprobación de este.</t>
  </si>
  <si>
    <t>Se entregaron las dos plataformas de monitoreo tanto norte como el sur, sigue pendiente el otorgamiento de emisiones.</t>
  </si>
  <si>
    <t>Actualmente contamos contratos de interventoria No.  098 y 099 de 2015 para supervision para la prestacion del servicio de alumbrado publico. Las interventorias del  servicio de alumbrado público, entregaron los informes de actividades correspondientes al mes de octubre de 2016, la periodicidad de los informes es mensual y  se presenta mes vencido.</t>
  </si>
  <si>
    <t>Se remitió a la subdirección de asuntos legales para la modificación de la adición (6) a CGR por un valor de $2.140.169.905 y adición (3) a Inter DJ por un valor de $ 430.254.162. Mediantes radicados 20164010049693 y 20164010051773 respectivamente.</t>
  </si>
  <si>
    <t>Se realizaron los ajustes solicitados por la Subdirección de Asuntos Legales, a los procesos precontractuales de los siguientes proyectos: UNAL, UPN, cerramiento del predio la Isla, gimnasios biosaludables y FDLCB, frente a los cuales en Comité de Contratación ya fueron aprobados los convenios con la UNAL y la UPN y así mismo se publicó el proceso de selección para la contratación de los gimnasios biosaludables. De igual forma se hicieron ajustes a los proyectos de vias y se hizo la revisión final de los Estudios Previos del Convenio a suscribir con la Universidad Distrital y ya se tiene el CDP para dicho Convenio.</t>
  </si>
  <si>
    <t>La Universidad Nacional entregó el segundo producto pactado en el contrato interadministrativo N° 203 de 2016, consistente en "informe de avance de identificación de áreas potenciales en municipios aledaños al Distrito Capital para la disposición final con alternativas tecnológicas de aprovechamiento y tratamiento de resíduos sólidos"</t>
  </si>
  <si>
    <t>Continúa la gestión de la Subdirección de Aprovechamiento ante el Banco Mundial para consecución de recursos requeridos el desarrollo del estudio de alternativas potenciales para el proceso de disposición final y/o tratamiento de residuos sólidos en términos de ubicación y tecnología.</t>
  </si>
  <si>
    <t>1) Se adelantó la jornada de vacunación
2) Se   continúa levantando las martríz  de peligros de las sedes de la  Unidad.
3). Está pendiente la aprobación de la política, objetivos e indicadores del SGSST.
4) se esta levantando la documentacion del SGSST</t>
  </si>
  <si>
    <t xml:space="preserve"> Se continua con la ejecución del  plan de bienestar  vigencia 2014-2016, según programación registrada en  cronograma da 30 de noviembre;  se ha ejecutado en  un   57%, quedando pendiente de ejecutar 3 actividad de las actividades programadas (actividades programadas 7 - ejecutadas 3).  así :Dimensión Personal -Individual: - Programas Educativos de Educación Formal (No se realizo) - Realizar  reconocimiento al mejor compañero de la UAESP (se reprograma para el mes de diciembre)
Dimensión  Pareja - Familia: - Vacaciones Recreativas (Se realizó): - Jornadas deportivas (Se realizo), - Clase de Yoga (Se realizó)
Dimensión  Social del funcionario: - Curso de Manualidades para funcionarios y familiares (Se realizo)
Dimensión trasversal del funcionario:- Informe de fin de año (No se realizo ya que se va a desarrollar en Diciembre)</t>
  </si>
  <si>
    <t>1)  Esta en revisión la propuesta del Plan de Institucional de capacitación en conjunto con la Oficina de Planeación 
2). Conforme  al cronograma inicial   para el mes de Noviembre   se ejecutó  en un 83%  (6 actividades programadas 5 ejecutada).</t>
  </si>
  <si>
    <t>1. Mediante correo electrónico del 01/11/2016 se solicito a Talento Humana (Milton Buitrago) informe de los avances a los compromisos dela reunión de 21/09/2016.                                                                                              2.Mediante correo electrónico del 02/11/2016  se envió a Milton Buitrago matriz de beneficios a empleados a largo plazo para su diligenciamiento.                                                                                            3.Mediante Rad. 20166010050183 del 21/11/2016 se reitero a la Subdirección de RBL enviar la información solicitada en Rad.20166010031463 del 03/08/2016 y Rad.20166010042133 del 27/09/2016.                                                                                       4.Mediante Rad. 20166010050233 del 21/11/2016 se reitero a la Subdirección de Disposición Final  enviar la información solicitada en Rad. 20166010043683 del 05/10/2016.    5.Mediante Rad. 20166010050153 del 21/11/2016 se reitero a la Subdirección de Asuntos Legales  enviar la información solicitada en Rad. 20166010031793,20166010040483 y 20166010046883 del asunto "Información Deterioro Cuentas por Cobrar"                                           6.El 02/11/2016 se realizo reunión para revisar el tema de inventarios (anexo acta 2/11/16)                                                                  7.El 22/11/2016 se realizo reunión para revisar el procedimiento de contabilidad, se reviso el formato de conciliaciones bancarias entre las áreas de contabilidad y tesorería. (acta 22/11/2016)                                                                 8.EL 22/11/2016 se realizo capacitación programada dentro del plan implementación de NICSP -tema " Ingresos con y sin contraprestación. (anexo acta)                                                                       9.El 25/11/2016 Se asistió a mesa de trabajo en la Dirección Distrital de Contabilidad para seguimiento al proceso de implementación del nuevo marco normativo -tema " Recomendaciones, determinación de saldos iniciales UAESP" (anexo correo y lista de asistencia.                         10. El 18 /11/2016 se recibió mediante correo electrónico del almacenista de la Unidad Wilson Reyes, base de datos de los inventarios de la Unidad.                                                                                11.El 22/11/2016 se recibió mediante correo electrónico del Dr. Edmundo Tonel  Rosado  modelo instructivo reporte de contingencias para revisión y observaciones  de la SAF.                                 12. El 28/11/2016 se reviso y analizo con el  asesor de implementación de NICSP  el Manual de Políticas Contables de la Unidad (anexo correo)                                                                                     13.El 29/11/2016 se envió mediante correo electrónico al Grupo Interno de Trabajo NICSP, el Manual de Políticas Contables de la Unidad para su revisión y/o observaciones. (anexo Correo)                                                                                          14. El 28/11/2016 Mediante correo electrónico se envió al Ing. Fernando Bernal  borrador de manuales de procedimiento de los procesos trabajados para su revisión , observaciones o sugerencias.(anexo correo)</t>
  </si>
  <si>
    <t xml:space="preserve"> Se emitió proyecto  de Resolución de Cartera, con Vo.Bo. de la Subdirección  Administrativa y Financiera  y de la Subdirección de Asuntos Legales, acto administrativo que está en revisión para  firma de la Directora General  </t>
  </si>
  <si>
    <t>Se han presentado oportunamente los informes  presupuestales y financieros.</t>
  </si>
  <si>
    <t>Se hizo seguimiento a 675 PQRS en el mes de Noviembre.   Durante el mes  de Noviembre se verificó el cierre de 554 PQRS en las diferentes áreas.</t>
  </si>
  <si>
    <t xml:space="preserve">Se ha continuado con la verificación de las direcciones por parte del área de correspondencia para asegurar  la  entrega oportuna de la  totalidad de las comunicaciones de la Entidad. </t>
  </si>
  <si>
    <t>Se emitió la Resolución No. 529 del 11/11/2016, "Por lo cual se aprueban y adoptan Tablas de Retención Documental -TDR de la Unidad Administrativa Especial de Servicios Públicos -UAESP, el programa de Gestión Documental -PGD y el cuadro de clasificación Documental -CCD",  la cual se encuentra publicada en la intranet, así mismo se inicia capacitación sobre el tema a partir del mes de diciembre de 2016</t>
  </si>
  <si>
    <t>Se está realizando conciliación contable para ajustar los saldos de baja.</t>
  </si>
  <si>
    <t>Se ubicaron puestos de trabajo de acuerdo a los requerimientos de cada subdirección, de igual manera se realizaron traslados internos; se han atendido las reparaciones locativas solicitadas, con el personal  de mantenimiento.</t>
  </si>
  <si>
    <t>Se presentó informe de consumo de papel, combustible, energía y agua  de acuerdo con las solicitudes que realiza la Oficina Asesora de planeación.</t>
  </si>
  <si>
    <t xml:space="preserve">En el mes de noviembre  fueron entregados los informes de supervisión y control, por zona, con corte a septiembre  de 2016. </t>
  </si>
  <si>
    <t>Se atendieron los eventos de reporte de caida de arboles SIRE 4317299,4317300,4317314,43117971,4318360,43220004,4304571,4321126,4319756,4321171,4307580,4309170,4317234,4300593,4300771,4300768,4300770,4300452,430008,4298339.</t>
  </si>
  <si>
    <t>A la fecha se entregó el informe de avance del mes de noviembre. En el marco del Convenio se adjudicó y se dio inicio a la ejecución del contrato No 134 de 2016 suscrito con INTERASEO S.A  para la atención de residuos peligrosos en San Benito Localidad de Tunjuelito.</t>
  </si>
  <si>
    <t>1. Mesa de trabajo interinstitucional el día 2 de noviembre de 2016 entre la CRA y la UAESP, convocada por la Procuraduría General de la Nación mediante radicado No 475414/11 del 28 de octubre del año en curso (se anexa), en la cual la CRA realizó observaciones puntuales a la información remitida por la UAESP a través del radicado 20161000125201 del 12 de octubre de 2016, que dio respuesta a la solicitud de información de la CRA elevada mediante Auto No 002 de 2016 “Por el cual se abre a pruebas dentro de la actuación administrativa tendientes a resolver la solicitud de verificación de motivos que permitan la inclusión de cláusulas de áreas de servicio exclusivo en los contratos para la prestación del servicio público de aseo en el Distrito Capital, para que fueran atendidas por la UAESP.
2. La UAESP mediante radicado No 20161000138581 del 9 de noviembre de 2016, Alcance al radicado UAESP No 20161000125201 del 12 de octubre de 2016 - Respuesta al Auto No 002 del 14 de septiembre de 2016 – “Por el cual se abre a pruebas dentro de la actuación administrativa tendiente a resolver la solicitud de verificación de motivos que permiten la inclusión de cláusulas de áreas de servicio exclusivo para la prestación del servicio público de aseo en el Distrito Capital de Bogotá”. 
3. Mesa de trabajo interinstitucional el día 28 de noviembre de 2016 entre la CRA con la asistencia de su Presidente, la Ministra de Vivienda, Ciudad y Territorio, dra. Elsa Noguera y el Distrito, representado por el Alcalde Mayor y la UAESP.
4. Mesa de trabajo interinstitucional el día 29 de noviembre de 2016 entre la CRA y la UAESP, convocada por la Procuraduría General de la Nación mediante radicado No 475414/11 – 196469 del 29 de noviembre del año en curso, en la cual la CRA realizó observaciones puntuales al modelo financiero, las cuales se aclararán por parte de la UAESP a más tardar el 2 de diciembre de 2016.</t>
  </si>
  <si>
    <t>*Se esta consolidando el informe del mapa y plan de manejo de riesgos para ser socializado con las dependencias en diciembre.
*Se esta consolidando el informe del Plan de Mejoramiento por Procesos.
Estos informes se consolidan y se envian en noviembre.</t>
  </si>
  <si>
    <t>Se garantiza la continuidad del servicio con la orden de compra No. 10885 hasta el 31 de diciembre de 2016</t>
  </si>
  <si>
    <t>Con la empresa NV GESTION Y GERENCIA S.A.S se estan adelantando acciones como: Ajuste a politica de seguridad, concientización sobre la importancia de la seguridad de la información a los funcionarios de la Entidad, se realizo el analisis de seguridad en los procesos.</t>
  </si>
  <si>
    <t>En el mes de noviembre se realizo la solicitud de cdp y viabilidad tecnica para adquisición de licencias, CDP No 676 del 16 de noviembre de 2016, cuyo objeto es: Adquirir licencias de Autocad LT, licencias de Adobe Creative Cloud y licencia de Sketchup, para el fortalecimiento de los procesos misionales de la Unidad Administrativa Especial de Servicios Públicos, el contrato sera por un mes y las licencias tendran vigencia por un año</t>
  </si>
  <si>
    <t>Se esta garantizando el buen funcionamiento de los equipos, permitiendo la continuidad del servicio: Voz y datos</t>
  </si>
  <si>
    <t>En el mes de noviembre los ingenieros de soporte realizaron las siguientes actividades: Soporte al modulo Predis: Corrección de terceros, ajuste fuente de financiación. Se termino el desarrollode minuta de prestación de servicios. Se realizo el manual con las modificaciones de Sisco.
Se realizo soporte a las aplicaciones de almacen, nomina y terceros.
En general se cumple con todos los requerimientos solicitados por los usuarios.</t>
  </si>
  <si>
    <t xml:space="preserve">Durante el mes de Noviembre se atendieron 240 solicitudes, las cuales fueron resueltas en la menor brevedad posible. </t>
  </si>
  <si>
    <t>Diseños realizados durante noviembre:
-12 Diseños de campaña interna y canales de comunicación de la Entidad
Boletín de Noticias: 
2 boletines de noticias
1 boletín informativo auditoría
Boletín de mesa de trabajo con población aledaña al relleno sanitario.
Eventos Internos:
Episodio 4
Participación: 360 funcionarios de la UESP
Comunicación Interna:
- Campaña de divulgación "Te reto a moverte" 6 publicaciones
- Campaña de divulgación "Cursos navideños" 2 publicaciones.
- Campaña de divulgación "Teletrabajo" 6 publicaciones
- Campaña de divulgación "Torneo de bolos UAESP" 5 publicaciones
- Campaña de divulgación " Jornada de vacunación" 5 publicaciones 
- Campaña de divulgación "Feria de servicio al ciudadano" 5 publicaciones.
- Campaña de divulgación "Episodio" 4 publicaciones
- Campaña de divulgación "yoga en la UAESP" 5 publicaciones
- Campaña de divulgación "Limpiemos Colombia" 3 publicaciones
- Campaña de divulgación "Bogotá Ilumina el Parque el Nogal" 2 publicaciones
- Campaña de divulgación "Activa tu cuerpo" 2 publicaciones
- Campaña de divulgación "Capacitación en seguridad de la información" 2 publicaciones
- Campaña de divulgación "Vacaciones Recreativas" 2 publicaciones
- Campaña de divulgación "FEstival de la Alegría2 2 publicaciones
- Campaña de divulgación "Cumpleaños funcionarios UAESP" 1 publicación
- Campaña de divulgación " Tips para radicación de cuentas" 1 publicación 
- Campaña de divulgación "Cumpleaños de la UAESP" 1 publicación</t>
  </si>
  <si>
    <t>Página web:
-2.766 páginas indexadas por Google
-6872 visitas 
-3528 usuario nuevos.
-Duración media de la sesión: 2:34 min
-15 actualizaciones de contenido realizadas (artículos, banners, documentos)
25 diseños campaña externa, participación ciudadana y servicios de la Entidad
-1 Sitio web: limpiemosbogota.com
Redes Sociales:
En Facebook tuvimos un alcance de 43.965 personas a través de nuestras publicaciones, del 01 al 30 de noviembre de 2016.
En Twitter tuvimos 377.3K impresiones del 01 al 30 de noviembre de 2016.
Eventos realizados en noviembre:
-Primera Feria de Oferta Institucional
-Jornada de Embellecimiento en el Parque Nacional
-Evento entrega nuevas luminarias en la Zona Rosa: Parque el Nogal
-Evento: Jornada “limpiemos Colombia”. 
-Rueda de prensa: “Limpiemos Colombia”.
-Evento entrega de luminarias parque el Sociego 
Boletines de prensa publicados en noviembre:
- Administración Distrital Intervendrá zona ferrocarril Fontibón
- Administración Peñalosa superó metas de alumbrado público en parques
- Este martes más de 2000 recicaldores en Parque de Los Novios
- Este domingo, miles de voluntarios limpiarán y embellecerán Bogotá.</t>
  </si>
  <si>
    <t>En desarrollo del Plan de Formalización que se implementó en Distrito para la población recicladora de oficio, durante los días 28, 29 y 30 de noviembre del año en curso se realizaron 3 jornadas de capacitación con SSPD, CR y MVCT, durante las cuales se explicaron los aspectos relacionados con la normatividad técnica y regulatoria de la actividad de aprovechamiento del servicio público de aseo. Se capacitaron 75 recicladores de oficio de la ciudad. 
Por lo anterior se dio el cumplimiento del 100% en el hito propuesto.</t>
  </si>
  <si>
    <t>A través de Decreto 495 de 2016 se adoptó el PGIRS para la ciudad de Bogotá.</t>
  </si>
  <si>
    <t xml:space="preserve">Se encuentra montado el concurso de méritos para los Servicios Funerarios, este es un proceso en curso el cual se adjudicara en la primera quincena de enero de 2015. </t>
  </si>
  <si>
    <t xml:space="preserve">El grupo de supervision al operador e interventoria de la subdireccion, reviso en su totalidad el informe del mes de septiembre y relizo las observaciones pertinentes se encuentra realizando el informe mensual de control y gestion al proceso corespondiente al mes de Octubre, ya que el informe lo radica la interventoría mes vencido. </t>
  </si>
  <si>
    <t>Se presento el segundo informe del avance del Convenio No. 282, el cual presenta una peroiodicidad mensual, convenio realizado con la Universidad Distrital, en el cual se apoyo al concesionario establecidos dentro del ordenamiento al contrato de concesión 311 de 2013, haciendo enfasis en hormos y parte ambiental.</t>
  </si>
  <si>
    <t>Diciembre</t>
  </si>
  <si>
    <t xml:space="preserve">El contratista en el mes de diciembre en lo referente al  estudio de vulnerabilidad y diseño estructural Cementerio Sur (edificio de entrada y locales comerciales), realizó mesa de trabajo y solicitó  la autorización de la prórroga y adición al contrato para realizar el estudio fito-sanitario de la madera estructural en el área de cubierta, requerido por IDPC. </t>
  </si>
  <si>
    <t xml:space="preserve">El día 12 de diciembre se otorgo el permiso de emisiones  por parte de la Secretaría del Medio Ambiente, mediante la Resolución 2196 del 2016,  para los hornos 2 y 3.  de las plataformas de monitoreo tanto norte como del sur esta pendiente el montaje de la señalización de accesos. </t>
  </si>
  <si>
    <t xml:space="preserve">Se encuentra montado el concurso de méritos para los Servicios Funerarios, este es un proceso en curso el cual se adjudicara en la primera quincena de enero de 2017. </t>
  </si>
  <si>
    <t>Para el mes de diciembre no se presento ningun avance al Convenio 282 de 2016.</t>
  </si>
  <si>
    <t>El indicador para el año 2016 son 500 Subsidios
Para el mes de Diciembre se entregaron  55  Subsidios Funerarios.</t>
  </si>
  <si>
    <t>Actualmente contamos contratos de interventoria No.  098 y 099 de 2015 para supervision para la prestacion del servicio de alumbrado publico. Las interventorias del  servicio de alumbrado público, entregaron los informes de actividades correspondientes al mes de Noviembre de 2016, la periodicidad de los informes es mensual y  se presenta mes vencido.</t>
  </si>
  <si>
    <t xml:space="preserve">Se cuenta a la fecha con un convenio interadministrativo firmado con la EAAB, no ha iniciado actividades. </t>
  </si>
  <si>
    <t>En el mes de diciembre en el marco de la fomación a ciudadanos a través de 9 eventos  participaron de 218 personas, para un total de 6275 durante el 2do semestre de 2016, correspondiente al Plan de Desarrollo Bogotá Mejor para Todos.</t>
  </si>
  <si>
    <t>Se elaboró herramienta para la definicion de areas de cobertura para la implantacion de ECAs de acuerdo a la subdivision territorial en UPZ y de acuerdo a la ubicacion de lotes disponibles.
Se realizaron las visitas respectivas para viabilizacion tecnica a los predios disponibles de acuerdo a los listados existentes en las entidades del distrito y a las encontradas en el mercado inmobiliario.
Se elaboraron los diseños preliminares de la ECA de La Alqueria de acuerdo a la normatividad urbana distrital vigente y a los requerimientos de la ley de forma que sea el piloto que brinde los lineamientos de tecnicos para la puesta en marcha del programa general.</t>
  </si>
  <si>
    <t>Se realizo la actualizacion respectiva de la base de datos RURO mediante Resolucion 621 de 2016 (13-12-16) con 247 personas que son incluidas como Recicladores de Oficio.</t>
  </si>
  <si>
    <t>No reporta avance en la gestión</t>
  </si>
  <si>
    <t xml:space="preserve">Con el propósito de generar un espacio  de acompañamiento para el fortalecimiento de las organizaciones en el cual las entidades nacionales y del distrito presenten su oferta institucional a los recicladores de oficio, se realizaron 3 ferias dirigidas a la totalidad de las localidades del Distrito Capital, agrupadas así:
Chapinero: Chapinero, Santa Fe, Mártires, Candelaria, Barrios Unidos, Teusaquillo.
Tunjuelito: Tunjuelito, San Cristóbal, Puente Aranda, Antonio Nariño.
Usme: Usme, Rafael Uribe Uribe, Ciudad Bolívar, Sumapáz.
Suba: Suba, Usaquén, Engativá.
Kennedy: Kennedy, Bosa, Fontibón.
Estas se realizaron los días 6, 12 y 14 de diciembre. Se contó con el acompañamiento de entidades como Secretaría de Hábitat, ICBF, Ejercito Nacional, Secretaría de Salud, Ministerio de Salud, Secretaría de la Mujer, Integración Social, Colpensiones, Ministerio de Vivienda, Ciudad y Territorio, AV Villas, Superservicios, Alianza Nacional para Reciclaje Inclusivo y SENA, entre otras. </t>
  </si>
  <si>
    <t xml:space="preserve">El Documento técnico para la gestión de residuos sólidos especiales ya fue elaborado, se encuentra en revisión y en articulación con las actividades del PGIRS.  </t>
  </si>
  <si>
    <t xml:space="preserve">Se elaboró el documento técnico con la línea base de aprovechamiento y separación en la fuente en la ruralidad, en el cual se contempla la estrategia y las lineas de acción para su gestión. </t>
  </si>
  <si>
    <t>El 22 de diciembre de 2016, fue publicado en el mapa de procesos, proceso de gestión de asuntos legales del sistema integrado de gestión de la Unidad, la versión 9 del Manual de Contratación de la UAESP.</t>
  </si>
  <si>
    <t>* Se realizo auditoria a el proceso de PQR.
* Se realizo seguimiento del Plan Anticorrupción, se envia informe el 06/01/2017 y se pública 10/01/2017.</t>
  </si>
  <si>
    <t>* Se realizo el seguimiento al tramite del 100% de los requerimientos de entes de control y se radico informe con el No. 2017110001873 del 5 de enero de 2017.
* La trasmisión de cuenta se realiza el 7 día habil del mes de enero.</t>
  </si>
  <si>
    <t>* Se realizaron 18 auditorias de las 19 programadas en el programa Anual de Auditorias.
* Se realizaón los seguimiento a la administración de riesgos de la unidad.</t>
  </si>
  <si>
    <t>* Se presentaron todos los informes de Ley.
* Se  consolido el informe del mapa y plan de manejo de riesgos para ser socializado con las dependencias en diciembre</t>
  </si>
  <si>
    <t>Para este periodo se reevalua el % del avance de la implementación del SGSST,  prara lo caul se tomara como  referencia  resultado de la auditoria especializada  adelantada por la ARL el 21 de diciembre de 2016. cuyo resultado fue deun 37% sobre el 100%.  Donde se identifica  que  de  51  criterios evaluados   el: 41% estan sin ejecutar; el 25% estan iniciados; el 16% se encuentran parcialmente  realizados  y el 18% cumplidos.</t>
  </si>
  <si>
    <t>Con las actividades   ejecutadas durante el periodo se incrementa en un 18% adicional al 17% programado en el periodo, ya que se ejecutaron  actividades reprogramaron. Como  son:  Incentivos a funcionarios de carrera administrativa,  reconocimiento al mejor  compañero de dependencia, y el informe de fin de año. se  cuenta con un Plan de Binestar formulado y un Borrador de propuesta para la vigencia 2017-2020.
No se cumplio con lo programado en la  :Dimensión Personal -Individual: - Programas Educativos de Educación Formal (No se realizo), por cuanto  no le fue consedido la solicitud a un funcionario quien se encuentra en periodo de prueba en otra entidad.  y no se solicito mas  apoyo a programas educativos por parte de los demás funcionarios de carrera administrativa.</t>
  </si>
  <si>
    <t>Con las actividades   ejecutadas durante el periodo se incrementa en un 18% adicional al 17%  programado en el periodo, ya que se ejecutaron actividades que habian sido reprogramadas, como  son:  Jornadas de Inducción y reinducción (Episodios), Jornadas de inducción y reinducción en    sistema de correspondencia ORFEO.  Capacitación en  Sistemas de Seguridad de la Informacción.  se  cuenta con un Plan dInstitucional de capacitacion  formulado y un Borrador de propuesta para la vigencia 2017-2020.
No se  adelantó el taller de Etica programado. En el mes de diciembre. no se realizo ninguna inscripción a taleres o seminarios deel personal de carrerra administrativa o libre nombramiento.</t>
  </si>
  <si>
    <t>1. El 01/12/2016 se realizó prueba de revisión de movimientos de ingresos Agosto 2016. (anexan Soporte)                                                                                  2. Mediante correo eléctronico del 02/12/2016 se envío  a la Dirección el  documento de resolución para adicionar funciones transitorias al comité de sostenibilidad contable; lo anterior para revisión y firma por parte de la Directora de la Unidad.                                                                             3.Mediante correo eléctronico del  02/12/2016  se envio al grupo interno de trabajo NISCP para revisión el Manual de Politicas contables para aplicación de NICSP, (anexo correo y manual de políticas)                                                                            4.El 20/12/2016 se realizó cómite de sostenibilidad contable donde se presento : Saldos preliminares con corte a 30/09/2016, Informe de adopción de las NICPS y presentación de prueba piloto.( anexan archivos correspondientes)</t>
  </si>
  <si>
    <t>1. Se cuenta con el proyecto de Resolución de Cartera con Vo.Bo. de la Subdirección  Administrativa y Financiera  y de la Subdirección de Asuntos Legales, documento  remiitido a la Dirección General de la Unidad para  revisión y firma de la Directora General ( se anexa correo)    
Se reprograma la socializacón del manual de cartera para la vigencia 2017 hito que s incluirá en la formulación del plan de acción 2017</t>
  </si>
  <si>
    <t>Oportunamente se presentaron  los informes  presupuestales y financieros, lograndose  el cumplimieto de la meta establecida en el presente año.</t>
  </si>
  <si>
    <t>Se realizaron las respectivas verificaciónes de las direcciones de la correspondencia a fin de  asegurar  la  entrega oportuna de la  totalidad de las comunicaciones producidas por la entidad. Se enviaron 2572 de las cuales fueron devueltas 314</t>
  </si>
  <si>
    <t xml:space="preserve">Se emitió la Resolución No. 529 del 11/11/2016, "Por lo cual se aprueban y adoptan Tablas de Retención Documental -TDR de la Unidad Administrativa Especial de Servicios Públicos -UAESP, el programa de Gestión Documental -PGD y el cuadro de clasificación Documental -CCD",  la cual se encuentra publicada en la intranet:  las TRD fueron enviadas al Archivo de Bogotá mediante radicado 20166010170491 del 29 de diciembre de 2016 a fin de que sean convalidadas, asi mismo se realizaron todas las capacitaciones de divulgacion a cada una de las dependencias y oficinas de la unidad. </t>
  </si>
  <si>
    <t>Mediante la resolución 675 de 2016, se dió de baja los bienes obsoletos e inservibles, logrando el  100%  en el cumplimiento de la  meta establecida.</t>
  </si>
  <si>
    <t>Se está adelantando las adecuaciones físicas al edificio de la sede de la avenida caracas # 53-80, de igual manera se adquirieron las sillas y puestos de trabajo para ser reemplazados; se estan armando y alistando para instalación, proceso que se tiene previsto culminar en el 2017</t>
  </si>
  <si>
    <t>Teniendo en cuenta las solicitudes realizadas por la Oficina Asesora de Planeación, se cumplió al 100% en la generación de reportes- informe de consumo de papel, combustible, energía y agua.</t>
  </si>
  <si>
    <t>Intranet: 15 actualizaciones de contenidos 
Evento Interno:
Episodio Final 
Boletín Interno: 
Boletín Virtual No.005
Comunicados Internos:
Encuesta salud ocupacional
Clases de Yoga
Programación de Bolos
Navidad UAESP
Cumpleaños UAESP
Copasst
Ciclovía Nocturna
Novenas de Navidad
Pacto por la Transparencia
Feria de Servicios Microempresarios UAESP</t>
  </si>
  <si>
    <t>Página Web: 5872 visitas en la página web
15 actualizaciones de contenidos 
Eventos: 
Ferias Institucionales para recicladores
Jornada de Embellecimiento en el Parque Nacional
Evento entrega nuevas luminarias en la Zona Rosa: Parque el Nogal
Evento entrega nuevas luminarias en Parque Gaitán cortés
Boletines externos: 
Administración Distrital Intervendrá zona ferrocarril Fontibón
Administración Peñalosa superó metas de alumbrado público en parques</t>
  </si>
  <si>
    <t xml:space="preserve">El 28 de diciembre se suscribió prórroga y adcición del contrato de interventoría 159 de 2014, por valor de 1,860,582,475, por cinco meses y veinte días. </t>
  </si>
  <si>
    <t xml:space="preserve">En el mes de diciembre se entregaron los informes de supervisión y control de las seis zonas, con corte a noviembre de 2016, de acauerdo con lo establecido en el procedimiento de supervisón y control </t>
  </si>
  <si>
    <t>Se atendieron los eventos de reporte de caida de arboles SIRE 4374538, 4349909,4331624 y 4329216.</t>
  </si>
  <si>
    <t>Se entregaron los informes de supervisión y control de los meses de enero, febrero, marzo, abril, mayo junio, julio, agosto, septiembre y octubre</t>
  </si>
  <si>
    <t>A la fecha se entregó el informe de avance del mes de diciembre. En el marco del Convenio se adjudicó y se dio inicio a la ejecución del contrato No 134 de 2016 suscrito con INTERASEO S.A  para la atención de residuos peligrosos en San Benito Localidad de Tunjuelito.</t>
  </si>
  <si>
    <t>Pasa la actividad para el siguiente año.</t>
  </si>
  <si>
    <t>Se realizaron sesiones de trabajo en cambio de contraseñas criticas, identificación de servidores, aplicaciones y bases de datos criticas, aseguramiento de servidor de archivo</t>
  </si>
  <si>
    <t>En el mes de diciembre se firmo el contrato No 370 de 2016 con RP No 680 del 06/12/2016. se entregaron: Diez (10) licencias de Autocad LT, cinco licencias (5) Adobe Creative Cloud y una (1) licencia de Sketchup, con medios de instalación, manuales y documentos técnicos.</t>
  </si>
  <si>
    <t>En el mes de diciembre los ingenieros realizaron el soporte y mantenimiento solicitados por los usuarios de los modulos de Contabilidad, LIMAY y Tesoreria, OPGET, del sistema personal y nomina, PERNO, el sistema de almacén, SAE, de administración de inventarios SAI  y Terceros, Sistema de contratación - SISCO, Plan Anual de Caja - PAC y Presupuesto Distrital - PREDIS; asi como las interfaces con otros módulos.
En general se cumple con todos los requerimientos solicitados por los usuarios.</t>
  </si>
  <si>
    <t xml:space="preserve">Durante el mes de diciembre se atendieron 148 solicitudes, las cuales fueron resueltas en su totalidad en la menor brevedad posible. </t>
  </si>
  <si>
    <t>.- Se suscribió la adición N° 6 al contrato 344 de 2010, suscrito con CGR por un valor de $2.140.169.905 y la adición N° 3 al contrato 130 E suscrito con Inter DJ por un valor de $430.254.162, para realización de obras de mitigación en la Planta de Tratamiento de Lixiviados (PTL).
.- Se suscribió la adición N° 7 al contrato 344 de 2010, suscrito con CGR por un valor de $3,648,404,905 y la adición N° 4 al contrato 130 E suscrito con Inter DJ por un valor de $4,56,141,088, para realización de obras de estabilización en zona de Poste 53.</t>
  </si>
  <si>
    <t>.- Diseño y construcción de tres (3) gimnasios biosaludables en la Vereda de Mochuelo Alto.
.- Estudios, diseños técnicos y obtención de permisos para pavimentación de vías peatonales y vehiculares en los barrios Quintas del Plan Social y Granada Sur, en la Localidad de Usme.
.- Apoyo al acceso y permanencia en la educación superior a jóvenes de la zona de influencia del RSDJ. (Universidad Pedagógica).
.- Apoyo al acceso y permanencia en la educación superior a jóvenes de la zona de influencia del RSDJ. (Universidad Distrital Francisco José de Caldas).
.- Apoyo al acceso y permanencia en la educación superior a jóvenes de la zona de influencia del RSDJ. (Universidad Nacional).
.- Cerramiento del predio La Isla.
El convenio con FDL Ciudad Bolívar para gestión de varios proyectos (agroindustria, acueducto, gestión ambiental entre otros, no se suscribió, debido a que aún está vigente un convenio similar.</t>
  </si>
  <si>
    <t>.- Se suscribió la adición Nº 5 al contrato 344 de 2010, suscrito con CGR por un valor de $12,334,606,680 y la adición N° 2 al contrato 130 E suscrito con Inter DJ por un valor de $1,202,863,151, para realización de obras de estabilización Dique VI - Fase II.</t>
  </si>
  <si>
    <t xml:space="preserve">El contratista hace entrega del informe correspondiente a la Etapa 3: "Informe final de identificación áreas potenciales en el Distrito capital y municipios aledaños, para la disposición final con alternativas tecnológicas de aprovechamiento y/o tratamiento de residuos sólidos", mediante radicado   20166010275372, el cual se encuentra en etapa de análisis por parte de la UAESP. </t>
  </si>
  <si>
    <t xml:space="preserve">Al cierre de la vigencia no se concretó la consecución de recursos por parte del Banco Mundial. </t>
  </si>
  <si>
    <t>Se logró la consecución de los insumos necesarios para la adquisición de predios. Se realizó la identificación de predios a adquirir, se realizaron los estudios de títulos, levantaminetos topográficos, censo social de la población afectada. Asi mismo se diseñó el plan de gestión social que se aplicará a las personas que negociarán sus predios. Queda todo listo para inicar el proceso de avalúo de los predios(convenio con Ctastro Distrital) necesario para la adquisición de dichos predios a realizarse en 2017.</t>
  </si>
  <si>
    <t>1. Se culminó con la fase 1 del modelo de operación, se realizaron actualizaciones en los documentos de los procesos del SIG; simplificando las actividades de acuerdo con las directrices del SIG.  Los documentos actualizados se encuentran descritos en el listado maestro de documentos y registros 
2, Esta actividad fue cumplida en el mes de Noviembre.
3, Se requirió el 26 de diciembre el reporte de los indicadores de los procesos del último trimestre; los cuales se actualizarán con el reporte cargado en la aplicación Kawak.</t>
  </si>
  <si>
    <t xml:space="preserve">El  27 de Diciembre se termino la concertación del Documento PIGA periodo 2016 -2020. Se radico por la Herramienta del STROMS , se valido y se genero el Certificado el 30 de Diciembre de 2016. El acta de concertación a la fecha no la ha enviado la SDA esta para firma del Secretario de Ambiente y luego se envia para firma de la Dirección General </t>
  </si>
  <si>
    <t>* Se registraron 15 eventos y 72 diseños campaña externa, participación ciudadana y servicios de la Entidad y doce (12) boletínes de noticias.
* La divulgación de contenidos de la UAESP en redes sociales presentaron los siguientes indicadores: 
- Facebook registró alcance de 119.206 personas 
- Twitter registró 1076.4K impresiones 
* Página web registró 19.205 visitas y 7.092 usuario nuevos.
* Se realizó 1 encuesta en la jornada de embellecimiento en la zona del parque Quinta Camacho en la localidad de Chapinero</t>
  </si>
  <si>
    <t>* Se emitió la Resolución No. 529 del 11/11/2016, "Por lo cual se aprueban y adoptan Tablas de Retención Documental -TDR de la Unidad Administrativa Especial de Servicios Públicos -UAESP, el programa de Gestión Documental -PGD y el cuadro de clasificación Documental -CCD",  la cual se encuentra publicada en la intranet, así mismo se realizó capacitación sobre el tema durante el mes de diciembre de 2016</t>
  </si>
  <si>
    <t>* Se dio atención y seguimiento a las PQRS recibidas en la UAESP</t>
  </si>
  <si>
    <t>* Se realizó la supervisión e interventoría a la operación del servicio de alumbrado público, de acuerdo con la entrega de informes a los contratos No 098 y 099 de 2015.</t>
  </si>
  <si>
    <t xml:space="preserve">* Se superó la meta programada de subsidios funerarios de  500 programados para la vigencia 2016-II, se han entregado 583 en total.
* Se entregaron las dos plataformas de monitoreo tanto norte como el sur, la Secretaría del Medio Ambiente otorgo el permiso de emisiones mediante la Resolución 2196 del 2016,  para los hornos 2 y 3. 
* Se firmó y se encuentra en ejecución el contrato interadministrativo No 282 de 2016, con la universidad Distrital para el apoyo a la supervision del  la operación de los cementerios de propiedad del Distrito, 
</t>
  </si>
  <si>
    <t>* Se elaboró el documento técnico con la línea base de aprovechamiento y separación en la fuente en la ruralidad.</t>
  </si>
  <si>
    <t xml:space="preserve">* Se suscribió la Adición N° 5 al contrato de concesión 344 de 2010 para la realización de la obra de estabilización Dique VI Fase II.
* Se suscribió la adición N° 6 al contrato 344 de 2010 para realización de obras de mitigación en la Planta de Tratamiento de Lixiviados (PTL).
* Se suscribió la adición N° 7 al contrato 344 de 2010 para realización de obras de estabilización en zona de Poste 53
Se adjudicó 6 contratos de los 7 proyectos orientados a mitigar y/o compensar los impactos negativos ocasionados por la operación del RSDJ en la población aledaña, los cuales se ejecutarán durante la vigencia 2017.
* Se suscribió y ejecutó el contrato interadministrativo N° 203 de 2016, cuyo objeto es "Estudiar técnicamente nuevas áreas potenciales necesarias para la disposición final de residuos sólidos con alternativas tecnológicas de aprovechamiento y/o tratamiento que permitan complementar el esquema de disposición existente."
* Se logró la consecución de los insumos necesarios para la adquisición de 18 predios, ubicados en las veredas de Mochuelo Alto y Mochuelo Bajo.  Para el 2017 se inicará el proceso de avalúo de los predios(convenio con Catastro Distrital) necesario para la adquisición de dichos predios a realizarse en 2017.
 </t>
  </si>
  <si>
    <t xml:space="preserve">
* Se estableció como proyecto piloto la ECA en el predio de la Alqueria localidad de Kennedy. Se elaboró herramienta para la definicion de areas de cobertura para la implantacion de ECAs de acuerdo a la subdivision territorial en UPZ y de acuerdo a la ubicacion de lotes disponibles. Teniendo en cuenta la viabilizacion técnica a los predios disponibles de acuerdo a los listados existentes en las entidades del distrito y a las encontradas en el mercado inmobiliario en el 2017 se gestonará la adquisición de predios.
* En el segundo semenstre Se realizaron 4 actualizaciones al RURO en las cuales se incluyeron un total de 544 recicladores, se retiraron 11 recicladores y 8 recicladores actualizaron información en la base de datos. 
* El Registro Unico de Organizaciones de Recicladores se encuentra actualizado y completo, registra un total de 86 Organizaciones, de las cuales 40 están disponibles para el seguimiento a su proceso de formalización
* Con el propósito de generar un espacio  de acompañamiento para el fortalecimiento de las organizaciones en el cual las entidades nacionales y del distrito presenten su oferta institucional a los recicladores de oficio, se realizaron 5 ferias dirigidas a la totalidad de las localidades del Distrito Capital, agrupadas así:
Chapinero: Chapinero, Santa Fe, Mártires, Candelaria, Barrios Unidos, Teusaquillo.
Tunjuelito: Tunjuelito, San Cristóbal, Puente Aranda, Antonio Nariño.
Usme: Usme, Rafael Uribe Uribe, Ciudad Bolívar, Sumapáz.
Suba: Suba, Usaquén, Engativá.
Kennedy: Kennedy, Bosa, Fontibón.
Estas se realizaron los días 22 de noviembre, 1, 6, 12 y 14 de diciembre. Se contó con el acompañamiento de entidades como Secretaría de Hábitat, ICBF, Ejercito Nacional, Secretaría de Salud, Ministerio de Salud, Secretaría de la Mujer, Integración Social, Colpensiones, Ministerio de Vivienda, Ciudad y Territorio, AV Villas, Superservicios, Alianza Nacional para Reciclaje Inclusivo y SENA, entre otras. 
* Se entregaron 223 llantas acopiadas temporalmente en el Centro La Alquería al programa poscosumo rueda verde para su posterior aprovechamiento
* Se entregó el documento técnico para la gestión de residuos sólidos especiales, el cual posterior a su revisión deberá articularse con las actividades del PGIRS.  </t>
  </si>
  <si>
    <t>* Se manitiene prórroga  y adición, hasta el mes de mayo de 2017,  del contrato de interventoría 159 de 2014 para el servicio público de aseo y residuos hospitalarios.
* Los informes de supervisión a los contratos de prestación y operación del servicio de aseo en todos sus componentes se entregaron con corte a noviembre 2016.
* Se entregaron informes con corte a octubre 2016  de supervisión al contrato de prestación del servicio de Residuos Hospitalarios.
* Se recibieron los informes de actividades ejecutados en el marco del convenio 006 de 2015, con corte noviembre 2016 y se atendieron las situaciones de emergencia, y se dio inicio a la ejecución del contrato No 134 de 2016 suscrito con INTERASEO S.A  para la atención de residuos peligrosos en San Benito Localidad de Tunjuelito.
* Durante el segundo semestre 2016 se atendieron un total de 24 eventos de reporte de caida de arboles SIRE. 
* Se presentó estudio de verificación de motivos para la aprobación de las áreas de servico exclusivo el cual continua en revisión para aprobación por la Comisión de Regulación de Agua Potable - CRA, para la prestación del servicio público de aseo
* Se actualizó documento del Plan de Gestión Integral de Residuos Sólidos - PGIRS el cual se adoptó mediante Decreto 495 de 2016.</t>
  </si>
  <si>
    <t>* Se firmó convenio interadministrativo No 365 de 2016 con la EAAB con el objetivo de realizar  campaña en temáticas tales como: producción limpia, responsabilidad extendida, disminución en la generación y consumo responsable.
* En el marco de la fomación a ciudadanos se concientizaron en separación en la fuente un total de un total de 6275 personas durante el 2do semestre de 2016.
* En desarrollo del Plan de Formalización que se implementó en Distrito para la población recicladora de oficio, durante los días 28, 29 y 30 de noviembre se realizaron 3 jornadas de capacitación durante las cuales se explicaron los aspectos relacionados con la normatividad técnica y regulatoria de la actividad de aprovechamiento del servicio público de aseo. Se capacitaron 75 recicladores de oficio de la ciudad. 
* Se realizaron 3 laboratorios de capacitación para acompañar a los recicladores de oficio, cuyo objetivo fue apoyar y acompañar a los recicladores de oficio en sus procesos de formación y fortalecimiento empresarial, donde se construye la teoría que promueve a través de la practica, con el fin de obtener recicladores empresarios y con cultura emprendedora. Adicionalmente se suscribió un convenio con el SENA para capacitar a las organizaciones de recicladores.</t>
  </si>
  <si>
    <t xml:space="preserve">* Se registró un avance del 29% en la implementación del Sistema de Gestión de Seguridad y Salud en el Trabajo SGSST 
 * Se conformó e instaló el  COPASTT
*  Se aprobó reglamento interno de cartera según Resolución UAESP No 517 de 2016 . De acuerdo a la prueba piloto en relación a la adopción de las NICPS se registraron saldos preliminares con corte a 30/09/2016.
* Se gestionó e implementó el 100% de compromisos ambientales adquiridos en el marco del PIGA
* Se obtuvo recertificación del Sistema de gestión de calidad de la UAESP, norma ISO 9001:2015 y GP1000:2009
* Se concertó el documento definitivo del Plan Institucional de Gestión Ambiental periodo 2016 -2020. Se radico por la Herramienta del STROMS , se validó y se generó el Certificado el 30 de Diciembre de 2016.
* Se cumplió con el Plan Anual de Auditorias, se realizaron 18 auditorias de las 19 programadas. </t>
  </si>
  <si>
    <t xml:space="preserve">* Realización 47 Diseños de campaña interna y canales de cominiación de la Entidad.
* 3 boletines de noticias
* 2 boletínes informativos de auditoría
* Eventos Internos: cuatro (4) Episodios Participación: 360 funcionarios de la UESP
* 38 campañas de Comunicación Interna
* La Oficina de TIC firmó contrato 370 de 2016 para Adquisición y/o actualización de licencias de software, Diez (10) licencias de Autocad LT, cinco licencias (5) Adobe Creative Cloud y una (1) licencia de Sketchup, con medios de instalación, manuales y documentos técnicos.
* Se garantizó el sostenimiento de los aplicativos y sistemas de la Unidad, Sistema de telefonía IP y demas equipos eléctricos de la Unidad en correcto funcionamiento
* Se atendieron todas las solicitudes de Soporte técnico (Mesa de Servicios) presentadas por los funcionarios de la UAESP
* El plan de bienestar de la vigencia 2014-2016 durante el 2016 registró una ejecución del 92%
*  El plan de capacitación programado para el 2016 registró una ejecución del 92%
* Se adoptó la Versión 9 del Manual de Contratación, Mediante Resolución No. 000581 del 30 de Noviembre de 2016.
* Se realizaron informes de seguimiento al Plan de Acción Institucional y ejecución presupuestal con periodicidad mensual a todas las dependencias de la UAESP
</t>
  </si>
  <si>
    <t>INFORME DE EJECUCIÓN PLAN DE ACCIÓN 2016
BOGOTÁ MEJOR PARA TODOS</t>
  </si>
  <si>
    <r>
      <rPr>
        <b/>
        <sz val="12"/>
        <rFont val="Arial"/>
        <family val="2"/>
      </rPr>
      <t xml:space="preserve">Junio:
</t>
    </r>
    <r>
      <rPr>
        <sz val="10"/>
        <rFont val="Arial"/>
        <family val="2"/>
      </rPr>
      <t xml:space="preserve">1. Campaña de divulgación "Día Sin Carro del Distrito
2. Campaña de divulgación "Cumpleaños de los Funcionarios"
3. Campaña de divulgación "Semana Ambiental".
4. Campaña de divulgación "TIC nos facilita el trabajo".
5. Campaña de divulgación "Vacaciones Recreativas".
6.Realización y grabación del noticiero interno "Somos la Unidad".
7. Realización de eventos enmarcados dentro de la estrategia de la campaña de la Semana Ambiental.
</t>
    </r>
    <r>
      <rPr>
        <b/>
        <sz val="12"/>
        <rFont val="Arial"/>
        <family val="2"/>
      </rPr>
      <t xml:space="preserve">Julio:
</t>
    </r>
    <r>
      <rPr>
        <sz val="10"/>
        <rFont val="Arial"/>
        <family val="2"/>
      </rPr>
      <t xml:space="preserve">1. Correo informativo "Tu Talento Humano Informa"
2.Organización del evento y estrategia de comunicación "Nueva Iluminación Parque Cedritos". 
3. Campaña de Divulgación "Olimpiadas UAESP".
4.Campañas de divulgación y estrategia de comunicación "Jornadas de Embellecimiento".
5. Campaña de divulgación, estrategia de comunicación y organización del evento “Iluminación de la Virgilio Barco".
6. Campaña de divulgación "Concierto PIGA". </t>
    </r>
    <r>
      <rPr>
        <b/>
        <sz val="12"/>
        <rFont val="Arial"/>
        <family val="2"/>
      </rPr>
      <t xml:space="preserve">
Agosto:
</t>
    </r>
    <r>
      <rPr>
        <sz val="10"/>
        <rFont val="Arial"/>
        <family val="2"/>
      </rPr>
      <t>1. Campaña de divulgación "Día Sin Carro del Distrito
2.Campañas de divulgación y estrategia de comunicación "Jornadas de Embellecimiento".
3.Campañas de divulgación, estrategia de comunicación y apoyo logístico del evento "Feria de emprendimiento".
4.Correo informativo "Tu Talento Humano Informa".
5.Campañas de divulgación, estrategia de comunicación y apoyo logístico del evento "Episodio 1".
6.Lanzamiento del noticiero interno "La Unidad".
7. Divulgación encuesta "Movilidad Sostenible". 
8.Divulgación "Actualización del SIG". 
9.Estrategia de comunicación y apoyo logístico del evento "Trueque"</t>
    </r>
  </si>
  <si>
    <r>
      <t>Junio:</t>
    </r>
    <r>
      <rPr>
        <sz val="10"/>
        <rFont val="Arial"/>
        <family val="2"/>
      </rPr>
      <t xml:space="preserve">
1. Campaña de divulgación "Semana Ambiental".
2. Realización de eventos enmarcados dentro de la estrategia de la campaña de la Semana Ambiental.
3.Campaña de divulgación y apoyo logístico del evento "Yo soy Eje Ambiental.". Así como, diseño e implementación de una estrategia externa que contempla acciones de free press, redacción comunicado de prensa, convocatoria medios y registros en los mismos.  
4. Apoyo a la estrategia Digital de la Alcaldía Mayor de Bogotá. 
5.Rueda de prensa lanzamiento "Nuevo Esquema de Aseo de la ciudad".</t>
    </r>
    <r>
      <rPr>
        <b/>
        <sz val="12"/>
        <rFont val="Arial"/>
        <family val="2"/>
      </rPr>
      <t xml:space="preserve">
Julio:</t>
    </r>
    <r>
      <rPr>
        <sz val="10"/>
        <rFont val="Arial"/>
        <family val="2"/>
      </rPr>
      <t xml:space="preserve">
1. Campaña de divulgación "Jornadas de Embellecimiento".
2. Estrategia de posicionamiento en medios participación de la Directora en el congreso de ANDESCO. 
3. Estrategia free press evento "Graduación de 150 mujeres recicladoras".
4. Estrategia digital, posicionamiento en medios y organización logística del evento "Nueva iluminación parque Cedritos". 
5.Estrategia free press y digital, así como organización logística del evento "Recuperación Monumento Los Héroes".
6.Estrategia en medios: comunicado de prensa "Peñalosa ordena aumentar frecuencias en rutas de aseo para mantener limpia a Bogotá". 
7. Estrategia en medios "Nuevas Luminarias en la ciudad."
8. Campaña de divulgación, estrategia en medios, estrategia digital y organización logística del evento "Inauguración alumbrado público en la Biblioteca Virgilio Barco."</t>
    </r>
    <r>
      <rPr>
        <b/>
        <sz val="12"/>
        <rFont val="Arial"/>
        <family val="2"/>
      </rPr>
      <t xml:space="preserve">
Agosto:</t>
    </r>
    <r>
      <rPr>
        <sz val="10"/>
        <rFont val="Arial"/>
        <family val="2"/>
      </rPr>
      <t xml:space="preserve">
1.Apoyo a la estrategia Digital de la Alcaldía Mayor de Bogotá. 
2. Estrategia de divulgación digital "Jornadas de embellecimiento."
3. Estrategia de divulgación digital sobre jornadas de descontaminación visual
4.Estrategia de divulgación digital sobre jornada de recolección de llantas en Mártires y Barrios Unidos. 
5.Estrategia de medios para la divulgación del comunicado "Estaciones de clasificación de basura empezarán a funcionar en menos de cuatro meses en Bogotá".
6. Estrategia de posicionamiento en medios participación de la Directora en el congreso de ACODAL. </t>
    </r>
  </si>
  <si>
    <r>
      <rPr>
        <b/>
        <sz val="11"/>
        <rFont val="Arial"/>
        <family val="2"/>
      </rPr>
      <t>Julio</t>
    </r>
    <r>
      <rPr>
        <sz val="11"/>
        <rFont val="Arial"/>
        <family val="2"/>
      </rPr>
      <t xml:space="preserve">: Se elaboraron las TRD de las dependencias de Direccion General, OCI, OAC, OAP y Oficina TICs
</t>
    </r>
    <r>
      <rPr>
        <b/>
        <sz val="11"/>
        <rFont val="Arial"/>
        <family val="2"/>
      </rPr>
      <t>Agosto</t>
    </r>
    <r>
      <rPr>
        <sz val="11"/>
        <rFont val="Arial"/>
        <family val="2"/>
      </rPr>
      <t xml:space="preserve">: Se elaboraron las TRD de las dependencias  de Subdirección de  RBL, Disposicion Final,  SFAP, Aprovechamiento, SAL y SAF. Asi mismo se  elaboro el Cuadro de Clasificacion Documental. queda pendiente la elaboracion del Acto Administrativo y de adopción. </t>
    </r>
  </si>
  <si>
    <r>
      <rPr>
        <b/>
        <sz val="11"/>
        <rFont val="Arial"/>
        <family val="2"/>
      </rPr>
      <t>Julio</t>
    </r>
    <r>
      <rPr>
        <sz val="11"/>
        <rFont val="Arial"/>
        <family val="2"/>
      </rPr>
      <t xml:space="preserve">: Se esta adelantando la revisión de equipos para concepto técnico. 
</t>
    </r>
    <r>
      <rPr>
        <b/>
        <sz val="11"/>
        <rFont val="Arial"/>
        <family val="2"/>
      </rPr>
      <t>Agosto</t>
    </r>
    <r>
      <rPr>
        <sz val="11"/>
        <rFont val="Arial"/>
        <family val="2"/>
      </rPr>
      <t>: Se identificaron los bienes para dar de baja y se realizaron los conceptos técnicos para presentar en comité de inventarios.</t>
    </r>
  </si>
  <si>
    <r>
      <rPr>
        <b/>
        <sz val="11"/>
        <rFont val="Arial"/>
        <family val="2"/>
      </rPr>
      <t>Julio</t>
    </r>
    <r>
      <rPr>
        <sz val="11"/>
        <rFont val="Arial"/>
        <family val="2"/>
      </rPr>
      <t xml:space="preserve">: El avance del contrato esta en un 95% de lo contratado en el levantamiento y avalúo del inventario con la firma RT consultores. 
En cuanto al avance físico corresponde al 80% de la toma, que se hará con funcionarios del Almacén.
</t>
    </r>
    <r>
      <rPr>
        <b/>
        <sz val="11"/>
        <rFont val="Arial"/>
        <family val="2"/>
      </rPr>
      <t>Agosto</t>
    </r>
    <r>
      <rPr>
        <sz val="11"/>
        <rFont val="Arial"/>
        <family val="2"/>
      </rPr>
      <t>: Se realizó inventario con la firma RT consultores con avaluo y cedulación de activos, se esta adelantando el 10% restante de muebles.</t>
    </r>
  </si>
  <si>
    <r>
      <t>Julio</t>
    </r>
    <r>
      <rPr>
        <sz val="11"/>
        <rFont val="Arial"/>
        <family val="2"/>
      </rPr>
      <t xml:space="preserve">: Se realizo la impermeabilizacion del edificio de la calle 53, adecuaciones a la bodega de la Alqueria, se realizaron mejoras en los exteriores de los predios de loc cementerios.
</t>
    </r>
    <r>
      <rPr>
        <b/>
        <sz val="11"/>
        <rFont val="Arial"/>
        <family val="2"/>
      </rPr>
      <t>Agosto</t>
    </r>
    <r>
      <rPr>
        <sz val="11"/>
        <rFont val="Arial"/>
        <family val="2"/>
      </rPr>
      <t>: Se pinto la planta de energia de la calle 53, se le hicieron adecuaciones locativas al punto vive digital y bodega de Usaquen, se realizo las adecuaciones de seguridad en el techo del edificio de la 61.</t>
    </r>
  </si>
  <si>
    <r>
      <t xml:space="preserve">Julio: </t>
    </r>
    <r>
      <rPr>
        <sz val="11"/>
        <rFont val="Arial"/>
        <family val="2"/>
      </rPr>
      <t xml:space="preserve">Se desarrolló el Plan Cometa para presentar en el evento de rendición de cuentas Episodio I; se adelantan revisiones a todos los procesos del SIG en sus caracterizaciones, riesgos e indicadores.
</t>
    </r>
    <r>
      <rPr>
        <b/>
        <sz val="11"/>
        <rFont val="Arial"/>
        <family val="2"/>
      </rPr>
      <t xml:space="preserve">Agosto: </t>
    </r>
    <r>
      <rPr>
        <sz val="11"/>
        <rFont val="Arial"/>
        <family val="2"/>
      </rPr>
      <t xml:space="preserve">1. El rediseño del SIG continúa en dos frentes:  ajuste de los procesos actuales y rediseño del modelo de operación (Fase II) 2) Para la auditoría de recertificación fue adjuducada a SGS Colombia. 3) Según plan de trabajo, continúa la actualización en Kawak de indicadores. Está en trámite un proceso de contratación de la empresa Kawak para adquirir habilidades en la actualización del sistema. </t>
    </r>
  </si>
  <si>
    <r>
      <t xml:space="preserve">Julio: </t>
    </r>
    <r>
      <rPr>
        <sz val="11"/>
        <rFont val="Arial"/>
        <family val="2"/>
      </rPr>
      <t xml:space="preserve">Se reunió el equipo directivo de la entidad para revisar el Plan estratégico de la entidad el cual se tiene en un 80%. Por otra parte se inició la formulación de los planes de acción de las áreas.
</t>
    </r>
    <r>
      <rPr>
        <b/>
        <sz val="11"/>
        <rFont val="Arial"/>
        <family val="2"/>
      </rPr>
      <t xml:space="preserve">Agosto: </t>
    </r>
    <r>
      <rPr>
        <sz val="11"/>
        <rFont val="Arial"/>
        <family val="2"/>
      </rPr>
      <t>Se cuenta con el Plan de acción institucional; parte del plan estratégico fue presentado en el Episodio I, evento de rendición de cuentas interno.</t>
    </r>
  </si>
  <si>
    <r>
      <rPr>
        <b/>
        <sz val="12"/>
        <rFont val="Arial"/>
        <family val="2"/>
      </rPr>
      <t xml:space="preserve">Julio: </t>
    </r>
    <r>
      <rPr>
        <sz val="12"/>
        <rFont val="Arial"/>
        <family val="2"/>
      </rPr>
      <t xml:space="preserve">Se entregó el informe de seguimiento a los proyectos de inversión. Así como la ejecución a mayo 31 de Bogotá Humana.
</t>
    </r>
    <r>
      <rPr>
        <b/>
        <sz val="12"/>
        <rFont val="Arial"/>
        <family val="2"/>
      </rPr>
      <t xml:space="preserve">Agosto: </t>
    </r>
    <r>
      <rPr>
        <sz val="12"/>
        <rFont val="Arial"/>
        <family val="2"/>
      </rPr>
      <t>Se elaboró informe de seguimiento de ejecución presupuestal vigencia 2016; se hizo seguimiento a la ejecución de las reservas y los pasivos exigibles. Faltó la sección del informe del Plan de acción</t>
    </r>
  </si>
  <si>
    <r>
      <t xml:space="preserve">Julio: </t>
    </r>
    <r>
      <rPr>
        <sz val="11"/>
        <rFont val="Arial"/>
        <family val="2"/>
      </rPr>
      <t>Se subió el informe de avance PIGA de enero a Junio de 2016.</t>
    </r>
    <r>
      <rPr>
        <b/>
        <sz val="11"/>
        <rFont val="Arial"/>
        <family val="2"/>
      </rPr>
      <t xml:space="preserve">
Agosto: </t>
    </r>
    <r>
      <rPr>
        <sz val="11"/>
        <rFont val="Arial"/>
        <family val="2"/>
      </rPr>
      <t>Se hizo el cierre del PIGA Bogotá Humana 2012-2016. El Plan 2016-2020 se formuló con sus 5 anexos en versión preliminar y fue enviado al Equipo Técnico PIGA para comentarios e iniciar proceso de concertación con la SDA en septiembre.</t>
    </r>
  </si>
  <si>
    <r>
      <rPr>
        <b/>
        <sz val="11"/>
        <rFont val="Arial"/>
        <family val="2"/>
      </rPr>
      <t>Julio</t>
    </r>
    <r>
      <rPr>
        <sz val="11"/>
        <rFont val="Arial"/>
        <family val="2"/>
      </rPr>
      <t xml:space="preserve">: Se envió Informe de Seguimiento al trámite de solicitudes de entes externos de control, con el radicado 20161100037613 del 2/09/2016, dirigido a la Dirección de la Unidad.
</t>
    </r>
    <r>
      <rPr>
        <b/>
        <sz val="11"/>
        <rFont val="Arial"/>
        <family val="2"/>
      </rPr>
      <t>Agosto</t>
    </r>
    <r>
      <rPr>
        <sz val="11"/>
        <rFont val="Arial"/>
        <family val="2"/>
      </rPr>
      <t>: La cuenta del mes de agosto a la Contraloría Distrital fue transmitida a través del SIVICOF en los tiempos establecidos, según certificado 22812016-08-31 del 09 de septiembre de 2016, emitido por la Contraloría de Bogotá.</t>
    </r>
  </si>
  <si>
    <r>
      <rPr>
        <b/>
        <sz val="10"/>
        <rFont val="Arial"/>
        <family val="2"/>
      </rPr>
      <t>Diseños realizados durante octubre:</t>
    </r>
    <r>
      <rPr>
        <sz val="10"/>
        <rFont val="Arial"/>
        <family val="2"/>
      </rPr>
      <t xml:space="preserve">
19 Diseños de campaña interna y canales de cominiación de la Entidad.
</t>
    </r>
    <r>
      <rPr>
        <b/>
        <sz val="10"/>
        <rFont val="Arial"/>
        <family val="2"/>
      </rPr>
      <t xml:space="preserve">Boletín de Noticias: </t>
    </r>
    <r>
      <rPr>
        <sz val="10"/>
        <rFont val="Arial"/>
        <family val="2"/>
      </rPr>
      <t xml:space="preserve">
1 boletín de noticias
Boletín de mesa de trabajo con población aledaña al relleno sanitario.
</t>
    </r>
    <r>
      <rPr>
        <b/>
        <sz val="10"/>
        <rFont val="Arial"/>
        <family val="2"/>
      </rPr>
      <t>Eventos Internos:</t>
    </r>
    <r>
      <rPr>
        <sz val="10"/>
        <rFont val="Arial"/>
        <family val="2"/>
      </rPr>
      <t xml:space="preserve">
Episodios III
Participación: 360 funcionarios de la UESP
</t>
    </r>
    <r>
      <rPr>
        <b/>
        <sz val="10"/>
        <rFont val="Arial"/>
        <family val="2"/>
      </rPr>
      <t xml:space="preserve">Noticiero Interno UAESP: </t>
    </r>
    <r>
      <rPr>
        <sz val="10"/>
        <rFont val="Arial"/>
        <family val="2"/>
      </rPr>
      <t xml:space="preserve">
A 31 de octubre tenemos redactadas y editadas 6 notas. Tenemos producidas varias cortinillas para modernizar la producción del noticiero.
</t>
    </r>
    <r>
      <rPr>
        <b/>
        <sz val="10"/>
        <rFont val="Arial"/>
        <family val="2"/>
      </rPr>
      <t xml:space="preserve">Artículos: </t>
    </r>
    <r>
      <rPr>
        <sz val="10"/>
        <rFont val="Arial"/>
        <family val="2"/>
      </rPr>
      <t xml:space="preserve">
Jornada de evacuación UAESP
La UAESP ratifica su compromiso con Bogotá
Los 10 principios de la innovación en la UAESP
Episodio II, segunda entrega del Informe de Gestón
Corrección y edición  10 artículos periódico Doña Juana
</t>
    </r>
    <r>
      <rPr>
        <b/>
        <sz val="10"/>
        <rFont val="Arial"/>
        <family val="2"/>
      </rPr>
      <t>Estrategias:</t>
    </r>
    <r>
      <rPr>
        <sz val="10"/>
        <rFont val="Arial"/>
        <family val="2"/>
      </rPr>
      <t xml:space="preserve"> 
Estrategia de divulgación Auditoria Interna.
Estrategia de divulgación Subsidios Funerarios.</t>
    </r>
  </si>
  <si>
    <r>
      <rPr>
        <b/>
        <sz val="10"/>
        <rFont val="Arial"/>
        <family val="2"/>
      </rPr>
      <t>Redes Sociales:</t>
    </r>
    <r>
      <rPr>
        <sz val="10"/>
        <rFont val="Arial"/>
        <family val="2"/>
      </rPr>
      <t xml:space="preserve">
En Facebook tuvimos un alcance de 35.149 personas a través de nuestras publicaciones, del 01 al 31 de octubre de 2016. En Twitter tuvimos 287.7K impresiones del 01 al 31 de octubre de 2016.
Eventos realizados en octubre:
• 5º Congreso de CGLU-Cumbre Mundial de Líderes Locales y Regionales / Invitados: 200 aliados estratégicos, personalidades, expertos y comunidad
• Evento: Jornada de Recuperación y Embellecimiento en alianza con COLFONDOS “Quinta Camacho Embellece.Punto de Encuentro:  Calle 67 No 7-94 Torre Colfondos. Zonas de Intervención: Parque Guillermo Marconi (calle 70 con carrera 11). Entidades que participan: Unidad Administrativa Especial de Servicios Públicos (UAESP), Instituto Distrital de Patrimonio Cultural (IDPC), Instituto Distrital de Recreación y Deporte (IDRD), Jardín Botánico, Aguas de Bogotá, Alcaldía local de Chapinero, Codensa, Colectivos de jóvenes Inzane Toyz y Arte por Bogotá de la localidad de Chapinero. Invitados: 300 invitados entre voluntarios de Colfondos y Funcionarios Distritales 
• Evento: Limpiatón Distrital–Jornada de Recuperación y Embellecimiento “Mi Espacio es Bogotá”. Participación: 42 Entidades del Distrito 
• Jornada de recolección de residuos San Benito. Participación: Instituto Distrital de Gestión de Riesgo y Cambio Climático-IDIGER, Secretaria de Ambiente, medios de comunicación y comunidad
• Evento:  Modernización Alumbrado Público Parque Molinos de la localidad de Rafael Uribe Uribe    
Invitados:   Escuelas Deportivas de Fútbol de Salón Águilas Doradas y Fundación Carlos Lamboglia, Asociaciones de Personas Mayores la Alegría de Vivir y Mis Mejores años y habitantes de la localidad de Rafael Uribe Uribe: Entidades que participan: Unidad Administrativa Especial de Servicios Públicos    (UAESP), Instituto Distrital de Recreación y Deporte-IDRD- Alcaldía Local de Rafael Uribe, Uribe. Con presencia: Beatriz Elena Cárdenas Casas, Directora -UAESP-, Orlando Molano Pérez, Director IDRD, Diana Mabel Montoya Reina, Alcaldesa Local de Rafael Uribe Uribe Ediles: Fernando Calderón, Jaime Cardona, Rigoberto Esquivel, María Eugenia Gil, Christian González, Rubén Darío Herrera, Roberto Leguizamón, Jeimmy Medrano, Víctor Julio Parada, Orlando Quintero y Jairo Rodríguez.
-7 acompañamientos entre operativos, eventos y visitas de control con diferentes áreas de la unidad.
</t>
    </r>
    <r>
      <rPr>
        <b/>
        <sz val="10"/>
        <rFont val="Arial"/>
        <family val="2"/>
      </rPr>
      <t xml:space="preserve">Boletines realizados en octubre: </t>
    </r>
    <r>
      <rPr>
        <sz val="10"/>
        <rFont val="Arial"/>
        <family val="2"/>
      </rPr>
      <t xml:space="preserve">
A. Boletín de Jornada de recuperación y embellecimiento del barrio Quinta Camacho.
B. Boletín inauguración alumbrado público Parque Molinos.
C. Jornada de intervención y recuperación de San Benito, Tunjuelito.
D. Boletín la UAESP en Cumbre de alcaldes
E. Boletín aclaratorio de la UAESP sobre crisis en recolección por parte de Aguas Bogotá.
Página web:
-6461 visitas 
-3564 usuario nuevos.
-Duración media de la sesión: 3:09 min
-80 actualizaciones de contenido realizadas (artículos, banners, documentos) ...se incluye la intranet.
Diseños realizados durante el mes de octubre:
10 diseños campaña externa, participación ciudadana y servicios de la Entidad
</t>
    </r>
    <r>
      <rPr>
        <b/>
        <sz val="10"/>
        <rFont val="Arial"/>
        <family val="2"/>
      </rPr>
      <t xml:space="preserve">Encuesta: </t>
    </r>
    <r>
      <rPr>
        <sz val="10"/>
        <rFont val="Arial"/>
        <family val="2"/>
      </rPr>
      <t xml:space="preserve">
1 encuesta realizada en la jornada de embellecimiento en la zona del parque Quinta Camacho en la localidad de Chapinero, donde 28 personas participaron en la misma.</t>
    </r>
  </si>
  <si>
    <t>EL indicador para el año 2016 son 500 Subsidios
No 87  Subsidios Funerarios Entregados en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</si>
</sst>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 #,##0.00"/>
  </numFmts>
  <fonts count="27"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2"/>
      <color theme="1"/>
      <name val="Arial"/>
      <family val="2"/>
    </font>
    <font>
      <sz val="12"/>
      <color theme="1"/>
      <name val="Arial"/>
      <family val="2"/>
    </font>
    <font>
      <b/>
      <sz val="12"/>
      <name val="Arial"/>
      <family val="2"/>
    </font>
    <font>
      <sz val="12"/>
      <name val="Arial"/>
      <family val="2"/>
    </font>
    <font>
      <sz val="10"/>
      <name val="Arial"/>
      <family val="2"/>
    </font>
    <font>
      <sz val="11"/>
      <name val="Arial"/>
      <family val="2"/>
    </font>
    <font>
      <b/>
      <sz val="11"/>
      <name val="Arial"/>
      <family val="2"/>
    </font>
    <font>
      <sz val="10"/>
      <color theme="1"/>
      <name val="Arial"/>
      <family val="2"/>
    </font>
    <font>
      <sz val="11"/>
      <color theme="1"/>
      <name val="Arial"/>
      <family val="2"/>
    </font>
    <font>
      <sz val="9"/>
      <color theme="1"/>
      <name val="Arial"/>
      <family val="2"/>
    </font>
    <font>
      <sz val="10"/>
      <color theme="1"/>
      <name val="Calibri"/>
      <family val="2"/>
      <scheme val="minor"/>
    </font>
    <font>
      <sz val="11"/>
      <name val="Calibri"/>
      <family val="2"/>
      <scheme val="minor"/>
    </font>
    <font>
      <b/>
      <sz val="9"/>
      <color theme="1"/>
      <name val="Arial"/>
      <family val="2"/>
    </font>
    <font>
      <b/>
      <sz val="18"/>
      <color rgb="FF0070C0"/>
      <name val="Calibri"/>
      <family val="2"/>
      <scheme val="minor"/>
    </font>
    <font>
      <b/>
      <sz val="18"/>
      <color theme="1" tint="0.499984740745262"/>
      <name val="Calibri"/>
      <family val="2"/>
      <scheme val="minor"/>
    </font>
    <font>
      <sz val="11"/>
      <color theme="0"/>
      <name val="Calibri"/>
      <family val="2"/>
      <scheme val="minor"/>
    </font>
    <font>
      <b/>
      <sz val="10"/>
      <color theme="1"/>
      <name val="Arial"/>
      <family val="2"/>
    </font>
    <font>
      <sz val="9"/>
      <color indexed="81"/>
      <name val="Tahoma"/>
      <family val="2"/>
    </font>
    <font>
      <b/>
      <sz val="9"/>
      <color indexed="81"/>
      <name val="Tahoma"/>
      <family val="2"/>
    </font>
    <font>
      <sz val="26"/>
      <color theme="1"/>
      <name val="Calibri"/>
      <family val="2"/>
      <scheme val="minor"/>
    </font>
    <font>
      <sz val="9"/>
      <name val="Arial"/>
      <family val="2"/>
    </font>
    <font>
      <b/>
      <sz val="10"/>
      <name val="Arial"/>
      <family val="2"/>
    </font>
    <font>
      <b/>
      <sz val="12"/>
      <color theme="0"/>
      <name val="Arial"/>
      <family val="2"/>
    </font>
  </fonts>
  <fills count="8">
    <fill>
      <patternFill patternType="none"/>
    </fill>
    <fill>
      <patternFill patternType="gray125"/>
    </fill>
    <fill>
      <patternFill patternType="solid">
        <fgColor rgb="FF85DFFF"/>
        <bgColor indexed="64"/>
      </patternFill>
    </fill>
    <fill>
      <patternFill patternType="solid">
        <fgColor rgb="FFC5F0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0" fillId="0" borderId="0" xfId="0" applyAlignment="1">
      <alignment vertical="center"/>
    </xf>
    <xf numFmtId="0" fontId="0" fillId="0" borderId="0" xfId="0" applyFill="1" applyAlignment="1">
      <alignment vertical="center"/>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14" fontId="7" fillId="0" borderId="1" xfId="0" applyNumberFormat="1" applyFont="1" applyFill="1" applyBorder="1" applyAlignment="1">
      <alignment horizontal="justify" vertical="center" wrapText="1"/>
    </xf>
    <xf numFmtId="9" fontId="0" fillId="0" borderId="1" xfId="1" applyFont="1" applyBorder="1" applyAlignment="1">
      <alignment horizontal="center" vertical="center"/>
    </xf>
    <xf numFmtId="9" fontId="0" fillId="0" borderId="1" xfId="1" applyFont="1" applyFill="1" applyBorder="1" applyAlignment="1">
      <alignment horizontal="center" vertical="center" wrapText="1"/>
    </xf>
    <xf numFmtId="9" fontId="0" fillId="0" borderId="1" xfId="1" applyFont="1" applyBorder="1" applyAlignment="1">
      <alignment vertical="center"/>
    </xf>
    <xf numFmtId="0" fontId="0" fillId="0" borderId="1" xfId="0" applyFont="1" applyFill="1" applyBorder="1" applyAlignment="1">
      <alignment horizontal="center" vertical="center" wrapText="1"/>
    </xf>
    <xf numFmtId="9" fontId="0" fillId="0" borderId="0" xfId="0" applyNumberFormat="1" applyAlignment="1">
      <alignment horizontal="center" vertical="center"/>
    </xf>
    <xf numFmtId="0" fontId="0" fillId="0" borderId="1" xfId="0" applyBorder="1" applyAlignment="1">
      <alignment vertical="center"/>
    </xf>
    <xf numFmtId="0" fontId="9" fillId="0" borderId="1" xfId="0" applyFont="1" applyFill="1" applyBorder="1" applyAlignment="1">
      <alignment horizontal="justify" vertical="center" wrapText="1"/>
    </xf>
    <xf numFmtId="9" fontId="0" fillId="5" borderId="1" xfId="1" applyFont="1" applyFill="1" applyBorder="1" applyAlignment="1">
      <alignment horizontal="center" vertical="center"/>
    </xf>
    <xf numFmtId="0" fontId="7" fillId="5"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5" borderId="1" xfId="0" applyFont="1" applyFill="1" applyBorder="1" applyAlignment="1">
      <alignment horizontal="center" vertical="center" wrapText="1"/>
    </xf>
    <xf numFmtId="14" fontId="5" fillId="0" borderId="1" xfId="0" applyNumberFormat="1"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9" fontId="0" fillId="0" borderId="1" xfId="0" applyNumberFormat="1" applyBorder="1" applyAlignment="1">
      <alignment horizontal="center" vertical="center"/>
    </xf>
    <xf numFmtId="0" fontId="13" fillId="0" borderId="0" xfId="0" applyFont="1" applyFill="1" applyBorder="1" applyAlignment="1">
      <alignment horizontal="center" vertical="center" wrapText="1"/>
    </xf>
    <xf numFmtId="9" fontId="0" fillId="0" borderId="0" xfId="0" applyNumberFormat="1" applyBorder="1" applyAlignment="1">
      <alignment horizontal="center" vertical="center"/>
    </xf>
    <xf numFmtId="10" fontId="15" fillId="0" borderId="1" xfId="1" applyNumberFormat="1" applyFont="1" applyBorder="1" applyAlignment="1">
      <alignment horizontal="center" vertical="center" wrapText="1"/>
    </xf>
    <xf numFmtId="9" fontId="13" fillId="0" borderId="1" xfId="0" applyNumberFormat="1" applyFont="1" applyFill="1" applyBorder="1" applyAlignment="1">
      <alignment horizontal="center" vertical="center" wrapText="1"/>
    </xf>
    <xf numFmtId="9" fontId="0" fillId="0" borderId="0" xfId="0" applyNumberFormat="1"/>
    <xf numFmtId="10" fontId="15" fillId="0" borderId="2" xfId="1" applyNumberFormat="1" applyFont="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9" fontId="14" fillId="6" borderId="1" xfId="1" applyFont="1" applyFill="1" applyBorder="1" applyAlignment="1">
      <alignment horizontal="right" vertical="center" wrapText="1"/>
    </xf>
    <xf numFmtId="0" fontId="4" fillId="4"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0" fillId="0" borderId="0" xfId="0" applyAlignment="1">
      <alignment horizontal="left"/>
    </xf>
    <xf numFmtId="0" fontId="17" fillId="0" borderId="0" xfId="0" applyFont="1"/>
    <xf numFmtId="0" fontId="13" fillId="0" borderId="1"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9" fillId="0" borderId="0" xfId="0" applyFont="1" applyAlignment="1">
      <alignment vertical="center"/>
    </xf>
    <xf numFmtId="0" fontId="20" fillId="7" borderId="7" xfId="0" applyFont="1" applyFill="1" applyBorder="1" applyAlignment="1" applyProtection="1">
      <alignment horizontal="center" vertical="center"/>
    </xf>
    <xf numFmtId="10" fontId="12" fillId="0" borderId="1" xfId="1" applyNumberFormat="1" applyFont="1" applyBorder="1" applyAlignment="1">
      <alignment horizontal="center" vertical="center"/>
    </xf>
    <xf numFmtId="0" fontId="7" fillId="5" borderId="1" xfId="0" applyFont="1" applyFill="1" applyBorder="1" applyAlignment="1">
      <alignment horizontal="justify" vertical="center" wrapText="1"/>
    </xf>
    <xf numFmtId="9" fontId="23" fillId="0" borderId="1" xfId="0" applyNumberFormat="1" applyFont="1" applyBorder="1" applyAlignment="1">
      <alignment horizontal="center" vertical="center"/>
    </xf>
    <xf numFmtId="9" fontId="23" fillId="0" borderId="1" xfId="0" applyNumberFormat="1" applyFont="1" applyBorder="1" applyAlignment="1" applyProtection="1">
      <alignment horizontal="center" vertical="center"/>
      <protection hidden="1"/>
    </xf>
    <xf numFmtId="0" fontId="13" fillId="0" borderId="5"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vertical="center" wrapText="1"/>
    </xf>
    <xf numFmtId="0" fontId="13" fillId="0" borderId="1" xfId="0" applyFont="1" applyFill="1" applyBorder="1" applyAlignment="1">
      <alignment horizontal="center" vertical="center" wrapText="1"/>
    </xf>
    <xf numFmtId="0" fontId="7" fillId="6" borderId="1" xfId="0" applyFont="1" applyFill="1" applyBorder="1" applyAlignment="1">
      <alignment horizontal="justify" vertical="center" wrapText="1"/>
    </xf>
    <xf numFmtId="0" fontId="9" fillId="6" borderId="1" xfId="0" applyFont="1" applyFill="1" applyBorder="1" applyAlignment="1">
      <alignment horizontal="justify" vertical="center" wrapText="1"/>
    </xf>
    <xf numFmtId="0" fontId="11" fillId="6" borderId="1" xfId="0" applyFont="1" applyFill="1" applyBorder="1" applyAlignment="1">
      <alignment horizontal="justify" vertical="center" wrapText="1"/>
    </xf>
    <xf numFmtId="0" fontId="5" fillId="6" borderId="1" xfId="0" applyFont="1" applyFill="1" applyBorder="1" applyAlignment="1">
      <alignment horizontal="justify" vertical="center" wrapText="1"/>
    </xf>
    <xf numFmtId="0" fontId="12" fillId="6" borderId="1" xfId="0" applyFont="1" applyFill="1" applyBorder="1" applyAlignment="1">
      <alignment horizontal="justify" vertical="center" wrapText="1"/>
    </xf>
    <xf numFmtId="164" fontId="5" fillId="6" borderId="1" xfId="0" applyNumberFormat="1" applyFont="1" applyFill="1" applyBorder="1" applyAlignment="1">
      <alignment horizontal="justify" vertical="center" wrapText="1"/>
    </xf>
    <xf numFmtId="9" fontId="0" fillId="6" borderId="1" xfId="1" applyFont="1" applyFill="1" applyBorder="1" applyAlignment="1">
      <alignment horizontal="center" vertical="center" wrapText="1"/>
    </xf>
    <xf numFmtId="0" fontId="15" fillId="0" borderId="0" xfId="0" applyFont="1" applyAlignment="1">
      <alignment vertical="center"/>
    </xf>
    <xf numFmtId="0" fontId="11" fillId="6" borderId="1" xfId="0" quotePrefix="1" applyFont="1" applyFill="1" applyBorder="1" applyAlignment="1">
      <alignment horizontal="justify" vertical="center" wrapText="1"/>
    </xf>
    <xf numFmtId="0" fontId="5" fillId="6" borderId="1" xfId="0" quotePrefix="1" applyFont="1" applyFill="1" applyBorder="1" applyAlignment="1">
      <alignment horizontal="justify" vertical="center" wrapText="1"/>
    </xf>
    <xf numFmtId="0" fontId="23" fillId="0" borderId="0" xfId="0" applyFont="1" applyAlignment="1">
      <alignment horizontal="center" vertical="center"/>
    </xf>
    <xf numFmtId="9" fontId="23" fillId="0" borderId="0" xfId="0" applyNumberFormat="1" applyFont="1" applyBorder="1" applyAlignment="1" applyProtection="1">
      <alignment horizontal="center" vertical="center"/>
      <protection hidden="1"/>
    </xf>
    <xf numFmtId="10" fontId="15" fillId="0" borderId="0" xfId="1" applyNumberFormat="1" applyFont="1" applyBorder="1" applyAlignment="1">
      <alignment horizontal="center" vertical="center" wrapText="1"/>
    </xf>
    <xf numFmtId="9" fontId="14" fillId="6" borderId="0" xfId="1" applyFont="1" applyFill="1" applyBorder="1" applyAlignment="1">
      <alignment horizontal="right" vertical="center" wrapText="1"/>
    </xf>
    <xf numFmtId="0" fontId="2" fillId="0"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7" fillId="0" borderId="0" xfId="0" applyFont="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9" fontId="15" fillId="0" borderId="1" xfId="1" applyFont="1" applyFill="1" applyBorder="1" applyAlignment="1">
      <alignment horizontal="center" vertical="center"/>
    </xf>
    <xf numFmtId="9" fontId="15" fillId="0" borderId="1" xfId="1" applyFont="1" applyFill="1" applyBorder="1" applyAlignment="1">
      <alignment horizontal="center" vertical="center" wrapText="1"/>
    </xf>
    <xf numFmtId="9" fontId="15" fillId="0" borderId="1" xfId="1" applyFont="1" applyFill="1" applyBorder="1" applyAlignment="1">
      <alignment vertical="center"/>
    </xf>
    <xf numFmtId="0" fontId="15" fillId="0" borderId="1" xfId="0" applyFont="1" applyFill="1" applyBorder="1" applyAlignment="1">
      <alignment horizontal="center" vertical="center" wrapText="1"/>
    </xf>
    <xf numFmtId="0" fontId="15" fillId="0" borderId="1" xfId="0" applyFont="1" applyFill="1" applyBorder="1" applyAlignment="1">
      <alignment vertical="center"/>
    </xf>
    <xf numFmtId="0" fontId="6"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64" fontId="7" fillId="0" borderId="1" xfId="0" applyNumberFormat="1" applyFont="1" applyFill="1" applyBorder="1" applyAlignment="1">
      <alignment horizontal="justify" vertical="center" wrapText="1"/>
    </xf>
    <xf numFmtId="0" fontId="24" fillId="0" borderId="1" xfId="0" applyFont="1" applyFill="1" applyBorder="1" applyAlignment="1">
      <alignment horizontal="justify" vertical="center" wrapText="1"/>
    </xf>
    <xf numFmtId="0" fontId="8" fillId="0" borderId="1" xfId="0" quotePrefix="1" applyFont="1" applyFill="1" applyBorder="1" applyAlignment="1">
      <alignment horizontal="justify" vertical="center" wrapText="1"/>
    </xf>
    <xf numFmtId="0" fontId="7" fillId="0" borderId="1" xfId="0" quotePrefix="1" applyFont="1" applyFill="1" applyBorder="1" applyAlignment="1">
      <alignment horizontal="justify" vertical="center" wrapText="1"/>
    </xf>
    <xf numFmtId="0" fontId="26" fillId="4" borderId="1" xfId="0" applyFont="1" applyFill="1" applyBorder="1" applyAlignment="1">
      <alignment horizontal="center" vertical="center" wrapText="1"/>
    </xf>
    <xf numFmtId="9" fontId="19" fillId="0" borderId="0" xfId="0" applyNumberFormat="1" applyFont="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494242</xdr:colOff>
      <xdr:row>0</xdr:row>
      <xdr:rowOff>79375</xdr:rowOff>
    </xdr:from>
    <xdr:ext cx="1097756" cy="122264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542" y="79375"/>
          <a:ext cx="1097756" cy="1222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494242</xdr:colOff>
      <xdr:row>0</xdr:row>
      <xdr:rowOff>79375</xdr:rowOff>
    </xdr:from>
    <xdr:ext cx="1097756" cy="122264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542" y="79375"/>
          <a:ext cx="1097756" cy="1222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494242</xdr:colOff>
      <xdr:row>0</xdr:row>
      <xdr:rowOff>79375</xdr:rowOff>
    </xdr:from>
    <xdr:ext cx="1097756" cy="122264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542" y="79375"/>
          <a:ext cx="1097756" cy="1222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494242</xdr:colOff>
      <xdr:row>0</xdr:row>
      <xdr:rowOff>79375</xdr:rowOff>
    </xdr:from>
    <xdr:ext cx="1097756" cy="122264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542" y="79375"/>
          <a:ext cx="1097756" cy="1222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494242</xdr:colOff>
      <xdr:row>0</xdr:row>
      <xdr:rowOff>79375</xdr:rowOff>
    </xdr:from>
    <xdr:ext cx="1097756" cy="122264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542" y="79375"/>
          <a:ext cx="1097756" cy="1222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barrios/Downloads/PLAN%20DE%20ACCI&#211;N%20INSTITUCIONAL%20-%20BMPT_%20Seguimiento-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ón Institucional"/>
      <sheetName val="Informe (2)"/>
      <sheetName val="Plan Acción Institucional (2)"/>
      <sheetName val="Hoja3"/>
      <sheetName val="Informe"/>
    </sheetNames>
    <sheetDataSet>
      <sheetData sheetId="0">
        <row r="17">
          <cell r="AK17">
            <v>0.42000000000000004</v>
          </cell>
        </row>
        <row r="44">
          <cell r="M44" t="str">
            <v>Oficina Asesora de Comunicaciones y Relaciones Interinstitucionales</v>
          </cell>
        </row>
        <row r="45">
          <cell r="M45" t="str">
            <v>Oficina Asesora de Comunicaciones y Relaciones Interinstitucionales</v>
          </cell>
        </row>
        <row r="47">
          <cell r="M47" t="str">
            <v>Oficina de Tecnologías de la Información y las Comunicaciones</v>
          </cell>
        </row>
        <row r="55">
          <cell r="M55" t="str">
            <v>Subdirección Administrativa y Financiera</v>
          </cell>
        </row>
        <row r="56">
          <cell r="M56" t="str">
            <v>Subdirección Administrativa y Financiera</v>
          </cell>
        </row>
        <row r="58">
          <cell r="M58" t="str">
            <v>Subdirección Administrativa y Financiera</v>
          </cell>
        </row>
        <row r="61">
          <cell r="M61" t="str">
            <v>Subdirección Administrativa y Financiera</v>
          </cell>
        </row>
        <row r="62">
          <cell r="M62" t="str">
            <v>Subdirección Administrativa y Financiera</v>
          </cell>
        </row>
        <row r="63">
          <cell r="M63" t="str">
            <v>Subdirección Administrativa y Financiera</v>
          </cell>
        </row>
        <row r="68">
          <cell r="M68" t="str">
            <v>Subdirección de Asuntos Legales</v>
          </cell>
        </row>
        <row r="69">
          <cell r="M69" t="str">
            <v>Oficina Asesora de Planeación</v>
          </cell>
        </row>
        <row r="70">
          <cell r="M70" t="str">
            <v>Oficina Asesora de Planeación</v>
          </cell>
        </row>
        <row r="73">
          <cell r="M73" t="str">
            <v>Oficina de Control Interno</v>
          </cell>
        </row>
        <row r="75">
          <cell r="M75" t="str">
            <v>Oficina de Control Interno</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S76"/>
  <sheetViews>
    <sheetView zoomScale="80" zoomScaleNormal="80" workbookViewId="0">
      <pane ySplit="6" topLeftCell="A7" activePane="bottomLeft" state="frozen"/>
      <selection pane="bottomLeft" activeCell="B7" sqref="B7"/>
    </sheetView>
  </sheetViews>
  <sheetFormatPr baseColWidth="10" defaultRowHeight="15" x14ac:dyDescent="0.25"/>
  <cols>
    <col min="1" max="1" width="1.7109375" style="1" customWidth="1"/>
    <col min="2" max="2" width="17.28515625" style="2" customWidth="1"/>
    <col min="3" max="3" width="32.7109375" style="2" customWidth="1"/>
    <col min="4" max="4" width="20" style="1" customWidth="1"/>
    <col min="5" max="5" width="23.85546875" style="1" customWidth="1"/>
    <col min="6" max="6" width="30.5703125" style="1" customWidth="1"/>
    <col min="7" max="7" width="26.5703125" style="1" hidden="1" customWidth="1"/>
    <col min="8" max="8" width="27.5703125" style="1" hidden="1" customWidth="1"/>
    <col min="9" max="9" width="26.28515625" style="1" hidden="1" customWidth="1"/>
    <col min="10" max="10" width="33" style="1" customWidth="1"/>
    <col min="11" max="11" width="44.85546875" style="1" customWidth="1"/>
    <col min="12" max="12" width="46.42578125" style="1" customWidth="1"/>
    <col min="13" max="13" width="22" style="1" customWidth="1"/>
    <col min="14" max="14" width="15.85546875" style="1" customWidth="1"/>
    <col min="15" max="15" width="15.140625" style="1" customWidth="1"/>
    <col min="16" max="17" width="24.7109375" style="1" customWidth="1"/>
    <col min="18" max="18" width="15.7109375" style="1" customWidth="1"/>
    <col min="19" max="19" width="6.140625" style="1" customWidth="1"/>
    <col min="20" max="20" width="6" style="1" customWidth="1"/>
    <col min="21" max="21" width="6.42578125" style="1" customWidth="1"/>
    <col min="22" max="23" width="6.28515625" style="1" customWidth="1"/>
    <col min="24" max="24" width="6.7109375" style="1" customWidth="1"/>
    <col min="25" max="25" width="5.85546875" style="1" customWidth="1"/>
    <col min="26" max="26" width="6.42578125" style="1" customWidth="1"/>
    <col min="27" max="29" width="5.85546875" style="1" customWidth="1"/>
    <col min="30" max="30" width="6.28515625" style="1" customWidth="1"/>
    <col min="31" max="32" width="14.28515625" style="1" customWidth="1"/>
    <col min="33" max="33" width="17.85546875" style="1" customWidth="1"/>
    <col min="34" max="34" width="54.42578125" style="1" bestFit="1" customWidth="1"/>
    <col min="35" max="36" width="11.42578125" style="42"/>
    <col min="37" max="37" width="15.42578125" style="42" customWidth="1"/>
    <col min="38" max="38" width="15" style="42" customWidth="1"/>
    <col min="39" max="45" width="11.42578125" style="42"/>
    <col min="46" max="16384" width="11.42578125" style="1"/>
  </cols>
  <sheetData>
    <row r="1" spans="2:40" ht="58.5" customHeight="1" x14ac:dyDescent="0.25">
      <c r="B1" s="66"/>
      <c r="C1" s="66"/>
      <c r="D1" s="67" t="s">
        <v>0</v>
      </c>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9"/>
    </row>
    <row r="2" spans="2:40" ht="51.75" customHeight="1" x14ac:dyDescent="0.25">
      <c r="B2" s="66"/>
      <c r="C2" s="66"/>
      <c r="D2" s="67" t="s">
        <v>1</v>
      </c>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9"/>
    </row>
    <row r="3" spans="2:40" x14ac:dyDescent="0.25">
      <c r="AJ3" s="42">
        <v>500</v>
      </c>
      <c r="AK3" s="42">
        <v>100</v>
      </c>
      <c r="AM3" s="42">
        <v>6300</v>
      </c>
      <c r="AN3" s="42">
        <v>100</v>
      </c>
    </row>
    <row r="4" spans="2:40" x14ac:dyDescent="0.25">
      <c r="AJ4" s="42">
        <v>122</v>
      </c>
      <c r="AK4" s="42">
        <f>+(AJ4*AK3)/AJ3</f>
        <v>24.4</v>
      </c>
      <c r="AM4" s="42">
        <f>35+34+26+2100+11+52+165+14+18</f>
        <v>2455</v>
      </c>
      <c r="AN4" s="42">
        <f>+(AM4*AN3)/AM3</f>
        <v>38.968253968253968</v>
      </c>
    </row>
    <row r="5" spans="2:40" ht="34.5" customHeight="1" x14ac:dyDescent="0.25">
      <c r="B5" s="70" t="s">
        <v>2</v>
      </c>
      <c r="C5" s="71"/>
      <c r="D5" s="71"/>
      <c r="E5" s="71"/>
      <c r="F5" s="72"/>
      <c r="G5" s="73" t="s">
        <v>3</v>
      </c>
      <c r="H5" s="74"/>
      <c r="I5" s="75"/>
      <c r="J5" s="76" t="s">
        <v>4</v>
      </c>
      <c r="K5" s="76"/>
      <c r="L5" s="76"/>
      <c r="M5" s="76"/>
      <c r="N5" s="76"/>
      <c r="O5" s="76"/>
      <c r="P5" s="76"/>
      <c r="Q5" s="76"/>
      <c r="R5" s="76"/>
      <c r="S5" s="77" t="s">
        <v>5</v>
      </c>
      <c r="T5" s="78"/>
      <c r="U5" s="78"/>
      <c r="V5" s="78"/>
      <c r="W5" s="78"/>
      <c r="X5" s="78"/>
      <c r="Y5" s="78"/>
      <c r="Z5" s="78"/>
      <c r="AA5" s="78"/>
      <c r="AB5" s="78"/>
      <c r="AC5" s="78"/>
      <c r="AD5" s="79"/>
      <c r="AE5" s="70" t="s">
        <v>6</v>
      </c>
      <c r="AF5" s="71"/>
      <c r="AG5" s="71"/>
      <c r="AH5" s="72"/>
    </row>
    <row r="6" spans="2:40" ht="78.75" x14ac:dyDescent="0.25">
      <c r="B6" s="3" t="s">
        <v>7</v>
      </c>
      <c r="C6" s="3" t="s">
        <v>8</v>
      </c>
      <c r="D6" s="3" t="s">
        <v>9</v>
      </c>
      <c r="E6" s="3" t="s">
        <v>10</v>
      </c>
      <c r="F6" s="3" t="s">
        <v>11</v>
      </c>
      <c r="G6" s="3" t="s">
        <v>12</v>
      </c>
      <c r="H6" s="3" t="s">
        <v>13</v>
      </c>
      <c r="I6" s="3" t="s">
        <v>14</v>
      </c>
      <c r="J6" s="3" t="s">
        <v>15</v>
      </c>
      <c r="K6" s="4" t="s">
        <v>16</v>
      </c>
      <c r="L6" s="3" t="s">
        <v>17</v>
      </c>
      <c r="M6" s="3" t="s">
        <v>18</v>
      </c>
      <c r="N6" s="3" t="s">
        <v>19</v>
      </c>
      <c r="O6" s="3" t="s">
        <v>20</v>
      </c>
      <c r="P6" s="3" t="s">
        <v>21</v>
      </c>
      <c r="Q6" s="3" t="s">
        <v>22</v>
      </c>
      <c r="R6" s="3" t="s">
        <v>23</v>
      </c>
      <c r="S6" s="3" t="s">
        <v>24</v>
      </c>
      <c r="T6" s="3" t="s">
        <v>25</v>
      </c>
      <c r="U6" s="3" t="s">
        <v>26</v>
      </c>
      <c r="V6" s="3" t="s">
        <v>27</v>
      </c>
      <c r="W6" s="3" t="s">
        <v>28</v>
      </c>
      <c r="X6" s="3" t="s">
        <v>29</v>
      </c>
      <c r="Y6" s="3" t="s">
        <v>30</v>
      </c>
      <c r="Z6" s="3" t="s">
        <v>31</v>
      </c>
      <c r="AA6" s="3" t="s">
        <v>32</v>
      </c>
      <c r="AB6" s="3" t="s">
        <v>33</v>
      </c>
      <c r="AC6" s="3" t="s">
        <v>34</v>
      </c>
      <c r="AD6" s="3" t="s">
        <v>35</v>
      </c>
      <c r="AE6" s="3" t="s">
        <v>36</v>
      </c>
      <c r="AF6" s="3" t="s">
        <v>37</v>
      </c>
      <c r="AG6" s="3" t="s">
        <v>38</v>
      </c>
      <c r="AH6" s="3" t="s">
        <v>39</v>
      </c>
      <c r="AK6" s="98" t="s">
        <v>40</v>
      </c>
      <c r="AL6" s="98" t="s">
        <v>41</v>
      </c>
    </row>
    <row r="7" spans="2:40" ht="138" customHeight="1" x14ac:dyDescent="0.25">
      <c r="B7" s="6" t="s">
        <v>42</v>
      </c>
      <c r="C7" s="6" t="s">
        <v>43</v>
      </c>
      <c r="D7" s="6" t="s">
        <v>44</v>
      </c>
      <c r="E7" s="6" t="s">
        <v>45</v>
      </c>
      <c r="F7" s="6" t="s">
        <v>46</v>
      </c>
      <c r="G7" s="6"/>
      <c r="H7" s="6"/>
      <c r="I7" s="6"/>
      <c r="J7" s="6" t="s">
        <v>47</v>
      </c>
      <c r="K7" s="7" t="s">
        <v>48</v>
      </c>
      <c r="L7" s="8" t="s">
        <v>49</v>
      </c>
      <c r="M7" s="6" t="s">
        <v>50</v>
      </c>
      <c r="N7" s="9">
        <v>42583</v>
      </c>
      <c r="O7" s="9">
        <v>42705</v>
      </c>
      <c r="P7" s="6" t="s">
        <v>51</v>
      </c>
      <c r="Q7" s="6" t="s">
        <v>52</v>
      </c>
      <c r="R7" s="87">
        <v>0.03</v>
      </c>
      <c r="S7" s="88"/>
      <c r="T7" s="89"/>
      <c r="U7" s="89"/>
      <c r="V7" s="89"/>
      <c r="W7" s="89"/>
      <c r="X7" s="88"/>
      <c r="Y7" s="89"/>
      <c r="Z7" s="89">
        <v>0.25</v>
      </c>
      <c r="AA7" s="88">
        <v>0.25</v>
      </c>
      <c r="AB7" s="88">
        <v>0.25</v>
      </c>
      <c r="AC7" s="88">
        <v>0.25</v>
      </c>
      <c r="AD7" s="88"/>
      <c r="AE7" s="90" t="s">
        <v>53</v>
      </c>
      <c r="AF7" s="88">
        <v>0.25</v>
      </c>
      <c r="AG7" s="88">
        <v>0.25</v>
      </c>
      <c r="AH7" s="7" t="s">
        <v>54</v>
      </c>
      <c r="AK7" s="99">
        <f t="shared" ref="AK7:AK70" si="0">+X7+Y7+Z7</f>
        <v>0.25</v>
      </c>
      <c r="AL7" s="99">
        <f t="shared" ref="AL7:AL70" si="1">+AG7</f>
        <v>0.25</v>
      </c>
    </row>
    <row r="8" spans="2:40" ht="90" x14ac:dyDescent="0.25">
      <c r="B8" s="6" t="s">
        <v>42</v>
      </c>
      <c r="C8" s="6" t="s">
        <v>43</v>
      </c>
      <c r="D8" s="6" t="s">
        <v>44</v>
      </c>
      <c r="E8" s="6" t="s">
        <v>45</v>
      </c>
      <c r="F8" s="6" t="s">
        <v>46</v>
      </c>
      <c r="G8" s="6"/>
      <c r="H8" s="6"/>
      <c r="I8" s="6"/>
      <c r="J8" s="6" t="s">
        <v>55</v>
      </c>
      <c r="K8" s="7" t="s">
        <v>56</v>
      </c>
      <c r="L8" s="7"/>
      <c r="M8" s="6" t="s">
        <v>50</v>
      </c>
      <c r="N8" s="9">
        <v>42614</v>
      </c>
      <c r="O8" s="9">
        <v>42644</v>
      </c>
      <c r="P8" s="6" t="s">
        <v>52</v>
      </c>
      <c r="Q8" s="6" t="s">
        <v>52</v>
      </c>
      <c r="R8" s="87">
        <v>0.03</v>
      </c>
      <c r="S8" s="88"/>
      <c r="T8" s="89"/>
      <c r="U8" s="89"/>
      <c r="V8" s="89"/>
      <c r="W8" s="89"/>
      <c r="X8" s="88"/>
      <c r="Y8" s="89"/>
      <c r="Z8" s="89"/>
      <c r="AA8" s="88">
        <v>1</v>
      </c>
      <c r="AB8" s="88"/>
      <c r="AC8" s="88"/>
      <c r="AD8" s="88"/>
      <c r="AE8" s="90"/>
      <c r="AF8" s="88"/>
      <c r="AG8" s="88"/>
      <c r="AH8" s="91"/>
      <c r="AK8" s="99">
        <f t="shared" si="0"/>
        <v>0</v>
      </c>
      <c r="AL8" s="99">
        <f t="shared" si="1"/>
        <v>0</v>
      </c>
    </row>
    <row r="9" spans="2:40" ht="90" x14ac:dyDescent="0.25">
      <c r="B9" s="6" t="s">
        <v>42</v>
      </c>
      <c r="C9" s="6" t="s">
        <v>43</v>
      </c>
      <c r="D9" s="6" t="s">
        <v>44</v>
      </c>
      <c r="E9" s="6" t="s">
        <v>45</v>
      </c>
      <c r="F9" s="6" t="s">
        <v>46</v>
      </c>
      <c r="G9" s="6"/>
      <c r="H9" s="6"/>
      <c r="I9" s="6"/>
      <c r="J9" s="6" t="s">
        <v>57</v>
      </c>
      <c r="K9" s="7" t="s">
        <v>58</v>
      </c>
      <c r="L9" s="7" t="s">
        <v>59</v>
      </c>
      <c r="M9" s="6" t="s">
        <v>50</v>
      </c>
      <c r="N9" s="9">
        <v>42552</v>
      </c>
      <c r="O9" s="9">
        <v>42735</v>
      </c>
      <c r="P9" s="6" t="s">
        <v>60</v>
      </c>
      <c r="Q9" s="6" t="s">
        <v>52</v>
      </c>
      <c r="R9" s="87">
        <v>0.03</v>
      </c>
      <c r="S9" s="88"/>
      <c r="T9" s="89"/>
      <c r="U9" s="89"/>
      <c r="V9" s="89"/>
      <c r="W9" s="89"/>
      <c r="X9" s="88">
        <v>0.14000000000000001</v>
      </c>
      <c r="Y9" s="89">
        <v>0.14000000000000001</v>
      </c>
      <c r="Z9" s="89">
        <v>0.14000000000000001</v>
      </c>
      <c r="AA9" s="88">
        <v>0.14000000000000001</v>
      </c>
      <c r="AB9" s="88">
        <v>0.14000000000000001</v>
      </c>
      <c r="AC9" s="88">
        <v>0.15</v>
      </c>
      <c r="AD9" s="88">
        <v>0.15</v>
      </c>
      <c r="AE9" s="90" t="s">
        <v>53</v>
      </c>
      <c r="AF9" s="88">
        <v>0</v>
      </c>
      <c r="AG9" s="88">
        <v>0</v>
      </c>
      <c r="AH9" s="7" t="s">
        <v>61</v>
      </c>
      <c r="AK9" s="99">
        <f t="shared" si="0"/>
        <v>0.42000000000000004</v>
      </c>
      <c r="AL9" s="99">
        <f t="shared" si="1"/>
        <v>0</v>
      </c>
    </row>
    <row r="10" spans="2:40" ht="120" x14ac:dyDescent="0.25">
      <c r="B10" s="6" t="s">
        <v>42</v>
      </c>
      <c r="C10" s="6" t="s">
        <v>43</v>
      </c>
      <c r="D10" s="6" t="s">
        <v>44</v>
      </c>
      <c r="E10" s="6" t="s">
        <v>45</v>
      </c>
      <c r="F10" s="6" t="s">
        <v>46</v>
      </c>
      <c r="G10" s="6"/>
      <c r="H10" s="6"/>
      <c r="I10" s="6"/>
      <c r="J10" s="6" t="s">
        <v>62</v>
      </c>
      <c r="K10" s="7" t="s">
        <v>63</v>
      </c>
      <c r="L10" s="7" t="s">
        <v>64</v>
      </c>
      <c r="M10" s="6" t="s">
        <v>50</v>
      </c>
      <c r="N10" s="9">
        <v>42552</v>
      </c>
      <c r="O10" s="9">
        <v>42734</v>
      </c>
      <c r="P10" s="6" t="s">
        <v>52</v>
      </c>
      <c r="Q10" s="6" t="s">
        <v>52</v>
      </c>
      <c r="R10" s="87">
        <v>0.04</v>
      </c>
      <c r="S10" s="88"/>
      <c r="T10" s="89"/>
      <c r="U10" s="89"/>
      <c r="V10" s="89"/>
      <c r="W10" s="89"/>
      <c r="X10" s="88">
        <v>0.14000000000000001</v>
      </c>
      <c r="Y10" s="89">
        <v>0.14000000000000001</v>
      </c>
      <c r="Z10" s="89">
        <v>0.14000000000000001</v>
      </c>
      <c r="AA10" s="88">
        <v>0.14000000000000001</v>
      </c>
      <c r="AB10" s="88">
        <v>0.14000000000000001</v>
      </c>
      <c r="AC10" s="88">
        <v>0.15</v>
      </c>
      <c r="AD10" s="88">
        <v>0.15</v>
      </c>
      <c r="AE10" s="90" t="s">
        <v>53</v>
      </c>
      <c r="AF10" s="88">
        <v>0.14000000000000001</v>
      </c>
      <c r="AG10" s="88">
        <f>14%+14%+14%</f>
        <v>0.42000000000000004</v>
      </c>
      <c r="AH10" s="7" t="s">
        <v>65</v>
      </c>
      <c r="AK10" s="99">
        <f t="shared" si="0"/>
        <v>0.42000000000000004</v>
      </c>
      <c r="AL10" s="99">
        <f t="shared" si="1"/>
        <v>0.42000000000000004</v>
      </c>
    </row>
    <row r="11" spans="2:40" ht="127.5" x14ac:dyDescent="0.25">
      <c r="B11" s="6" t="s">
        <v>42</v>
      </c>
      <c r="C11" s="6" t="s">
        <v>43</v>
      </c>
      <c r="D11" s="6" t="s">
        <v>44</v>
      </c>
      <c r="E11" s="6" t="s">
        <v>45</v>
      </c>
      <c r="F11" s="6" t="s">
        <v>46</v>
      </c>
      <c r="G11" s="6"/>
      <c r="H11" s="6"/>
      <c r="I11" s="6"/>
      <c r="J11" s="6" t="s">
        <v>66</v>
      </c>
      <c r="K11" s="7" t="s">
        <v>48</v>
      </c>
      <c r="L11" s="8" t="s">
        <v>67</v>
      </c>
      <c r="M11" s="6" t="s">
        <v>50</v>
      </c>
      <c r="N11" s="9">
        <v>42583</v>
      </c>
      <c r="O11" s="9">
        <v>42705</v>
      </c>
      <c r="P11" s="6" t="s">
        <v>51</v>
      </c>
      <c r="Q11" s="6" t="s">
        <v>52</v>
      </c>
      <c r="R11" s="87">
        <v>0.03</v>
      </c>
      <c r="S11" s="88"/>
      <c r="T11" s="89"/>
      <c r="U11" s="89"/>
      <c r="V11" s="89"/>
      <c r="W11" s="89"/>
      <c r="X11" s="88"/>
      <c r="Y11" s="89"/>
      <c r="Z11" s="89">
        <v>0.25</v>
      </c>
      <c r="AA11" s="88">
        <v>0.25</v>
      </c>
      <c r="AB11" s="88">
        <v>0.25</v>
      </c>
      <c r="AC11" s="88">
        <v>0.25</v>
      </c>
      <c r="AD11" s="88"/>
      <c r="AE11" s="90" t="s">
        <v>53</v>
      </c>
      <c r="AF11" s="88">
        <v>0.25</v>
      </c>
      <c r="AG11" s="88">
        <v>0.25</v>
      </c>
      <c r="AH11" s="7" t="s">
        <v>68</v>
      </c>
      <c r="AK11" s="99">
        <f t="shared" si="0"/>
        <v>0.25</v>
      </c>
      <c r="AL11" s="99">
        <f t="shared" si="1"/>
        <v>0.25</v>
      </c>
    </row>
    <row r="12" spans="2:40" ht="90" x14ac:dyDescent="0.25">
      <c r="B12" s="6" t="s">
        <v>42</v>
      </c>
      <c r="C12" s="6" t="s">
        <v>43</v>
      </c>
      <c r="D12" s="6" t="s">
        <v>44</v>
      </c>
      <c r="E12" s="6" t="s">
        <v>45</v>
      </c>
      <c r="F12" s="6" t="s">
        <v>46</v>
      </c>
      <c r="G12" s="6"/>
      <c r="H12" s="6"/>
      <c r="I12" s="6"/>
      <c r="J12" s="6" t="s">
        <v>69</v>
      </c>
      <c r="K12" s="7" t="s">
        <v>70</v>
      </c>
      <c r="L12" s="7"/>
      <c r="M12" s="6" t="s">
        <v>50</v>
      </c>
      <c r="N12" s="9">
        <v>42614</v>
      </c>
      <c r="O12" s="9">
        <v>42644</v>
      </c>
      <c r="P12" s="6" t="s">
        <v>52</v>
      </c>
      <c r="Q12" s="6" t="s">
        <v>52</v>
      </c>
      <c r="R12" s="87">
        <v>0.03</v>
      </c>
      <c r="S12" s="88"/>
      <c r="T12" s="89"/>
      <c r="U12" s="89"/>
      <c r="V12" s="89"/>
      <c r="W12" s="89"/>
      <c r="X12" s="88"/>
      <c r="Y12" s="89"/>
      <c r="Z12" s="89"/>
      <c r="AA12" s="88">
        <v>1</v>
      </c>
      <c r="AB12" s="88"/>
      <c r="AC12" s="88"/>
      <c r="AD12" s="88"/>
      <c r="AE12" s="90"/>
      <c r="AF12" s="88"/>
      <c r="AG12" s="88"/>
      <c r="AH12" s="91"/>
      <c r="AK12" s="99">
        <f t="shared" si="0"/>
        <v>0</v>
      </c>
      <c r="AL12" s="99">
        <f t="shared" si="1"/>
        <v>0</v>
      </c>
    </row>
    <row r="13" spans="2:40" ht="90" x14ac:dyDescent="0.25">
      <c r="B13" s="6" t="s">
        <v>42</v>
      </c>
      <c r="C13" s="6" t="s">
        <v>43</v>
      </c>
      <c r="D13" s="6" t="s">
        <v>44</v>
      </c>
      <c r="E13" s="6" t="s">
        <v>45</v>
      </c>
      <c r="F13" s="6" t="s">
        <v>46</v>
      </c>
      <c r="G13" s="6"/>
      <c r="H13" s="6"/>
      <c r="I13" s="6"/>
      <c r="J13" s="6" t="s">
        <v>71</v>
      </c>
      <c r="K13" s="7" t="s">
        <v>72</v>
      </c>
      <c r="L13" s="7" t="s">
        <v>59</v>
      </c>
      <c r="M13" s="6" t="s">
        <v>50</v>
      </c>
      <c r="N13" s="9">
        <v>42583</v>
      </c>
      <c r="O13" s="9">
        <v>42705</v>
      </c>
      <c r="P13" s="6" t="s">
        <v>51</v>
      </c>
      <c r="Q13" s="6" t="s">
        <v>52</v>
      </c>
      <c r="R13" s="87">
        <v>0.03</v>
      </c>
      <c r="S13" s="88"/>
      <c r="T13" s="89"/>
      <c r="U13" s="89"/>
      <c r="V13" s="89"/>
      <c r="W13" s="89"/>
      <c r="X13" s="88"/>
      <c r="Y13" s="89"/>
      <c r="Z13" s="89">
        <v>0.25</v>
      </c>
      <c r="AA13" s="88">
        <v>0.25</v>
      </c>
      <c r="AB13" s="88">
        <v>0.25</v>
      </c>
      <c r="AC13" s="88">
        <v>0.25</v>
      </c>
      <c r="AD13" s="88"/>
      <c r="AE13" s="90" t="s">
        <v>53</v>
      </c>
      <c r="AF13" s="88">
        <v>0</v>
      </c>
      <c r="AG13" s="88">
        <v>0</v>
      </c>
      <c r="AH13" s="7" t="s">
        <v>61</v>
      </c>
      <c r="AK13" s="99">
        <f t="shared" si="0"/>
        <v>0.25</v>
      </c>
      <c r="AL13" s="99">
        <f t="shared" si="1"/>
        <v>0</v>
      </c>
    </row>
    <row r="14" spans="2:40" ht="120" x14ac:dyDescent="0.25">
      <c r="B14" s="6" t="s">
        <v>42</v>
      </c>
      <c r="C14" s="6" t="s">
        <v>43</v>
      </c>
      <c r="D14" s="6" t="s">
        <v>44</v>
      </c>
      <c r="E14" s="6" t="s">
        <v>45</v>
      </c>
      <c r="F14" s="6" t="s">
        <v>46</v>
      </c>
      <c r="G14" s="6"/>
      <c r="H14" s="6"/>
      <c r="I14" s="6"/>
      <c r="J14" s="6" t="s">
        <v>73</v>
      </c>
      <c r="K14" s="7" t="s">
        <v>74</v>
      </c>
      <c r="L14" s="7" t="s">
        <v>75</v>
      </c>
      <c r="M14" s="6" t="s">
        <v>50</v>
      </c>
      <c r="N14" s="9">
        <v>42522</v>
      </c>
      <c r="O14" s="9">
        <v>42887</v>
      </c>
      <c r="P14" s="6" t="s">
        <v>76</v>
      </c>
      <c r="Q14" s="6" t="s">
        <v>77</v>
      </c>
      <c r="R14" s="87">
        <v>0.03</v>
      </c>
      <c r="S14" s="88"/>
      <c r="T14" s="89"/>
      <c r="U14" s="89"/>
      <c r="V14" s="89"/>
      <c r="W14" s="89"/>
      <c r="X14" s="88">
        <v>0.14000000000000001</v>
      </c>
      <c r="Y14" s="89">
        <v>0.14000000000000001</v>
      </c>
      <c r="Z14" s="89">
        <v>0.14000000000000001</v>
      </c>
      <c r="AA14" s="88">
        <v>0.14000000000000001</v>
      </c>
      <c r="AB14" s="88">
        <v>0.14000000000000001</v>
      </c>
      <c r="AC14" s="88">
        <v>0.15</v>
      </c>
      <c r="AD14" s="88">
        <v>0.15</v>
      </c>
      <c r="AE14" s="90" t="s">
        <v>53</v>
      </c>
      <c r="AF14" s="88">
        <v>0.14000000000000001</v>
      </c>
      <c r="AG14" s="88">
        <f>14%+14%+14%</f>
        <v>0.42000000000000004</v>
      </c>
      <c r="AH14" s="7" t="s">
        <v>78</v>
      </c>
      <c r="AK14" s="99">
        <f t="shared" si="0"/>
        <v>0.42000000000000004</v>
      </c>
      <c r="AL14" s="99">
        <f t="shared" si="1"/>
        <v>0.42000000000000004</v>
      </c>
    </row>
    <row r="15" spans="2:40" ht="90" x14ac:dyDescent="0.25">
      <c r="B15" s="6" t="s">
        <v>42</v>
      </c>
      <c r="C15" s="6" t="s">
        <v>43</v>
      </c>
      <c r="D15" s="6" t="s">
        <v>44</v>
      </c>
      <c r="E15" s="6" t="s">
        <v>45</v>
      </c>
      <c r="F15" s="6" t="s">
        <v>46</v>
      </c>
      <c r="G15" s="6"/>
      <c r="H15" s="6"/>
      <c r="I15" s="6"/>
      <c r="J15" s="6" t="s">
        <v>79</v>
      </c>
      <c r="K15" s="7" t="s">
        <v>80</v>
      </c>
      <c r="L15" s="7" t="s">
        <v>81</v>
      </c>
      <c r="M15" s="6" t="s">
        <v>50</v>
      </c>
      <c r="N15" s="9">
        <v>42566</v>
      </c>
      <c r="O15" s="9">
        <v>42597</v>
      </c>
      <c r="P15" s="6" t="s">
        <v>82</v>
      </c>
      <c r="Q15" s="6" t="s">
        <v>83</v>
      </c>
      <c r="R15" s="87">
        <v>0.04</v>
      </c>
      <c r="S15" s="88"/>
      <c r="T15" s="89"/>
      <c r="U15" s="89"/>
      <c r="V15" s="89"/>
      <c r="W15" s="89"/>
      <c r="X15" s="88"/>
      <c r="Y15" s="89">
        <v>0.5</v>
      </c>
      <c r="Z15" s="89">
        <v>0.5</v>
      </c>
      <c r="AA15" s="88"/>
      <c r="AB15" s="88"/>
      <c r="AC15" s="88"/>
      <c r="AD15" s="88"/>
      <c r="AE15" s="90" t="s">
        <v>53</v>
      </c>
      <c r="AF15" s="88">
        <v>0.5</v>
      </c>
      <c r="AG15" s="88">
        <v>0.5</v>
      </c>
      <c r="AH15" s="7" t="s">
        <v>84</v>
      </c>
      <c r="AK15" s="99">
        <f t="shared" si="0"/>
        <v>1</v>
      </c>
      <c r="AL15" s="99">
        <f t="shared" si="1"/>
        <v>0.5</v>
      </c>
    </row>
    <row r="16" spans="2:40" ht="90" x14ac:dyDescent="0.25">
      <c r="B16" s="6" t="s">
        <v>42</v>
      </c>
      <c r="C16" s="6" t="s">
        <v>43</v>
      </c>
      <c r="D16" s="6" t="s">
        <v>44</v>
      </c>
      <c r="E16" s="6" t="s">
        <v>45</v>
      </c>
      <c r="F16" s="6" t="s">
        <v>46</v>
      </c>
      <c r="G16" s="6"/>
      <c r="H16" s="6"/>
      <c r="I16" s="6"/>
      <c r="J16" s="6" t="s">
        <v>85</v>
      </c>
      <c r="K16" s="7" t="s">
        <v>86</v>
      </c>
      <c r="L16" s="7" t="s">
        <v>87</v>
      </c>
      <c r="M16" s="6" t="s">
        <v>50</v>
      </c>
      <c r="N16" s="9">
        <v>42552</v>
      </c>
      <c r="O16" s="9">
        <v>42705</v>
      </c>
      <c r="P16" s="6" t="s">
        <v>88</v>
      </c>
      <c r="Q16" s="6" t="s">
        <v>52</v>
      </c>
      <c r="R16" s="87">
        <v>0.04</v>
      </c>
      <c r="S16" s="88"/>
      <c r="T16" s="89"/>
      <c r="U16" s="89"/>
      <c r="V16" s="89"/>
      <c r="W16" s="89"/>
      <c r="X16" s="88"/>
      <c r="Y16" s="89">
        <v>0.2</v>
      </c>
      <c r="Z16" s="89">
        <v>0.2</v>
      </c>
      <c r="AA16" s="88">
        <v>0.2</v>
      </c>
      <c r="AB16" s="88">
        <v>0.2</v>
      </c>
      <c r="AC16" s="88">
        <v>0.2</v>
      </c>
      <c r="AD16" s="88"/>
      <c r="AE16" s="90" t="s">
        <v>53</v>
      </c>
      <c r="AF16" s="88">
        <v>0.2</v>
      </c>
      <c r="AG16" s="88">
        <f>20%+20%</f>
        <v>0.4</v>
      </c>
      <c r="AH16" s="7" t="s">
        <v>89</v>
      </c>
      <c r="AK16" s="99">
        <f t="shared" si="0"/>
        <v>0.4</v>
      </c>
      <c r="AL16" s="99">
        <f t="shared" si="1"/>
        <v>0.4</v>
      </c>
    </row>
    <row r="17" spans="2:38" ht="195" x14ac:dyDescent="0.25">
      <c r="B17" s="6" t="s">
        <v>42</v>
      </c>
      <c r="C17" s="6" t="s">
        <v>43</v>
      </c>
      <c r="D17" s="6" t="s">
        <v>44</v>
      </c>
      <c r="E17" s="6" t="s">
        <v>45</v>
      </c>
      <c r="F17" s="6" t="s">
        <v>46</v>
      </c>
      <c r="G17" s="6"/>
      <c r="H17" s="6"/>
      <c r="I17" s="6"/>
      <c r="J17" s="6" t="s">
        <v>90</v>
      </c>
      <c r="K17" s="7" t="s">
        <v>91</v>
      </c>
      <c r="L17" s="7" t="s">
        <v>92</v>
      </c>
      <c r="M17" s="6" t="s">
        <v>50</v>
      </c>
      <c r="N17" s="9">
        <v>42552</v>
      </c>
      <c r="O17" s="9">
        <v>42767</v>
      </c>
      <c r="P17" s="6" t="s">
        <v>93</v>
      </c>
      <c r="Q17" s="6" t="s">
        <v>94</v>
      </c>
      <c r="R17" s="87">
        <v>0.03</v>
      </c>
      <c r="S17" s="88"/>
      <c r="T17" s="89"/>
      <c r="U17" s="89"/>
      <c r="V17" s="89"/>
      <c r="W17" s="89"/>
      <c r="X17" s="88">
        <v>0.14000000000000001</v>
      </c>
      <c r="Y17" s="89">
        <v>0.14000000000000001</v>
      </c>
      <c r="Z17" s="89">
        <v>0.14000000000000001</v>
      </c>
      <c r="AA17" s="88">
        <v>0.14000000000000001</v>
      </c>
      <c r="AB17" s="88">
        <v>0.14000000000000001</v>
      </c>
      <c r="AC17" s="88">
        <v>0.15</v>
      </c>
      <c r="AD17" s="88">
        <v>0.15</v>
      </c>
      <c r="AE17" s="90" t="s">
        <v>53</v>
      </c>
      <c r="AF17" s="88">
        <v>0.14000000000000001</v>
      </c>
      <c r="AG17" s="88">
        <f>14%+14%+14%</f>
        <v>0.42000000000000004</v>
      </c>
      <c r="AH17" s="7" t="s">
        <v>95</v>
      </c>
      <c r="AK17" s="99">
        <f t="shared" si="0"/>
        <v>0.42000000000000004</v>
      </c>
      <c r="AL17" s="99">
        <f t="shared" si="1"/>
        <v>0.42000000000000004</v>
      </c>
    </row>
    <row r="18" spans="2:38" ht="120" x14ac:dyDescent="0.25">
      <c r="B18" s="6" t="s">
        <v>42</v>
      </c>
      <c r="C18" s="6" t="s">
        <v>43</v>
      </c>
      <c r="D18" s="6" t="s">
        <v>44</v>
      </c>
      <c r="E18" s="6" t="s">
        <v>45</v>
      </c>
      <c r="F18" s="6" t="s">
        <v>96</v>
      </c>
      <c r="G18" s="6"/>
      <c r="H18" s="6"/>
      <c r="I18" s="6"/>
      <c r="J18" s="6" t="s">
        <v>97</v>
      </c>
      <c r="K18" s="7" t="s">
        <v>98</v>
      </c>
      <c r="L18" s="7" t="s">
        <v>99</v>
      </c>
      <c r="M18" s="6" t="s">
        <v>100</v>
      </c>
      <c r="N18" s="9">
        <v>42618</v>
      </c>
      <c r="O18" s="9">
        <v>42983</v>
      </c>
      <c r="P18" s="7" t="s">
        <v>101</v>
      </c>
      <c r="Q18" s="6" t="s">
        <v>102</v>
      </c>
      <c r="R18" s="87">
        <v>0.03</v>
      </c>
      <c r="S18" s="88"/>
      <c r="T18" s="89"/>
      <c r="U18" s="89"/>
      <c r="V18" s="89"/>
      <c r="W18" s="89"/>
      <c r="X18" s="88"/>
      <c r="Y18" s="89"/>
      <c r="Z18" s="89"/>
      <c r="AA18" s="88"/>
      <c r="AB18" s="88"/>
      <c r="AC18" s="88"/>
      <c r="AD18" s="88">
        <v>1</v>
      </c>
      <c r="AE18" s="90" t="s">
        <v>53</v>
      </c>
      <c r="AF18" s="88">
        <v>0.25</v>
      </c>
      <c r="AG18" s="88">
        <v>0.25</v>
      </c>
      <c r="AH18" s="16" t="s">
        <v>103</v>
      </c>
      <c r="AK18" s="99">
        <f t="shared" si="0"/>
        <v>0</v>
      </c>
      <c r="AL18" s="99">
        <f t="shared" si="1"/>
        <v>0.25</v>
      </c>
    </row>
    <row r="19" spans="2:38" ht="171" x14ac:dyDescent="0.25">
      <c r="B19" s="6" t="s">
        <v>42</v>
      </c>
      <c r="C19" s="6" t="s">
        <v>43</v>
      </c>
      <c r="D19" s="6" t="s">
        <v>44</v>
      </c>
      <c r="E19" s="6" t="s">
        <v>45</v>
      </c>
      <c r="F19" s="6" t="s">
        <v>96</v>
      </c>
      <c r="G19" s="6"/>
      <c r="H19" s="6"/>
      <c r="I19" s="6"/>
      <c r="J19" s="6" t="s">
        <v>104</v>
      </c>
      <c r="K19" s="7" t="s">
        <v>105</v>
      </c>
      <c r="L19" s="7" t="s">
        <v>106</v>
      </c>
      <c r="M19" s="6" t="s">
        <v>100</v>
      </c>
      <c r="N19" s="9">
        <v>42583</v>
      </c>
      <c r="O19" s="9">
        <v>42735</v>
      </c>
      <c r="P19" s="7" t="s">
        <v>101</v>
      </c>
      <c r="Q19" s="6" t="s">
        <v>107</v>
      </c>
      <c r="R19" s="87">
        <v>0.04</v>
      </c>
      <c r="S19" s="88"/>
      <c r="T19" s="89"/>
      <c r="U19" s="89"/>
      <c r="V19" s="89"/>
      <c r="W19" s="89"/>
      <c r="X19" s="88"/>
      <c r="Y19" s="89"/>
      <c r="Z19" s="89">
        <v>0.1</v>
      </c>
      <c r="AA19" s="88">
        <v>0.2</v>
      </c>
      <c r="AB19" s="88">
        <v>0.2</v>
      </c>
      <c r="AC19" s="88">
        <v>0.3</v>
      </c>
      <c r="AD19" s="88">
        <v>0.2</v>
      </c>
      <c r="AE19" s="90" t="s">
        <v>53</v>
      </c>
      <c r="AF19" s="88">
        <v>0.39</v>
      </c>
      <c r="AG19" s="88">
        <v>0.39</v>
      </c>
      <c r="AH19" s="16" t="s">
        <v>386</v>
      </c>
      <c r="AK19" s="99">
        <f t="shared" si="0"/>
        <v>0.1</v>
      </c>
      <c r="AL19" s="99">
        <f t="shared" si="1"/>
        <v>0.39</v>
      </c>
    </row>
    <row r="20" spans="2:38" ht="90" x14ac:dyDescent="0.25">
      <c r="B20" s="6" t="s">
        <v>42</v>
      </c>
      <c r="C20" s="6" t="s">
        <v>43</v>
      </c>
      <c r="D20" s="6" t="s">
        <v>44</v>
      </c>
      <c r="E20" s="6" t="s">
        <v>45</v>
      </c>
      <c r="F20" s="6" t="s">
        <v>96</v>
      </c>
      <c r="G20" s="6"/>
      <c r="H20" s="6"/>
      <c r="I20" s="6"/>
      <c r="J20" s="6" t="s">
        <v>108</v>
      </c>
      <c r="K20" s="7" t="s">
        <v>109</v>
      </c>
      <c r="L20" s="7" t="s">
        <v>110</v>
      </c>
      <c r="M20" s="6" t="s">
        <v>100</v>
      </c>
      <c r="N20" s="9">
        <v>42614</v>
      </c>
      <c r="O20" s="9">
        <v>42735</v>
      </c>
      <c r="P20" s="7" t="s">
        <v>111</v>
      </c>
      <c r="Q20" s="6" t="s">
        <v>52</v>
      </c>
      <c r="R20" s="87">
        <v>0.03</v>
      </c>
      <c r="S20" s="90"/>
      <c r="T20" s="91"/>
      <c r="U20" s="91"/>
      <c r="V20" s="91"/>
      <c r="W20" s="91"/>
      <c r="X20" s="90"/>
      <c r="Y20" s="91"/>
      <c r="Z20" s="89">
        <v>0.05</v>
      </c>
      <c r="AA20" s="88">
        <v>0.15</v>
      </c>
      <c r="AB20" s="88">
        <v>0.25</v>
      </c>
      <c r="AC20" s="88">
        <v>0.5</v>
      </c>
      <c r="AD20" s="88">
        <v>0.05</v>
      </c>
      <c r="AE20" s="90" t="s">
        <v>53</v>
      </c>
      <c r="AF20" s="88">
        <v>0.05</v>
      </c>
      <c r="AG20" s="88">
        <v>0.05</v>
      </c>
      <c r="AH20" s="7" t="s">
        <v>112</v>
      </c>
      <c r="AK20" s="99">
        <f t="shared" si="0"/>
        <v>0.05</v>
      </c>
      <c r="AL20" s="99">
        <f t="shared" si="1"/>
        <v>0.05</v>
      </c>
    </row>
    <row r="21" spans="2:38" ht="90" x14ac:dyDescent="0.25">
      <c r="B21" s="6" t="s">
        <v>42</v>
      </c>
      <c r="C21" s="6" t="s">
        <v>43</v>
      </c>
      <c r="D21" s="6" t="s">
        <v>44</v>
      </c>
      <c r="E21" s="6" t="s">
        <v>45</v>
      </c>
      <c r="F21" s="6" t="s">
        <v>113</v>
      </c>
      <c r="G21" s="6"/>
      <c r="H21" s="6"/>
      <c r="I21" s="6"/>
      <c r="J21" s="6" t="s">
        <v>114</v>
      </c>
      <c r="K21" s="7" t="s">
        <v>115</v>
      </c>
      <c r="L21" s="7" t="s">
        <v>116</v>
      </c>
      <c r="M21" s="6" t="s">
        <v>100</v>
      </c>
      <c r="N21" s="9">
        <v>42614</v>
      </c>
      <c r="O21" s="9">
        <v>42826</v>
      </c>
      <c r="P21" s="7"/>
      <c r="Q21" s="6"/>
      <c r="R21" s="87">
        <v>0.04</v>
      </c>
      <c r="S21" s="88"/>
      <c r="T21" s="89"/>
      <c r="U21" s="89"/>
      <c r="V21" s="89"/>
      <c r="W21" s="89"/>
      <c r="X21" s="88"/>
      <c r="Y21" s="89"/>
      <c r="Z21" s="89"/>
      <c r="AA21" s="88">
        <v>0.25</v>
      </c>
      <c r="AB21" s="88">
        <v>0.25</v>
      </c>
      <c r="AC21" s="88">
        <v>0.25</v>
      </c>
      <c r="AD21" s="88">
        <v>0.25</v>
      </c>
      <c r="AE21" s="90"/>
      <c r="AF21" s="88"/>
      <c r="AG21" s="88"/>
      <c r="AH21" s="7"/>
      <c r="AK21" s="99">
        <f t="shared" si="0"/>
        <v>0</v>
      </c>
      <c r="AL21" s="99">
        <f t="shared" si="1"/>
        <v>0</v>
      </c>
    </row>
    <row r="22" spans="2:38" ht="150" x14ac:dyDescent="0.25">
      <c r="B22" s="6" t="s">
        <v>42</v>
      </c>
      <c r="C22" s="6" t="s">
        <v>43</v>
      </c>
      <c r="D22" s="6" t="s">
        <v>44</v>
      </c>
      <c r="E22" s="6" t="s">
        <v>45</v>
      </c>
      <c r="F22" s="6" t="s">
        <v>113</v>
      </c>
      <c r="G22" s="6"/>
      <c r="H22" s="6"/>
      <c r="I22" s="6"/>
      <c r="J22" s="6" t="s">
        <v>117</v>
      </c>
      <c r="K22" s="7" t="s">
        <v>118</v>
      </c>
      <c r="L22" s="7" t="s">
        <v>119</v>
      </c>
      <c r="M22" s="6" t="s">
        <v>100</v>
      </c>
      <c r="N22" s="9">
        <v>42614</v>
      </c>
      <c r="O22" s="9">
        <v>42735</v>
      </c>
      <c r="P22" s="7" t="s">
        <v>120</v>
      </c>
      <c r="Q22" s="6" t="s">
        <v>121</v>
      </c>
      <c r="R22" s="87">
        <v>0.04</v>
      </c>
      <c r="S22" s="88"/>
      <c r="T22" s="89"/>
      <c r="U22" s="89"/>
      <c r="V22" s="89"/>
      <c r="W22" s="89"/>
      <c r="X22" s="88"/>
      <c r="Y22" s="89"/>
      <c r="Z22" s="89"/>
      <c r="AA22" s="88">
        <v>0.25</v>
      </c>
      <c r="AB22" s="88">
        <v>0.25</v>
      </c>
      <c r="AC22" s="88">
        <v>0.25</v>
      </c>
      <c r="AD22" s="88">
        <v>0.25</v>
      </c>
      <c r="AE22" s="90"/>
      <c r="AF22" s="88"/>
      <c r="AG22" s="88"/>
      <c r="AH22" s="7"/>
      <c r="AK22" s="99">
        <f t="shared" si="0"/>
        <v>0</v>
      </c>
      <c r="AL22" s="99">
        <f t="shared" si="1"/>
        <v>0</v>
      </c>
    </row>
    <row r="23" spans="2:38" ht="90" x14ac:dyDescent="0.25">
      <c r="B23" s="6" t="s">
        <v>42</v>
      </c>
      <c r="C23" s="6" t="s">
        <v>43</v>
      </c>
      <c r="D23" s="6" t="s">
        <v>44</v>
      </c>
      <c r="E23" s="6" t="s">
        <v>45</v>
      </c>
      <c r="F23" s="6" t="s">
        <v>113</v>
      </c>
      <c r="G23" s="6"/>
      <c r="H23" s="6"/>
      <c r="I23" s="6"/>
      <c r="J23" s="6" t="s">
        <v>122</v>
      </c>
      <c r="K23" s="7" t="s">
        <v>123</v>
      </c>
      <c r="L23" s="7" t="s">
        <v>124</v>
      </c>
      <c r="M23" s="6" t="s">
        <v>100</v>
      </c>
      <c r="N23" s="9">
        <v>42583</v>
      </c>
      <c r="O23" s="9">
        <v>42735</v>
      </c>
      <c r="P23" s="7" t="s">
        <v>51</v>
      </c>
      <c r="Q23" s="6"/>
      <c r="R23" s="87">
        <v>0.03</v>
      </c>
      <c r="S23" s="88"/>
      <c r="T23" s="89"/>
      <c r="U23" s="89"/>
      <c r="V23" s="89"/>
      <c r="W23" s="89"/>
      <c r="X23" s="88"/>
      <c r="Y23" s="89"/>
      <c r="Z23" s="89">
        <v>0.2</v>
      </c>
      <c r="AA23" s="88">
        <v>0.2</v>
      </c>
      <c r="AB23" s="88">
        <v>0.2</v>
      </c>
      <c r="AC23" s="88">
        <v>0.2</v>
      </c>
      <c r="AD23" s="88">
        <v>0.2</v>
      </c>
      <c r="AE23" s="90" t="s">
        <v>53</v>
      </c>
      <c r="AF23" s="88">
        <v>0.2</v>
      </c>
      <c r="AG23" s="88">
        <v>0.2</v>
      </c>
      <c r="AH23" s="16" t="s">
        <v>125</v>
      </c>
      <c r="AK23" s="99">
        <f t="shared" si="0"/>
        <v>0.2</v>
      </c>
      <c r="AL23" s="99">
        <f t="shared" si="1"/>
        <v>0.2</v>
      </c>
    </row>
    <row r="24" spans="2:38" ht="90" x14ac:dyDescent="0.25">
      <c r="B24" s="6" t="s">
        <v>42</v>
      </c>
      <c r="C24" s="6" t="s">
        <v>43</v>
      </c>
      <c r="D24" s="6" t="s">
        <v>44</v>
      </c>
      <c r="E24" s="6" t="s">
        <v>45</v>
      </c>
      <c r="F24" s="6" t="s">
        <v>113</v>
      </c>
      <c r="G24" s="6"/>
      <c r="H24" s="6"/>
      <c r="I24" s="6"/>
      <c r="J24" s="6" t="s">
        <v>126</v>
      </c>
      <c r="K24" s="7" t="s">
        <v>127</v>
      </c>
      <c r="L24" s="7" t="s">
        <v>128</v>
      </c>
      <c r="M24" s="6" t="s">
        <v>100</v>
      </c>
      <c r="N24" s="9">
        <v>42614</v>
      </c>
      <c r="O24" s="9">
        <v>42767</v>
      </c>
      <c r="P24" s="7" t="s">
        <v>129</v>
      </c>
      <c r="Q24" s="6" t="s">
        <v>130</v>
      </c>
      <c r="R24" s="87">
        <v>0.04</v>
      </c>
      <c r="S24" s="88"/>
      <c r="T24" s="89"/>
      <c r="U24" s="89"/>
      <c r="V24" s="89"/>
      <c r="W24" s="89"/>
      <c r="X24" s="88"/>
      <c r="Y24" s="89"/>
      <c r="Z24" s="89"/>
      <c r="AA24" s="88">
        <v>0.25</v>
      </c>
      <c r="AB24" s="88">
        <v>0.25</v>
      </c>
      <c r="AC24" s="88">
        <v>0.25</v>
      </c>
      <c r="AD24" s="88">
        <v>0.25</v>
      </c>
      <c r="AE24" s="90"/>
      <c r="AF24" s="88"/>
      <c r="AG24" s="88"/>
      <c r="AH24" s="7"/>
      <c r="AK24" s="99">
        <f t="shared" si="0"/>
        <v>0</v>
      </c>
      <c r="AL24" s="99">
        <f t="shared" si="1"/>
        <v>0</v>
      </c>
    </row>
    <row r="25" spans="2:38" ht="150" x14ac:dyDescent="0.25">
      <c r="B25" s="6" t="s">
        <v>42</v>
      </c>
      <c r="C25" s="6" t="s">
        <v>43</v>
      </c>
      <c r="D25" s="6" t="s">
        <v>44</v>
      </c>
      <c r="E25" s="6" t="s">
        <v>45</v>
      </c>
      <c r="F25" s="6" t="s">
        <v>113</v>
      </c>
      <c r="G25" s="6"/>
      <c r="H25" s="6"/>
      <c r="I25" s="6"/>
      <c r="J25" s="6" t="s">
        <v>131</v>
      </c>
      <c r="K25" s="7" t="s">
        <v>132</v>
      </c>
      <c r="L25" s="7" t="s">
        <v>133</v>
      </c>
      <c r="M25" s="6" t="s">
        <v>100</v>
      </c>
      <c r="N25" s="9">
        <v>42614</v>
      </c>
      <c r="O25" s="9">
        <v>42735</v>
      </c>
      <c r="P25" s="7" t="s">
        <v>111</v>
      </c>
      <c r="Q25" s="6" t="s">
        <v>134</v>
      </c>
      <c r="R25" s="87">
        <v>0.03</v>
      </c>
      <c r="S25" s="88"/>
      <c r="T25" s="89"/>
      <c r="U25" s="89"/>
      <c r="V25" s="89"/>
      <c r="W25" s="89"/>
      <c r="X25" s="88"/>
      <c r="Y25" s="89"/>
      <c r="Z25" s="89"/>
      <c r="AA25" s="88"/>
      <c r="AB25" s="88">
        <v>0.3</v>
      </c>
      <c r="AC25" s="88">
        <v>0.6</v>
      </c>
      <c r="AD25" s="88">
        <v>0.1</v>
      </c>
      <c r="AE25" s="90"/>
      <c r="AF25" s="88"/>
      <c r="AG25" s="88"/>
      <c r="AH25" s="7"/>
      <c r="AK25" s="99">
        <f t="shared" si="0"/>
        <v>0</v>
      </c>
      <c r="AL25" s="99">
        <f t="shared" si="1"/>
        <v>0</v>
      </c>
    </row>
    <row r="26" spans="2:38" ht="185.25" customHeight="1" x14ac:dyDescent="0.25">
      <c r="B26" s="6" t="s">
        <v>42</v>
      </c>
      <c r="C26" s="6" t="s">
        <v>43</v>
      </c>
      <c r="D26" s="6" t="s">
        <v>44</v>
      </c>
      <c r="E26" s="6" t="s">
        <v>45</v>
      </c>
      <c r="F26" s="6" t="s">
        <v>113</v>
      </c>
      <c r="G26" s="6"/>
      <c r="H26" s="6"/>
      <c r="I26" s="6"/>
      <c r="J26" s="6" t="s">
        <v>135</v>
      </c>
      <c r="K26" s="7" t="s">
        <v>136</v>
      </c>
      <c r="L26" s="7" t="s">
        <v>137</v>
      </c>
      <c r="M26" s="6" t="s">
        <v>100</v>
      </c>
      <c r="N26" s="9">
        <v>42597</v>
      </c>
      <c r="O26" s="9">
        <v>42809</v>
      </c>
      <c r="P26" s="7" t="s">
        <v>138</v>
      </c>
      <c r="Q26" s="6" t="s">
        <v>139</v>
      </c>
      <c r="R26" s="87">
        <v>0.03</v>
      </c>
      <c r="S26" s="88"/>
      <c r="T26" s="89"/>
      <c r="U26" s="89"/>
      <c r="V26" s="89"/>
      <c r="W26" s="89"/>
      <c r="X26" s="88"/>
      <c r="Y26" s="89"/>
      <c r="Z26" s="89">
        <v>0.2</v>
      </c>
      <c r="AA26" s="88">
        <v>0.2</v>
      </c>
      <c r="AB26" s="88">
        <v>0.2</v>
      </c>
      <c r="AC26" s="88">
        <v>0.2</v>
      </c>
      <c r="AD26" s="88">
        <v>0.2</v>
      </c>
      <c r="AE26" s="90" t="s">
        <v>53</v>
      </c>
      <c r="AF26" s="88">
        <v>7.0000000000000007E-2</v>
      </c>
      <c r="AG26" s="88">
        <v>7.0000000000000007E-2</v>
      </c>
      <c r="AH26" s="16" t="s">
        <v>140</v>
      </c>
      <c r="AK26" s="99">
        <f t="shared" si="0"/>
        <v>0.2</v>
      </c>
      <c r="AL26" s="99">
        <f t="shared" si="1"/>
        <v>7.0000000000000007E-2</v>
      </c>
    </row>
    <row r="27" spans="2:38" ht="195" x14ac:dyDescent="0.25">
      <c r="B27" s="6" t="s">
        <v>42</v>
      </c>
      <c r="C27" s="6" t="s">
        <v>43</v>
      </c>
      <c r="D27" s="6" t="s">
        <v>44</v>
      </c>
      <c r="E27" s="6" t="s">
        <v>45</v>
      </c>
      <c r="F27" s="6" t="s">
        <v>113</v>
      </c>
      <c r="G27" s="6"/>
      <c r="H27" s="6"/>
      <c r="I27" s="6"/>
      <c r="J27" s="6" t="s">
        <v>141</v>
      </c>
      <c r="K27" s="7" t="s">
        <v>142</v>
      </c>
      <c r="L27" s="7" t="s">
        <v>143</v>
      </c>
      <c r="M27" s="6" t="s">
        <v>100</v>
      </c>
      <c r="N27" s="9">
        <v>42614</v>
      </c>
      <c r="O27" s="9">
        <v>42704</v>
      </c>
      <c r="P27" s="7" t="s">
        <v>144</v>
      </c>
      <c r="Q27" s="6" t="s">
        <v>145</v>
      </c>
      <c r="R27" s="87">
        <v>0.03</v>
      </c>
      <c r="S27" s="88"/>
      <c r="T27" s="89"/>
      <c r="U27" s="89"/>
      <c r="V27" s="89"/>
      <c r="W27" s="89"/>
      <c r="X27" s="88"/>
      <c r="Y27" s="89"/>
      <c r="Z27" s="89"/>
      <c r="AA27" s="88">
        <v>0.33</v>
      </c>
      <c r="AB27" s="88">
        <v>0.34</v>
      </c>
      <c r="AC27" s="88">
        <v>0.33</v>
      </c>
      <c r="AD27" s="88"/>
      <c r="AE27" s="90"/>
      <c r="AF27" s="88"/>
      <c r="AG27" s="88"/>
      <c r="AH27" s="7"/>
      <c r="AK27" s="99">
        <f t="shared" si="0"/>
        <v>0</v>
      </c>
      <c r="AL27" s="99">
        <f t="shared" si="1"/>
        <v>0</v>
      </c>
    </row>
    <row r="28" spans="2:38" ht="195" x14ac:dyDescent="0.25">
      <c r="B28" s="6" t="s">
        <v>42</v>
      </c>
      <c r="C28" s="6" t="s">
        <v>43</v>
      </c>
      <c r="D28" s="6" t="s">
        <v>44</v>
      </c>
      <c r="E28" s="6" t="s">
        <v>45</v>
      </c>
      <c r="F28" s="6" t="s">
        <v>113</v>
      </c>
      <c r="G28" s="6"/>
      <c r="H28" s="6"/>
      <c r="I28" s="6"/>
      <c r="J28" s="6" t="s">
        <v>146</v>
      </c>
      <c r="K28" s="7" t="s">
        <v>147</v>
      </c>
      <c r="L28" s="7" t="s">
        <v>148</v>
      </c>
      <c r="M28" s="6" t="s">
        <v>100</v>
      </c>
      <c r="N28" s="9">
        <v>42614</v>
      </c>
      <c r="O28" s="9">
        <v>42735</v>
      </c>
      <c r="P28" s="7" t="s">
        <v>144</v>
      </c>
      <c r="Q28" s="6" t="s">
        <v>149</v>
      </c>
      <c r="R28" s="87">
        <v>0.03</v>
      </c>
      <c r="S28" s="88"/>
      <c r="T28" s="89"/>
      <c r="U28" s="89"/>
      <c r="V28" s="89"/>
      <c r="W28" s="89"/>
      <c r="X28" s="88"/>
      <c r="Y28" s="89"/>
      <c r="Z28" s="89"/>
      <c r="AA28" s="88">
        <v>0.25</v>
      </c>
      <c r="AB28" s="88">
        <v>0.25</v>
      </c>
      <c r="AC28" s="88">
        <v>0.25</v>
      </c>
      <c r="AD28" s="88">
        <v>0.25</v>
      </c>
      <c r="AE28" s="90" t="s">
        <v>53</v>
      </c>
      <c r="AF28" s="88">
        <v>7.0000000000000007E-2</v>
      </c>
      <c r="AG28" s="88">
        <v>7.0000000000000007E-2</v>
      </c>
      <c r="AH28" s="16" t="s">
        <v>140</v>
      </c>
      <c r="AK28" s="99">
        <f t="shared" si="0"/>
        <v>0</v>
      </c>
      <c r="AL28" s="99">
        <f t="shared" si="1"/>
        <v>7.0000000000000007E-2</v>
      </c>
    </row>
    <row r="29" spans="2:38" ht="90" x14ac:dyDescent="0.25">
      <c r="B29" s="6" t="s">
        <v>42</v>
      </c>
      <c r="C29" s="6" t="s">
        <v>43</v>
      </c>
      <c r="D29" s="6" t="s">
        <v>44</v>
      </c>
      <c r="E29" s="6" t="s">
        <v>45</v>
      </c>
      <c r="F29" s="6" t="s">
        <v>150</v>
      </c>
      <c r="G29" s="6"/>
      <c r="H29" s="6"/>
      <c r="I29" s="6"/>
      <c r="J29" s="6" t="s">
        <v>151</v>
      </c>
      <c r="K29" s="7" t="s">
        <v>152</v>
      </c>
      <c r="L29" s="7" t="s">
        <v>153</v>
      </c>
      <c r="M29" s="6" t="s">
        <v>100</v>
      </c>
      <c r="N29" s="9">
        <v>42628</v>
      </c>
      <c r="O29" s="9">
        <v>42689</v>
      </c>
      <c r="P29" s="7" t="s">
        <v>154</v>
      </c>
      <c r="Q29" s="6" t="s">
        <v>155</v>
      </c>
      <c r="R29" s="87">
        <v>0.03</v>
      </c>
      <c r="S29" s="88"/>
      <c r="T29" s="89"/>
      <c r="U29" s="89"/>
      <c r="V29" s="89"/>
      <c r="W29" s="89"/>
      <c r="X29" s="88"/>
      <c r="Y29" s="89"/>
      <c r="Z29" s="89"/>
      <c r="AA29" s="88">
        <v>0.33</v>
      </c>
      <c r="AB29" s="88">
        <v>0.34</v>
      </c>
      <c r="AC29" s="88">
        <v>0.33</v>
      </c>
      <c r="AD29" s="88"/>
      <c r="AE29" s="90"/>
      <c r="AF29" s="88"/>
      <c r="AG29" s="88"/>
      <c r="AH29" s="7"/>
      <c r="AK29" s="99">
        <f t="shared" si="0"/>
        <v>0</v>
      </c>
      <c r="AL29" s="99">
        <f t="shared" si="1"/>
        <v>0</v>
      </c>
    </row>
    <row r="30" spans="2:38" ht="105" x14ac:dyDescent="0.25">
      <c r="B30" s="6" t="s">
        <v>42</v>
      </c>
      <c r="C30" s="6" t="s">
        <v>43</v>
      </c>
      <c r="D30" s="6" t="s">
        <v>44</v>
      </c>
      <c r="E30" s="6" t="s">
        <v>45</v>
      </c>
      <c r="F30" s="6" t="s">
        <v>150</v>
      </c>
      <c r="G30" s="6"/>
      <c r="H30" s="6"/>
      <c r="I30" s="6"/>
      <c r="J30" s="6" t="s">
        <v>156</v>
      </c>
      <c r="K30" s="7" t="s">
        <v>157</v>
      </c>
      <c r="L30" s="7" t="s">
        <v>158</v>
      </c>
      <c r="M30" s="6" t="s">
        <v>100</v>
      </c>
      <c r="N30" s="9">
        <v>42614</v>
      </c>
      <c r="O30" s="9">
        <v>42735</v>
      </c>
      <c r="P30" s="7" t="s">
        <v>159</v>
      </c>
      <c r="Q30" s="6" t="s">
        <v>160</v>
      </c>
      <c r="R30" s="87">
        <v>0.03</v>
      </c>
      <c r="S30" s="88"/>
      <c r="T30" s="89"/>
      <c r="U30" s="89"/>
      <c r="V30" s="89"/>
      <c r="W30" s="89"/>
      <c r="X30" s="88"/>
      <c r="Y30" s="89"/>
      <c r="Z30" s="89"/>
      <c r="AA30" s="88">
        <v>0.25</v>
      </c>
      <c r="AB30" s="88">
        <v>0.25</v>
      </c>
      <c r="AC30" s="88">
        <v>0.25</v>
      </c>
      <c r="AD30" s="88">
        <v>0.25</v>
      </c>
      <c r="AE30" s="90"/>
      <c r="AF30" s="88"/>
      <c r="AG30" s="88"/>
      <c r="AH30" s="7"/>
      <c r="AK30" s="99">
        <f t="shared" si="0"/>
        <v>0</v>
      </c>
      <c r="AL30" s="99">
        <f t="shared" si="1"/>
        <v>0</v>
      </c>
    </row>
    <row r="31" spans="2:38" ht="90" x14ac:dyDescent="0.25">
      <c r="B31" s="6" t="s">
        <v>42</v>
      </c>
      <c r="C31" s="6" t="s">
        <v>43</v>
      </c>
      <c r="D31" s="6" t="s">
        <v>44</v>
      </c>
      <c r="E31" s="6" t="s">
        <v>45</v>
      </c>
      <c r="F31" s="6" t="s">
        <v>161</v>
      </c>
      <c r="G31" s="6"/>
      <c r="H31" s="6"/>
      <c r="I31" s="6"/>
      <c r="J31" s="6" t="s">
        <v>162</v>
      </c>
      <c r="K31" s="7" t="s">
        <v>163</v>
      </c>
      <c r="L31" s="7" t="s">
        <v>164</v>
      </c>
      <c r="M31" s="6" t="s">
        <v>60</v>
      </c>
      <c r="N31" s="9">
        <v>42644</v>
      </c>
      <c r="O31" s="9">
        <v>42887</v>
      </c>
      <c r="P31" s="7" t="s">
        <v>138</v>
      </c>
      <c r="Q31" s="7" t="s">
        <v>165</v>
      </c>
      <c r="R31" s="87">
        <v>0.04</v>
      </c>
      <c r="S31" s="88"/>
      <c r="T31" s="89"/>
      <c r="U31" s="89"/>
      <c r="V31" s="89"/>
      <c r="W31" s="89"/>
      <c r="X31" s="88"/>
      <c r="Y31" s="89"/>
      <c r="Z31" s="89"/>
      <c r="AA31" s="88"/>
      <c r="AB31" s="88">
        <v>1</v>
      </c>
      <c r="AC31" s="88"/>
      <c r="AD31" s="88"/>
      <c r="AE31" s="90"/>
      <c r="AF31" s="88"/>
      <c r="AG31" s="88"/>
      <c r="AH31" s="7"/>
      <c r="AK31" s="99">
        <f t="shared" si="0"/>
        <v>0</v>
      </c>
      <c r="AL31" s="99">
        <f t="shared" si="1"/>
        <v>0</v>
      </c>
    </row>
    <row r="32" spans="2:38" ht="90" x14ac:dyDescent="0.25">
      <c r="B32" s="6" t="s">
        <v>42</v>
      </c>
      <c r="C32" s="6" t="s">
        <v>43</v>
      </c>
      <c r="D32" s="6" t="s">
        <v>44</v>
      </c>
      <c r="E32" s="6" t="s">
        <v>45</v>
      </c>
      <c r="F32" s="6" t="s">
        <v>161</v>
      </c>
      <c r="G32" s="6"/>
      <c r="H32" s="6"/>
      <c r="I32" s="6"/>
      <c r="J32" s="6" t="s">
        <v>166</v>
      </c>
      <c r="K32" s="7" t="s">
        <v>167</v>
      </c>
      <c r="L32" s="7" t="s">
        <v>168</v>
      </c>
      <c r="M32" s="6" t="s">
        <v>60</v>
      </c>
      <c r="N32" s="9">
        <v>42614</v>
      </c>
      <c r="O32" s="9">
        <v>42979</v>
      </c>
      <c r="P32" s="7" t="s">
        <v>138</v>
      </c>
      <c r="Q32" s="7" t="s">
        <v>169</v>
      </c>
      <c r="R32" s="87">
        <v>0.03</v>
      </c>
      <c r="S32" s="88"/>
      <c r="T32" s="89"/>
      <c r="U32" s="89"/>
      <c r="V32" s="89"/>
      <c r="W32" s="89"/>
      <c r="X32" s="88"/>
      <c r="Y32" s="89"/>
      <c r="Z32" s="89"/>
      <c r="AA32" s="88">
        <v>0.14000000000000001</v>
      </c>
      <c r="AB32" s="88">
        <v>0.28999999999999998</v>
      </c>
      <c r="AC32" s="88">
        <v>0.56999999999999995</v>
      </c>
      <c r="AD32" s="88"/>
      <c r="AE32" s="90"/>
      <c r="AF32" s="88"/>
      <c r="AG32" s="88"/>
      <c r="AH32" s="7"/>
      <c r="AK32" s="99">
        <f t="shared" si="0"/>
        <v>0</v>
      </c>
      <c r="AL32" s="99">
        <f t="shared" si="1"/>
        <v>0</v>
      </c>
    </row>
    <row r="33" spans="2:38" ht="90" x14ac:dyDescent="0.25">
      <c r="B33" s="6" t="s">
        <v>42</v>
      </c>
      <c r="C33" s="6" t="s">
        <v>43</v>
      </c>
      <c r="D33" s="6" t="s">
        <v>44</v>
      </c>
      <c r="E33" s="6" t="s">
        <v>45</v>
      </c>
      <c r="F33" s="6" t="s">
        <v>161</v>
      </c>
      <c r="G33" s="6"/>
      <c r="H33" s="6"/>
      <c r="I33" s="6"/>
      <c r="J33" s="6" t="s">
        <v>170</v>
      </c>
      <c r="K33" s="7" t="s">
        <v>171</v>
      </c>
      <c r="L33" s="7" t="s">
        <v>172</v>
      </c>
      <c r="M33" s="6" t="s">
        <v>60</v>
      </c>
      <c r="N33" s="9">
        <v>42644</v>
      </c>
      <c r="O33" s="9">
        <v>42948</v>
      </c>
      <c r="P33" s="7" t="s">
        <v>138</v>
      </c>
      <c r="Q33" s="7" t="s">
        <v>165</v>
      </c>
      <c r="R33" s="87">
        <v>0.03</v>
      </c>
      <c r="S33" s="88"/>
      <c r="T33" s="89"/>
      <c r="U33" s="89"/>
      <c r="V33" s="89"/>
      <c r="W33" s="89"/>
      <c r="X33" s="88"/>
      <c r="Y33" s="89"/>
      <c r="Z33" s="89"/>
      <c r="AA33" s="88"/>
      <c r="AB33" s="88">
        <v>1</v>
      </c>
      <c r="AC33" s="88"/>
      <c r="AD33" s="88"/>
      <c r="AE33" s="90"/>
      <c r="AF33" s="88"/>
      <c r="AG33" s="88"/>
      <c r="AH33" s="7"/>
      <c r="AK33" s="99">
        <f t="shared" si="0"/>
        <v>0</v>
      </c>
      <c r="AL33" s="99">
        <f t="shared" si="1"/>
        <v>0</v>
      </c>
    </row>
    <row r="34" spans="2:38" ht="168.75" customHeight="1" x14ac:dyDescent="0.25">
      <c r="B34" s="6" t="s">
        <v>42</v>
      </c>
      <c r="C34" s="6" t="s">
        <v>43</v>
      </c>
      <c r="D34" s="6" t="s">
        <v>44</v>
      </c>
      <c r="E34" s="6" t="s">
        <v>45</v>
      </c>
      <c r="F34" s="6" t="s">
        <v>161</v>
      </c>
      <c r="G34" s="6"/>
      <c r="H34" s="6"/>
      <c r="I34" s="6"/>
      <c r="J34" s="6" t="s">
        <v>173</v>
      </c>
      <c r="K34" s="7" t="s">
        <v>174</v>
      </c>
      <c r="L34" s="7" t="s">
        <v>175</v>
      </c>
      <c r="M34" s="6" t="s">
        <v>60</v>
      </c>
      <c r="N34" s="9">
        <v>42583</v>
      </c>
      <c r="O34" s="9">
        <v>42735</v>
      </c>
      <c r="P34" s="7" t="s">
        <v>138</v>
      </c>
      <c r="Q34" s="7" t="s">
        <v>176</v>
      </c>
      <c r="R34" s="87">
        <v>0.04</v>
      </c>
      <c r="S34" s="88"/>
      <c r="T34" s="89"/>
      <c r="U34" s="89"/>
      <c r="V34" s="89"/>
      <c r="W34" s="89"/>
      <c r="X34" s="88"/>
      <c r="Y34" s="89"/>
      <c r="Z34" s="89">
        <v>1</v>
      </c>
      <c r="AA34" s="88"/>
      <c r="AB34" s="88"/>
      <c r="AC34" s="88"/>
      <c r="AD34" s="88"/>
      <c r="AE34" s="90" t="s">
        <v>53</v>
      </c>
      <c r="AF34" s="88">
        <v>0.25</v>
      </c>
      <c r="AG34" s="88">
        <v>0.25</v>
      </c>
      <c r="AH34" s="16" t="s">
        <v>177</v>
      </c>
      <c r="AK34" s="99">
        <f t="shared" si="0"/>
        <v>1</v>
      </c>
      <c r="AL34" s="99">
        <f t="shared" si="1"/>
        <v>0.25</v>
      </c>
    </row>
    <row r="35" spans="2:38" ht="90" x14ac:dyDescent="0.25">
      <c r="B35" s="6" t="s">
        <v>42</v>
      </c>
      <c r="C35" s="6" t="s">
        <v>43</v>
      </c>
      <c r="D35" s="6" t="s">
        <v>44</v>
      </c>
      <c r="E35" s="6" t="s">
        <v>45</v>
      </c>
      <c r="F35" s="6" t="s">
        <v>161</v>
      </c>
      <c r="G35" s="6"/>
      <c r="H35" s="6"/>
      <c r="I35" s="6"/>
      <c r="J35" s="6" t="s">
        <v>173</v>
      </c>
      <c r="K35" s="7" t="s">
        <v>178</v>
      </c>
      <c r="L35" s="7" t="s">
        <v>175</v>
      </c>
      <c r="M35" s="6" t="s">
        <v>60</v>
      </c>
      <c r="N35" s="9">
        <v>42658</v>
      </c>
      <c r="O35" s="9">
        <v>42901</v>
      </c>
      <c r="P35" s="7" t="s">
        <v>138</v>
      </c>
      <c r="Q35" s="7" t="s">
        <v>179</v>
      </c>
      <c r="R35" s="87">
        <v>0.04</v>
      </c>
      <c r="S35" s="88"/>
      <c r="T35" s="89"/>
      <c r="U35" s="89"/>
      <c r="V35" s="89"/>
      <c r="W35" s="89"/>
      <c r="X35" s="88"/>
      <c r="Y35" s="89"/>
      <c r="Z35" s="89"/>
      <c r="AA35" s="88"/>
      <c r="AB35" s="88">
        <v>1</v>
      </c>
      <c r="AC35" s="88"/>
      <c r="AD35" s="88"/>
      <c r="AE35" s="90"/>
      <c r="AF35" s="88"/>
      <c r="AG35" s="88"/>
      <c r="AH35" s="7" t="s">
        <v>180</v>
      </c>
      <c r="AK35" s="99">
        <f t="shared" si="0"/>
        <v>0</v>
      </c>
      <c r="AL35" s="99">
        <f t="shared" si="1"/>
        <v>0</v>
      </c>
    </row>
    <row r="36" spans="2:38" ht="105" x14ac:dyDescent="0.25">
      <c r="B36" s="6" t="s">
        <v>42</v>
      </c>
      <c r="C36" s="6" t="s">
        <v>43</v>
      </c>
      <c r="D36" s="6" t="s">
        <v>44</v>
      </c>
      <c r="E36" s="6" t="s">
        <v>45</v>
      </c>
      <c r="F36" s="6" t="s">
        <v>161</v>
      </c>
      <c r="G36" s="6"/>
      <c r="H36" s="6"/>
      <c r="I36" s="6"/>
      <c r="J36" s="6" t="s">
        <v>181</v>
      </c>
      <c r="K36" s="7" t="s">
        <v>182</v>
      </c>
      <c r="L36" s="7" t="s">
        <v>183</v>
      </c>
      <c r="M36" s="6" t="s">
        <v>60</v>
      </c>
      <c r="N36" s="9">
        <v>42522</v>
      </c>
      <c r="O36" s="9">
        <v>42705</v>
      </c>
      <c r="P36" s="7" t="s">
        <v>184</v>
      </c>
      <c r="Q36" s="7" t="s">
        <v>185</v>
      </c>
      <c r="R36" s="87">
        <v>0.03</v>
      </c>
      <c r="S36" s="88"/>
      <c r="T36" s="89"/>
      <c r="U36" s="89"/>
      <c r="V36" s="89"/>
      <c r="W36" s="89"/>
      <c r="X36" s="88"/>
      <c r="Y36" s="89"/>
      <c r="Z36" s="89"/>
      <c r="AA36" s="88"/>
      <c r="AB36" s="88"/>
      <c r="AC36" s="88"/>
      <c r="AD36" s="88">
        <v>1</v>
      </c>
      <c r="AE36" s="90"/>
      <c r="AF36" s="88"/>
      <c r="AG36" s="88"/>
      <c r="AH36" s="7"/>
      <c r="AK36" s="99">
        <f t="shared" si="0"/>
        <v>0</v>
      </c>
      <c r="AL36" s="99">
        <f t="shared" si="1"/>
        <v>0</v>
      </c>
    </row>
    <row r="37" spans="2:38" ht="120" x14ac:dyDescent="0.25">
      <c r="B37" s="6" t="s">
        <v>42</v>
      </c>
      <c r="C37" s="6" t="s">
        <v>186</v>
      </c>
      <c r="D37" s="6" t="s">
        <v>44</v>
      </c>
      <c r="E37" s="6" t="s">
        <v>187</v>
      </c>
      <c r="F37" s="6" t="s">
        <v>188</v>
      </c>
      <c r="G37" s="6"/>
      <c r="H37" s="6"/>
      <c r="I37" s="6"/>
      <c r="J37" s="6" t="s">
        <v>189</v>
      </c>
      <c r="K37" s="7" t="s">
        <v>190</v>
      </c>
      <c r="L37" s="7" t="s">
        <v>191</v>
      </c>
      <c r="M37" s="6" t="s">
        <v>192</v>
      </c>
      <c r="N37" s="9">
        <v>42552</v>
      </c>
      <c r="O37" s="9">
        <v>42735</v>
      </c>
      <c r="P37" s="7" t="s">
        <v>51</v>
      </c>
      <c r="Q37" s="7" t="s">
        <v>193</v>
      </c>
      <c r="R37" s="87">
        <v>0.2</v>
      </c>
      <c r="S37" s="88"/>
      <c r="T37" s="89"/>
      <c r="U37" s="89"/>
      <c r="V37" s="89"/>
      <c r="W37" s="89"/>
      <c r="X37" s="88"/>
      <c r="Y37" s="89">
        <v>0.16</v>
      </c>
      <c r="Z37" s="89">
        <v>0.16</v>
      </c>
      <c r="AA37" s="88">
        <v>0.17</v>
      </c>
      <c r="AB37" s="87">
        <v>0.17</v>
      </c>
      <c r="AC37" s="87">
        <v>0.17</v>
      </c>
      <c r="AD37" s="88">
        <v>0.17</v>
      </c>
      <c r="AE37" s="90" t="s">
        <v>53</v>
      </c>
      <c r="AF37" s="88">
        <v>0</v>
      </c>
      <c r="AG37" s="88">
        <v>0</v>
      </c>
      <c r="AH37" s="7" t="s">
        <v>194</v>
      </c>
      <c r="AK37" s="99">
        <f t="shared" si="0"/>
        <v>0.32</v>
      </c>
      <c r="AL37" s="99">
        <f t="shared" si="1"/>
        <v>0</v>
      </c>
    </row>
    <row r="38" spans="2:38" ht="159.75" customHeight="1" x14ac:dyDescent="0.25">
      <c r="B38" s="6" t="s">
        <v>42</v>
      </c>
      <c r="C38" s="6" t="s">
        <v>186</v>
      </c>
      <c r="D38" s="6" t="s">
        <v>44</v>
      </c>
      <c r="E38" s="6" t="s">
        <v>187</v>
      </c>
      <c r="F38" s="6" t="s">
        <v>188</v>
      </c>
      <c r="G38" s="6"/>
      <c r="H38" s="6"/>
      <c r="I38" s="6"/>
      <c r="J38" s="6" t="s">
        <v>195</v>
      </c>
      <c r="K38" s="7" t="s">
        <v>196</v>
      </c>
      <c r="L38" s="7" t="s">
        <v>197</v>
      </c>
      <c r="M38" s="6" t="s">
        <v>192</v>
      </c>
      <c r="N38" s="9">
        <v>42552</v>
      </c>
      <c r="O38" s="9">
        <v>42735</v>
      </c>
      <c r="P38" s="7" t="s">
        <v>51</v>
      </c>
      <c r="Q38" s="7" t="s">
        <v>198</v>
      </c>
      <c r="R38" s="87">
        <v>0.2</v>
      </c>
      <c r="S38" s="88"/>
      <c r="T38" s="89"/>
      <c r="U38" s="89"/>
      <c r="V38" s="89"/>
      <c r="W38" s="89"/>
      <c r="X38" s="88"/>
      <c r="Y38" s="89">
        <v>0.16</v>
      </c>
      <c r="Z38" s="89">
        <v>0.16</v>
      </c>
      <c r="AA38" s="88">
        <v>0.17</v>
      </c>
      <c r="AB38" s="87">
        <v>0.17</v>
      </c>
      <c r="AC38" s="87">
        <v>0.17</v>
      </c>
      <c r="AD38" s="88">
        <v>0.17</v>
      </c>
      <c r="AE38" s="90" t="s">
        <v>53</v>
      </c>
      <c r="AF38" s="88">
        <v>0.16</v>
      </c>
      <c r="AG38" s="88">
        <f>16%+16%</f>
        <v>0.32</v>
      </c>
      <c r="AH38" s="16" t="s">
        <v>199</v>
      </c>
      <c r="AK38" s="99">
        <f t="shared" si="0"/>
        <v>0.32</v>
      </c>
      <c r="AL38" s="99">
        <f t="shared" si="1"/>
        <v>0.32</v>
      </c>
    </row>
    <row r="39" spans="2:38" ht="120" x14ac:dyDescent="0.25">
      <c r="B39" s="6" t="s">
        <v>42</v>
      </c>
      <c r="C39" s="6" t="s">
        <v>186</v>
      </c>
      <c r="D39" s="6" t="s">
        <v>44</v>
      </c>
      <c r="E39" s="6" t="s">
        <v>187</v>
      </c>
      <c r="F39" s="6" t="s">
        <v>200</v>
      </c>
      <c r="G39" s="6"/>
      <c r="H39" s="6"/>
      <c r="I39" s="6"/>
      <c r="J39" s="6" t="s">
        <v>201</v>
      </c>
      <c r="K39" s="7" t="s">
        <v>202</v>
      </c>
      <c r="L39" s="7" t="s">
        <v>203</v>
      </c>
      <c r="M39" s="6" t="s">
        <v>192</v>
      </c>
      <c r="N39" s="9">
        <v>42552</v>
      </c>
      <c r="O39" s="9">
        <v>42917</v>
      </c>
      <c r="P39" s="7" t="s">
        <v>51</v>
      </c>
      <c r="Q39" s="7" t="s">
        <v>204</v>
      </c>
      <c r="R39" s="87">
        <v>0.2</v>
      </c>
      <c r="S39" s="88"/>
      <c r="T39" s="89"/>
      <c r="U39" s="89"/>
      <c r="V39" s="89"/>
      <c r="W39" s="89"/>
      <c r="X39" s="88"/>
      <c r="Y39" s="89">
        <v>0.1</v>
      </c>
      <c r="Z39" s="89">
        <v>0.3</v>
      </c>
      <c r="AA39" s="88">
        <v>0.15</v>
      </c>
      <c r="AB39" s="87">
        <v>0.15</v>
      </c>
      <c r="AC39" s="87">
        <v>0.15</v>
      </c>
      <c r="AD39" s="88">
        <v>0.15</v>
      </c>
      <c r="AE39" s="90" t="s">
        <v>53</v>
      </c>
      <c r="AF39" s="88">
        <v>0.1</v>
      </c>
      <c r="AG39" s="88">
        <v>0.1</v>
      </c>
      <c r="AH39" s="7" t="s">
        <v>205</v>
      </c>
      <c r="AK39" s="99">
        <f t="shared" si="0"/>
        <v>0.4</v>
      </c>
      <c r="AL39" s="99">
        <f t="shared" si="1"/>
        <v>0.1</v>
      </c>
    </row>
    <row r="40" spans="2:38" ht="120" x14ac:dyDescent="0.25">
      <c r="B40" s="6" t="s">
        <v>42</v>
      </c>
      <c r="C40" s="6" t="s">
        <v>186</v>
      </c>
      <c r="D40" s="6" t="s">
        <v>44</v>
      </c>
      <c r="E40" s="6" t="s">
        <v>187</v>
      </c>
      <c r="F40" s="6" t="s">
        <v>200</v>
      </c>
      <c r="G40" s="6"/>
      <c r="H40" s="6"/>
      <c r="I40" s="6"/>
      <c r="J40" s="6" t="s">
        <v>206</v>
      </c>
      <c r="K40" s="7" t="s">
        <v>207</v>
      </c>
      <c r="L40" s="7" t="s">
        <v>208</v>
      </c>
      <c r="M40" s="6" t="s">
        <v>192</v>
      </c>
      <c r="N40" s="9">
        <v>42552</v>
      </c>
      <c r="O40" s="9">
        <v>42675</v>
      </c>
      <c r="P40" s="7" t="s">
        <v>51</v>
      </c>
      <c r="Q40" s="7" t="s">
        <v>209</v>
      </c>
      <c r="R40" s="87">
        <v>0.2</v>
      </c>
      <c r="S40" s="88"/>
      <c r="T40" s="89"/>
      <c r="U40" s="89"/>
      <c r="V40" s="89"/>
      <c r="W40" s="89"/>
      <c r="X40" s="88"/>
      <c r="Y40" s="89">
        <v>0.16</v>
      </c>
      <c r="Z40" s="89">
        <v>0.16</v>
      </c>
      <c r="AA40" s="88">
        <v>0.17</v>
      </c>
      <c r="AB40" s="87">
        <v>0.17</v>
      </c>
      <c r="AC40" s="87">
        <v>0.17</v>
      </c>
      <c r="AD40" s="88">
        <v>0.17</v>
      </c>
      <c r="AE40" s="90" t="s">
        <v>53</v>
      </c>
      <c r="AF40" s="88">
        <v>0</v>
      </c>
      <c r="AG40" s="88">
        <v>0</v>
      </c>
      <c r="AH40" s="16" t="s">
        <v>210</v>
      </c>
      <c r="AK40" s="99">
        <f t="shared" si="0"/>
        <v>0.32</v>
      </c>
      <c r="AL40" s="99">
        <f t="shared" si="1"/>
        <v>0</v>
      </c>
    </row>
    <row r="41" spans="2:38" ht="120" x14ac:dyDescent="0.25">
      <c r="B41" s="6" t="s">
        <v>42</v>
      </c>
      <c r="C41" s="6" t="s">
        <v>211</v>
      </c>
      <c r="D41" s="6" t="s">
        <v>44</v>
      </c>
      <c r="E41" s="6" t="s">
        <v>187</v>
      </c>
      <c r="F41" s="6" t="s">
        <v>211</v>
      </c>
      <c r="G41" s="6"/>
      <c r="H41" s="6"/>
      <c r="I41" s="6"/>
      <c r="J41" s="6" t="s">
        <v>212</v>
      </c>
      <c r="K41" s="7" t="s">
        <v>213</v>
      </c>
      <c r="L41" s="7" t="s">
        <v>214</v>
      </c>
      <c r="M41" s="6" t="s">
        <v>192</v>
      </c>
      <c r="N41" s="9">
        <v>42552</v>
      </c>
      <c r="O41" s="9">
        <v>42735</v>
      </c>
      <c r="P41" s="7" t="s">
        <v>51</v>
      </c>
      <c r="Q41" s="7" t="s">
        <v>215</v>
      </c>
      <c r="R41" s="87">
        <v>0.2</v>
      </c>
      <c r="S41" s="88"/>
      <c r="T41" s="89"/>
      <c r="U41" s="89"/>
      <c r="V41" s="89"/>
      <c r="W41" s="89"/>
      <c r="X41" s="88"/>
      <c r="Y41" s="89">
        <v>0.17</v>
      </c>
      <c r="Z41" s="89">
        <v>0.17</v>
      </c>
      <c r="AA41" s="88">
        <v>0.17</v>
      </c>
      <c r="AB41" s="87">
        <v>0.17</v>
      </c>
      <c r="AC41" s="87">
        <v>0.16</v>
      </c>
      <c r="AD41" s="88">
        <v>0.16</v>
      </c>
      <c r="AE41" s="90" t="s">
        <v>53</v>
      </c>
      <c r="AF41" s="88">
        <v>0.24</v>
      </c>
      <c r="AG41" s="88">
        <f>22%+24%</f>
        <v>0.45999999999999996</v>
      </c>
      <c r="AH41" s="16" t="s">
        <v>216</v>
      </c>
      <c r="AK41" s="99">
        <f t="shared" si="0"/>
        <v>0.34</v>
      </c>
      <c r="AL41" s="99">
        <f t="shared" si="1"/>
        <v>0.45999999999999996</v>
      </c>
    </row>
    <row r="42" spans="2:38" ht="105" x14ac:dyDescent="0.25">
      <c r="B42" s="6" t="s">
        <v>217</v>
      </c>
      <c r="C42" s="6" t="s">
        <v>218</v>
      </c>
      <c r="D42" s="6" t="s">
        <v>219</v>
      </c>
      <c r="E42" s="6" t="s">
        <v>220</v>
      </c>
      <c r="F42" s="6" t="s">
        <v>221</v>
      </c>
      <c r="G42" s="6"/>
      <c r="H42" s="7"/>
      <c r="I42" s="7"/>
      <c r="J42" s="6" t="s">
        <v>222</v>
      </c>
      <c r="K42" s="7" t="s">
        <v>202</v>
      </c>
      <c r="L42" s="7" t="s">
        <v>223</v>
      </c>
      <c r="M42" s="6" t="s">
        <v>192</v>
      </c>
      <c r="N42" s="9">
        <v>42552</v>
      </c>
      <c r="O42" s="9">
        <v>42856</v>
      </c>
      <c r="P42" s="7" t="s">
        <v>51</v>
      </c>
      <c r="Q42" s="7" t="s">
        <v>224</v>
      </c>
      <c r="R42" s="87">
        <v>0.5</v>
      </c>
      <c r="S42" s="88"/>
      <c r="T42" s="89"/>
      <c r="U42" s="89"/>
      <c r="V42" s="89"/>
      <c r="W42" s="89"/>
      <c r="X42" s="88"/>
      <c r="Y42" s="89">
        <v>0.16</v>
      </c>
      <c r="Z42" s="89">
        <v>0.16</v>
      </c>
      <c r="AA42" s="88">
        <v>0.17</v>
      </c>
      <c r="AB42" s="87">
        <v>0.17</v>
      </c>
      <c r="AC42" s="87">
        <v>0.17</v>
      </c>
      <c r="AD42" s="88">
        <v>0.17</v>
      </c>
      <c r="AE42" s="90" t="s">
        <v>53</v>
      </c>
      <c r="AF42" s="88">
        <v>0.16</v>
      </c>
      <c r="AG42" s="88">
        <f>16%+16%</f>
        <v>0.32</v>
      </c>
      <c r="AH42" s="16" t="s">
        <v>225</v>
      </c>
      <c r="AK42" s="99">
        <f t="shared" si="0"/>
        <v>0.32</v>
      </c>
      <c r="AL42" s="99">
        <f t="shared" si="1"/>
        <v>0.32</v>
      </c>
    </row>
    <row r="43" spans="2:38" ht="105" x14ac:dyDescent="0.25">
      <c r="B43" s="6" t="s">
        <v>217</v>
      </c>
      <c r="C43" s="6" t="s">
        <v>218</v>
      </c>
      <c r="D43" s="6" t="s">
        <v>219</v>
      </c>
      <c r="E43" s="6" t="s">
        <v>220</v>
      </c>
      <c r="F43" s="6" t="s">
        <v>221</v>
      </c>
      <c r="G43" s="6"/>
      <c r="H43" s="7"/>
      <c r="I43" s="7"/>
      <c r="J43" s="6" t="s">
        <v>226</v>
      </c>
      <c r="K43" s="7" t="s">
        <v>227</v>
      </c>
      <c r="L43" s="7" t="s">
        <v>228</v>
      </c>
      <c r="M43" s="6" t="s">
        <v>192</v>
      </c>
      <c r="N43" s="9">
        <v>42552</v>
      </c>
      <c r="O43" s="9">
        <v>42735</v>
      </c>
      <c r="P43" s="7" t="s">
        <v>51</v>
      </c>
      <c r="Q43" s="7" t="s">
        <v>229</v>
      </c>
      <c r="R43" s="87">
        <v>0.5</v>
      </c>
      <c r="S43" s="88"/>
      <c r="T43" s="89"/>
      <c r="U43" s="89"/>
      <c r="V43" s="89"/>
      <c r="W43" s="89"/>
      <c r="X43" s="88"/>
      <c r="Y43" s="89">
        <v>0.16</v>
      </c>
      <c r="Z43" s="89">
        <v>0.16</v>
      </c>
      <c r="AA43" s="88">
        <v>0.17</v>
      </c>
      <c r="AB43" s="88">
        <v>0.17</v>
      </c>
      <c r="AC43" s="88">
        <v>0.17</v>
      </c>
      <c r="AD43" s="88">
        <v>0.17</v>
      </c>
      <c r="AE43" s="90" t="s">
        <v>53</v>
      </c>
      <c r="AF43" s="88">
        <v>0.16</v>
      </c>
      <c r="AG43" s="88">
        <f>16%+16%</f>
        <v>0.32</v>
      </c>
      <c r="AH43" s="16" t="s">
        <v>230</v>
      </c>
      <c r="AK43" s="99">
        <f t="shared" si="0"/>
        <v>0.32</v>
      </c>
      <c r="AL43" s="99">
        <f t="shared" si="1"/>
        <v>0.32</v>
      </c>
    </row>
    <row r="44" spans="2:38" ht="409.5" x14ac:dyDescent="0.25">
      <c r="B44" s="6" t="s">
        <v>231</v>
      </c>
      <c r="C44" s="6" t="s">
        <v>232</v>
      </c>
      <c r="D44" s="6" t="s">
        <v>233</v>
      </c>
      <c r="E44" s="6" t="s">
        <v>234</v>
      </c>
      <c r="F44" s="6" t="s">
        <v>235</v>
      </c>
      <c r="G44" s="6"/>
      <c r="H44" s="6"/>
      <c r="I44" s="6"/>
      <c r="J44" s="6" t="s">
        <v>236</v>
      </c>
      <c r="K44" s="7" t="s">
        <v>237</v>
      </c>
      <c r="L44" s="7" t="s">
        <v>238</v>
      </c>
      <c r="M44" s="6" t="s">
        <v>111</v>
      </c>
      <c r="N44" s="9">
        <v>42552</v>
      </c>
      <c r="O44" s="9">
        <v>42735</v>
      </c>
      <c r="P44" s="7" t="s">
        <v>239</v>
      </c>
      <c r="Q44" s="7" t="s">
        <v>52</v>
      </c>
      <c r="R44" s="87">
        <v>0.03</v>
      </c>
      <c r="S44" s="88"/>
      <c r="T44" s="89"/>
      <c r="U44" s="89"/>
      <c r="V44" s="89"/>
      <c r="W44" s="89"/>
      <c r="X44" s="88">
        <v>0.14000000000000001</v>
      </c>
      <c r="Y44" s="89">
        <v>0.14000000000000001</v>
      </c>
      <c r="Z44" s="89">
        <v>0.14000000000000001</v>
      </c>
      <c r="AA44" s="88">
        <v>0.14000000000000001</v>
      </c>
      <c r="AB44" s="88">
        <v>0.14000000000000001</v>
      </c>
      <c r="AC44" s="88">
        <v>0.14000000000000001</v>
      </c>
      <c r="AD44" s="88">
        <v>0.16</v>
      </c>
      <c r="AE44" s="90" t="s">
        <v>53</v>
      </c>
      <c r="AF44" s="88">
        <v>0.14000000000000001</v>
      </c>
      <c r="AG44" s="88">
        <f>14%+14%+14%</f>
        <v>0.42000000000000004</v>
      </c>
      <c r="AH44" s="7" t="s">
        <v>633</v>
      </c>
      <c r="AK44" s="99">
        <f t="shared" si="0"/>
        <v>0.42000000000000004</v>
      </c>
      <c r="AL44" s="99">
        <f t="shared" si="1"/>
        <v>0.42000000000000004</v>
      </c>
    </row>
    <row r="45" spans="2:38" ht="409.5" x14ac:dyDescent="0.25">
      <c r="B45" s="6" t="s">
        <v>231</v>
      </c>
      <c r="C45" s="6" t="s">
        <v>232</v>
      </c>
      <c r="D45" s="6" t="s">
        <v>233</v>
      </c>
      <c r="E45" s="6" t="s">
        <v>234</v>
      </c>
      <c r="F45" s="6" t="s">
        <v>240</v>
      </c>
      <c r="G45" s="6"/>
      <c r="H45" s="6"/>
      <c r="I45" s="6"/>
      <c r="J45" s="6" t="s">
        <v>241</v>
      </c>
      <c r="K45" s="7" t="s">
        <v>242</v>
      </c>
      <c r="L45" s="7" t="s">
        <v>243</v>
      </c>
      <c r="M45" s="6" t="s">
        <v>111</v>
      </c>
      <c r="N45" s="9">
        <v>42552</v>
      </c>
      <c r="O45" s="9">
        <v>42735</v>
      </c>
      <c r="P45" s="7" t="s">
        <v>244</v>
      </c>
      <c r="Q45" s="7" t="s">
        <v>245</v>
      </c>
      <c r="R45" s="87">
        <v>0.03</v>
      </c>
      <c r="S45" s="88"/>
      <c r="T45" s="89"/>
      <c r="U45" s="89"/>
      <c r="V45" s="89"/>
      <c r="W45" s="89"/>
      <c r="X45" s="88">
        <v>0.14000000000000001</v>
      </c>
      <c r="Y45" s="89">
        <v>0.14000000000000001</v>
      </c>
      <c r="Z45" s="89">
        <v>0.14000000000000001</v>
      </c>
      <c r="AA45" s="88">
        <v>0.14000000000000001</v>
      </c>
      <c r="AB45" s="88">
        <v>0.14000000000000001</v>
      </c>
      <c r="AC45" s="88">
        <v>0.14000000000000001</v>
      </c>
      <c r="AD45" s="88">
        <v>0.16</v>
      </c>
      <c r="AE45" s="90" t="s">
        <v>53</v>
      </c>
      <c r="AF45" s="88">
        <v>0.14000000000000001</v>
      </c>
      <c r="AG45" s="88">
        <f>14%+14%+14%</f>
        <v>0.42000000000000004</v>
      </c>
      <c r="AH45" s="92" t="s">
        <v>634</v>
      </c>
      <c r="AK45" s="99">
        <f t="shared" si="0"/>
        <v>0.42000000000000004</v>
      </c>
      <c r="AL45" s="99">
        <f t="shared" si="1"/>
        <v>0.42000000000000004</v>
      </c>
    </row>
    <row r="46" spans="2:38" ht="120" x14ac:dyDescent="0.25">
      <c r="B46" s="6" t="s">
        <v>231</v>
      </c>
      <c r="C46" s="6" t="s">
        <v>232</v>
      </c>
      <c r="D46" s="6" t="s">
        <v>233</v>
      </c>
      <c r="E46" s="6" t="s">
        <v>234</v>
      </c>
      <c r="F46" s="6" t="s">
        <v>235</v>
      </c>
      <c r="G46" s="6"/>
      <c r="H46" s="6"/>
      <c r="I46" s="6"/>
      <c r="J46" s="6" t="s">
        <v>246</v>
      </c>
      <c r="K46" s="7" t="s">
        <v>247</v>
      </c>
      <c r="L46" s="7" t="s">
        <v>248</v>
      </c>
      <c r="M46" s="6" t="s">
        <v>111</v>
      </c>
      <c r="N46" s="9">
        <v>42614</v>
      </c>
      <c r="O46" s="9">
        <v>42705</v>
      </c>
      <c r="P46" s="7" t="s">
        <v>51</v>
      </c>
      <c r="Q46" s="7" t="s">
        <v>52</v>
      </c>
      <c r="R46" s="87">
        <v>0.03</v>
      </c>
      <c r="S46" s="88"/>
      <c r="T46" s="89"/>
      <c r="U46" s="89"/>
      <c r="V46" s="89"/>
      <c r="W46" s="89"/>
      <c r="X46" s="88"/>
      <c r="Y46" s="89"/>
      <c r="Z46" s="89"/>
      <c r="AA46" s="88">
        <v>0.33</v>
      </c>
      <c r="AB46" s="88">
        <v>0.34</v>
      </c>
      <c r="AC46" s="88">
        <v>0.33</v>
      </c>
      <c r="AD46" s="88"/>
      <c r="AE46" s="90"/>
      <c r="AF46" s="88"/>
      <c r="AG46" s="88"/>
      <c r="AH46" s="7"/>
      <c r="AK46" s="99">
        <f t="shared" si="0"/>
        <v>0</v>
      </c>
      <c r="AL46" s="99">
        <f t="shared" si="1"/>
        <v>0</v>
      </c>
    </row>
    <row r="47" spans="2:38" ht="75" x14ac:dyDescent="0.25">
      <c r="B47" s="6" t="s">
        <v>231</v>
      </c>
      <c r="C47" s="6" t="s">
        <v>232</v>
      </c>
      <c r="D47" s="6" t="s">
        <v>233</v>
      </c>
      <c r="E47" s="6" t="s">
        <v>234</v>
      </c>
      <c r="F47" s="6" t="s">
        <v>235</v>
      </c>
      <c r="G47" s="6"/>
      <c r="H47" s="6"/>
      <c r="I47" s="6"/>
      <c r="J47" s="6" t="s">
        <v>249</v>
      </c>
      <c r="K47" s="7" t="s">
        <v>250</v>
      </c>
      <c r="L47" s="7" t="s">
        <v>251</v>
      </c>
      <c r="M47" s="6" t="s">
        <v>252</v>
      </c>
      <c r="N47" s="9">
        <v>42566</v>
      </c>
      <c r="O47" s="9">
        <v>42643</v>
      </c>
      <c r="P47" s="7" t="s">
        <v>184</v>
      </c>
      <c r="Q47" s="7" t="s">
        <v>52</v>
      </c>
      <c r="R47" s="87">
        <v>0.03</v>
      </c>
      <c r="S47" s="88"/>
      <c r="T47" s="89"/>
      <c r="U47" s="89"/>
      <c r="V47" s="89"/>
      <c r="W47" s="89"/>
      <c r="X47" s="88">
        <v>0.25</v>
      </c>
      <c r="Y47" s="89">
        <v>0.25</v>
      </c>
      <c r="Z47" s="89">
        <v>0.25</v>
      </c>
      <c r="AA47" s="88">
        <v>0.25</v>
      </c>
      <c r="AB47" s="88"/>
      <c r="AC47" s="88"/>
      <c r="AD47" s="88"/>
      <c r="AE47" s="90" t="s">
        <v>53</v>
      </c>
      <c r="AF47" s="88">
        <v>0.25</v>
      </c>
      <c r="AG47" s="88">
        <f>25%+25%+25%</f>
        <v>0.75</v>
      </c>
      <c r="AH47" s="7" t="s">
        <v>253</v>
      </c>
      <c r="AK47" s="99">
        <f t="shared" si="0"/>
        <v>0.75</v>
      </c>
      <c r="AL47" s="99">
        <f t="shared" si="1"/>
        <v>0.75</v>
      </c>
    </row>
    <row r="48" spans="2:38" ht="75" x14ac:dyDescent="0.25">
      <c r="B48" s="6" t="s">
        <v>231</v>
      </c>
      <c r="C48" s="6" t="s">
        <v>232</v>
      </c>
      <c r="D48" s="6" t="s">
        <v>233</v>
      </c>
      <c r="E48" s="6" t="s">
        <v>234</v>
      </c>
      <c r="F48" s="6" t="s">
        <v>235</v>
      </c>
      <c r="G48" s="6"/>
      <c r="H48" s="6"/>
      <c r="I48" s="6"/>
      <c r="J48" s="6" t="s">
        <v>254</v>
      </c>
      <c r="K48" s="7" t="s">
        <v>255</v>
      </c>
      <c r="L48" s="7" t="s">
        <v>256</v>
      </c>
      <c r="M48" s="6" t="s">
        <v>252</v>
      </c>
      <c r="N48" s="9">
        <v>42583</v>
      </c>
      <c r="O48" s="9">
        <v>42735</v>
      </c>
      <c r="P48" s="7" t="s">
        <v>184</v>
      </c>
      <c r="Q48" s="7" t="s">
        <v>52</v>
      </c>
      <c r="R48" s="87">
        <v>0.03</v>
      </c>
      <c r="S48" s="88"/>
      <c r="T48" s="89"/>
      <c r="U48" s="89"/>
      <c r="V48" s="89"/>
      <c r="W48" s="89"/>
      <c r="X48" s="88">
        <v>0.15</v>
      </c>
      <c r="Y48" s="89">
        <v>0.15</v>
      </c>
      <c r="Z48" s="89">
        <v>0.15</v>
      </c>
      <c r="AA48" s="88">
        <v>0.15</v>
      </c>
      <c r="AB48" s="88">
        <v>0.15</v>
      </c>
      <c r="AC48" s="88">
        <v>0.15</v>
      </c>
      <c r="AD48" s="88">
        <v>0.1</v>
      </c>
      <c r="AE48" s="90" t="s">
        <v>53</v>
      </c>
      <c r="AF48" s="88">
        <v>0.15</v>
      </c>
      <c r="AG48" s="88">
        <f>15%+15%+15%</f>
        <v>0.44999999999999996</v>
      </c>
      <c r="AH48" s="7" t="s">
        <v>257</v>
      </c>
      <c r="AK48" s="99">
        <f t="shared" si="0"/>
        <v>0.44999999999999996</v>
      </c>
      <c r="AL48" s="99">
        <f t="shared" si="1"/>
        <v>0.44999999999999996</v>
      </c>
    </row>
    <row r="49" spans="2:38" ht="213.75" x14ac:dyDescent="0.25">
      <c r="B49" s="6" t="s">
        <v>231</v>
      </c>
      <c r="C49" s="6" t="s">
        <v>232</v>
      </c>
      <c r="D49" s="6" t="s">
        <v>233</v>
      </c>
      <c r="E49" s="6" t="s">
        <v>234</v>
      </c>
      <c r="F49" s="6" t="s">
        <v>235</v>
      </c>
      <c r="G49" s="6"/>
      <c r="H49" s="6"/>
      <c r="I49" s="6"/>
      <c r="J49" s="6" t="s">
        <v>258</v>
      </c>
      <c r="K49" s="7" t="s">
        <v>259</v>
      </c>
      <c r="L49" s="7" t="s">
        <v>260</v>
      </c>
      <c r="M49" s="6" t="s">
        <v>252</v>
      </c>
      <c r="N49" s="9">
        <v>42583</v>
      </c>
      <c r="O49" s="9">
        <v>42735</v>
      </c>
      <c r="P49" s="7" t="s">
        <v>261</v>
      </c>
      <c r="Q49" s="7" t="s">
        <v>52</v>
      </c>
      <c r="R49" s="87">
        <v>0.03</v>
      </c>
      <c r="S49" s="88"/>
      <c r="T49" s="89"/>
      <c r="U49" s="89"/>
      <c r="V49" s="89"/>
      <c r="W49" s="89"/>
      <c r="X49" s="88"/>
      <c r="Y49" s="89"/>
      <c r="Z49" s="89"/>
      <c r="AA49" s="88"/>
      <c r="AB49" s="88">
        <v>0.3</v>
      </c>
      <c r="AC49" s="88">
        <v>0.3</v>
      </c>
      <c r="AD49" s="88">
        <v>0.4</v>
      </c>
      <c r="AE49" s="90" t="s">
        <v>53</v>
      </c>
      <c r="AF49" s="88">
        <v>1</v>
      </c>
      <c r="AG49" s="88">
        <v>1</v>
      </c>
      <c r="AH49" s="16" t="s">
        <v>262</v>
      </c>
      <c r="AK49" s="99">
        <f t="shared" si="0"/>
        <v>0</v>
      </c>
      <c r="AL49" s="99">
        <f t="shared" si="1"/>
        <v>1</v>
      </c>
    </row>
    <row r="50" spans="2:38" ht="75" x14ac:dyDescent="0.25">
      <c r="B50" s="6" t="s">
        <v>231</v>
      </c>
      <c r="C50" s="6" t="s">
        <v>232</v>
      </c>
      <c r="D50" s="6" t="s">
        <v>233</v>
      </c>
      <c r="E50" s="6" t="s">
        <v>234</v>
      </c>
      <c r="F50" s="6" t="s">
        <v>235</v>
      </c>
      <c r="G50" s="6"/>
      <c r="H50" s="6"/>
      <c r="I50" s="6"/>
      <c r="J50" s="6" t="s">
        <v>263</v>
      </c>
      <c r="K50" s="7" t="s">
        <v>264</v>
      </c>
      <c r="L50" s="7" t="s">
        <v>265</v>
      </c>
      <c r="M50" s="6" t="s">
        <v>252</v>
      </c>
      <c r="N50" s="9">
        <v>42644</v>
      </c>
      <c r="O50" s="9">
        <v>42735</v>
      </c>
      <c r="P50" s="7" t="s">
        <v>52</v>
      </c>
      <c r="Q50" s="7" t="s">
        <v>52</v>
      </c>
      <c r="R50" s="87">
        <v>0.03</v>
      </c>
      <c r="S50" s="88"/>
      <c r="T50" s="89"/>
      <c r="U50" s="89"/>
      <c r="V50" s="89"/>
      <c r="W50" s="89"/>
      <c r="X50" s="88"/>
      <c r="Y50" s="89"/>
      <c r="Z50" s="89"/>
      <c r="AA50" s="88"/>
      <c r="AB50" s="88">
        <v>0.3</v>
      </c>
      <c r="AC50" s="88">
        <v>0.3</v>
      </c>
      <c r="AD50" s="88">
        <v>0.4</v>
      </c>
      <c r="AE50" s="90"/>
      <c r="AF50" s="88"/>
      <c r="AG50" s="88"/>
      <c r="AH50" s="7" t="s">
        <v>266</v>
      </c>
      <c r="AK50" s="99">
        <f t="shared" si="0"/>
        <v>0</v>
      </c>
      <c r="AL50" s="99">
        <f t="shared" si="1"/>
        <v>0</v>
      </c>
    </row>
    <row r="51" spans="2:38" ht="75" x14ac:dyDescent="0.25">
      <c r="B51" s="6" t="s">
        <v>231</v>
      </c>
      <c r="C51" s="6" t="s">
        <v>232</v>
      </c>
      <c r="D51" s="6" t="s">
        <v>233</v>
      </c>
      <c r="E51" s="6" t="s">
        <v>234</v>
      </c>
      <c r="F51" s="6" t="s">
        <v>235</v>
      </c>
      <c r="G51" s="6"/>
      <c r="H51" s="6"/>
      <c r="I51" s="6"/>
      <c r="J51" s="6" t="s">
        <v>263</v>
      </c>
      <c r="K51" s="7" t="s">
        <v>267</v>
      </c>
      <c r="L51" s="7" t="s">
        <v>268</v>
      </c>
      <c r="M51" s="6" t="s">
        <v>252</v>
      </c>
      <c r="N51" s="9">
        <v>42597</v>
      </c>
      <c r="O51" s="9">
        <v>42658</v>
      </c>
      <c r="P51" s="7" t="s">
        <v>52</v>
      </c>
      <c r="Q51" s="7" t="s">
        <v>52</v>
      </c>
      <c r="R51" s="87">
        <v>0.03</v>
      </c>
      <c r="S51" s="88"/>
      <c r="T51" s="89"/>
      <c r="U51" s="89"/>
      <c r="V51" s="89"/>
      <c r="W51" s="89"/>
      <c r="X51" s="88"/>
      <c r="Y51" s="89"/>
      <c r="Z51" s="89">
        <v>0.5</v>
      </c>
      <c r="AA51" s="88">
        <v>0.5</v>
      </c>
      <c r="AB51" s="88"/>
      <c r="AC51" s="88"/>
      <c r="AD51" s="88"/>
      <c r="AE51" s="90" t="s">
        <v>53</v>
      </c>
      <c r="AF51" s="88">
        <v>0.5</v>
      </c>
      <c r="AG51" s="88">
        <v>0.5</v>
      </c>
      <c r="AH51" s="7" t="s">
        <v>269</v>
      </c>
      <c r="AK51" s="99">
        <f t="shared" si="0"/>
        <v>0.5</v>
      </c>
      <c r="AL51" s="99">
        <f t="shared" si="1"/>
        <v>0.5</v>
      </c>
    </row>
    <row r="52" spans="2:38" ht="75" x14ac:dyDescent="0.25">
      <c r="B52" s="6" t="s">
        <v>231</v>
      </c>
      <c r="C52" s="6" t="s">
        <v>232</v>
      </c>
      <c r="D52" s="6" t="s">
        <v>233</v>
      </c>
      <c r="E52" s="6" t="s">
        <v>234</v>
      </c>
      <c r="F52" s="6" t="s">
        <v>235</v>
      </c>
      <c r="G52" s="6"/>
      <c r="H52" s="6"/>
      <c r="I52" s="6"/>
      <c r="J52" s="6" t="s">
        <v>270</v>
      </c>
      <c r="K52" s="7" t="s">
        <v>271</v>
      </c>
      <c r="L52" s="7" t="s">
        <v>268</v>
      </c>
      <c r="M52" s="6" t="s">
        <v>252</v>
      </c>
      <c r="N52" s="9">
        <v>42583</v>
      </c>
      <c r="O52" s="9">
        <v>42735</v>
      </c>
      <c r="P52" s="7" t="s">
        <v>52</v>
      </c>
      <c r="Q52" s="7" t="s">
        <v>52</v>
      </c>
      <c r="R52" s="87">
        <v>0.03</v>
      </c>
      <c r="S52" s="88"/>
      <c r="T52" s="89"/>
      <c r="U52" s="89"/>
      <c r="V52" s="89"/>
      <c r="W52" s="89"/>
      <c r="X52" s="88"/>
      <c r="Y52" s="89"/>
      <c r="Z52" s="89">
        <v>0.2</v>
      </c>
      <c r="AA52" s="88">
        <v>0.2</v>
      </c>
      <c r="AB52" s="88">
        <v>0.2</v>
      </c>
      <c r="AC52" s="88">
        <v>0.2</v>
      </c>
      <c r="AD52" s="88">
        <v>0.2</v>
      </c>
      <c r="AE52" s="90" t="s">
        <v>53</v>
      </c>
      <c r="AF52" s="88">
        <v>0.2</v>
      </c>
      <c r="AG52" s="88">
        <v>0.2</v>
      </c>
      <c r="AH52" s="7" t="s">
        <v>272</v>
      </c>
      <c r="AK52" s="99">
        <f t="shared" si="0"/>
        <v>0.2</v>
      </c>
      <c r="AL52" s="99">
        <f t="shared" si="1"/>
        <v>0.2</v>
      </c>
    </row>
    <row r="53" spans="2:38" ht="75" x14ac:dyDescent="0.25">
      <c r="B53" s="6" t="s">
        <v>231</v>
      </c>
      <c r="C53" s="6" t="s">
        <v>232</v>
      </c>
      <c r="D53" s="6" t="s">
        <v>233</v>
      </c>
      <c r="E53" s="6" t="s">
        <v>234</v>
      </c>
      <c r="F53" s="6" t="s">
        <v>235</v>
      </c>
      <c r="G53" s="6"/>
      <c r="H53" s="6"/>
      <c r="I53" s="6"/>
      <c r="J53" s="6" t="s">
        <v>270</v>
      </c>
      <c r="K53" s="7" t="s">
        <v>273</v>
      </c>
      <c r="L53" s="7" t="s">
        <v>268</v>
      </c>
      <c r="M53" s="6" t="s">
        <v>252</v>
      </c>
      <c r="N53" s="9">
        <v>42583</v>
      </c>
      <c r="O53" s="9">
        <v>42735</v>
      </c>
      <c r="P53" s="7" t="s">
        <v>52</v>
      </c>
      <c r="Q53" s="7" t="s">
        <v>52</v>
      </c>
      <c r="R53" s="87">
        <v>0.03</v>
      </c>
      <c r="S53" s="88"/>
      <c r="T53" s="89"/>
      <c r="U53" s="89"/>
      <c r="V53" s="89"/>
      <c r="W53" s="89"/>
      <c r="X53" s="88"/>
      <c r="Y53" s="89"/>
      <c r="Z53" s="89">
        <v>0.2</v>
      </c>
      <c r="AA53" s="88">
        <v>0.2</v>
      </c>
      <c r="AB53" s="88">
        <v>0.2</v>
      </c>
      <c r="AC53" s="88">
        <v>0.2</v>
      </c>
      <c r="AD53" s="88">
        <v>0.2</v>
      </c>
      <c r="AE53" s="90" t="s">
        <v>53</v>
      </c>
      <c r="AF53" s="88">
        <v>0.2</v>
      </c>
      <c r="AG53" s="88">
        <v>0.2</v>
      </c>
      <c r="AH53" s="7" t="s">
        <v>274</v>
      </c>
      <c r="AK53" s="99">
        <f t="shared" si="0"/>
        <v>0.2</v>
      </c>
      <c r="AL53" s="99">
        <f t="shared" si="1"/>
        <v>0.2</v>
      </c>
    </row>
    <row r="54" spans="2:38" ht="75" x14ac:dyDescent="0.25">
      <c r="B54" s="6" t="s">
        <v>231</v>
      </c>
      <c r="C54" s="6" t="s">
        <v>232</v>
      </c>
      <c r="D54" s="6" t="s">
        <v>233</v>
      </c>
      <c r="E54" s="6" t="s">
        <v>234</v>
      </c>
      <c r="F54" s="6" t="s">
        <v>235</v>
      </c>
      <c r="G54" s="6"/>
      <c r="H54" s="6"/>
      <c r="I54" s="6"/>
      <c r="J54" s="6" t="s">
        <v>270</v>
      </c>
      <c r="K54" s="7" t="s">
        <v>275</v>
      </c>
      <c r="L54" s="7" t="s">
        <v>268</v>
      </c>
      <c r="M54" s="6" t="s">
        <v>252</v>
      </c>
      <c r="N54" s="9">
        <v>42614</v>
      </c>
      <c r="O54" s="9">
        <v>42735</v>
      </c>
      <c r="P54" s="7" t="s">
        <v>52</v>
      </c>
      <c r="Q54" s="7" t="s">
        <v>52</v>
      </c>
      <c r="R54" s="87">
        <v>0.03</v>
      </c>
      <c r="S54" s="88"/>
      <c r="T54" s="89"/>
      <c r="U54" s="89"/>
      <c r="V54" s="89"/>
      <c r="W54" s="89"/>
      <c r="X54" s="88"/>
      <c r="Y54" s="89"/>
      <c r="Z54" s="89"/>
      <c r="AA54" s="88">
        <v>0.25</v>
      </c>
      <c r="AB54" s="87">
        <v>0.25</v>
      </c>
      <c r="AC54" s="87">
        <v>0.25</v>
      </c>
      <c r="AD54" s="88">
        <v>0.25</v>
      </c>
      <c r="AE54" s="90"/>
      <c r="AF54" s="88"/>
      <c r="AG54" s="88"/>
      <c r="AH54" s="7"/>
      <c r="AK54" s="99">
        <f t="shared" si="0"/>
        <v>0</v>
      </c>
      <c r="AL54" s="99">
        <f t="shared" si="1"/>
        <v>0</v>
      </c>
    </row>
    <row r="55" spans="2:38" ht="75" x14ac:dyDescent="0.25">
      <c r="B55" s="6" t="s">
        <v>231</v>
      </c>
      <c r="C55" s="6" t="s">
        <v>232</v>
      </c>
      <c r="D55" s="6" t="s">
        <v>233</v>
      </c>
      <c r="E55" s="6" t="s">
        <v>234</v>
      </c>
      <c r="F55" s="6" t="s">
        <v>382</v>
      </c>
      <c r="G55" s="6"/>
      <c r="H55" s="6"/>
      <c r="I55" s="6"/>
      <c r="J55" s="6" t="s">
        <v>276</v>
      </c>
      <c r="K55" s="7" t="s">
        <v>277</v>
      </c>
      <c r="L55" s="7" t="s">
        <v>278</v>
      </c>
      <c r="M55" s="6" t="s">
        <v>184</v>
      </c>
      <c r="N55" s="9">
        <v>42552</v>
      </c>
      <c r="O55" s="9">
        <v>42735</v>
      </c>
      <c r="P55" s="7" t="s">
        <v>279</v>
      </c>
      <c r="Q55" s="7" t="s">
        <v>280</v>
      </c>
      <c r="R55" s="87">
        <v>0.03</v>
      </c>
      <c r="S55" s="88"/>
      <c r="T55" s="89"/>
      <c r="U55" s="89"/>
      <c r="V55" s="89"/>
      <c r="W55" s="89"/>
      <c r="X55" s="88"/>
      <c r="Y55" s="89">
        <v>0.16</v>
      </c>
      <c r="Z55" s="89">
        <v>0.16</v>
      </c>
      <c r="AA55" s="88">
        <v>0.17</v>
      </c>
      <c r="AB55" s="87">
        <v>0.17</v>
      </c>
      <c r="AC55" s="87">
        <v>0.17</v>
      </c>
      <c r="AD55" s="88">
        <v>0.17</v>
      </c>
      <c r="AE55" s="90" t="s">
        <v>53</v>
      </c>
      <c r="AF55" s="88">
        <v>0.08</v>
      </c>
      <c r="AG55" s="88">
        <f>10%+8%</f>
        <v>0.18</v>
      </c>
      <c r="AH55" s="8" t="s">
        <v>281</v>
      </c>
      <c r="AK55" s="99">
        <f t="shared" si="0"/>
        <v>0.32</v>
      </c>
      <c r="AL55" s="99">
        <f t="shared" si="1"/>
        <v>0.18</v>
      </c>
    </row>
    <row r="56" spans="2:38" ht="75" x14ac:dyDescent="0.25">
      <c r="B56" s="6" t="s">
        <v>231</v>
      </c>
      <c r="C56" s="6" t="s">
        <v>232</v>
      </c>
      <c r="D56" s="6" t="s">
        <v>233</v>
      </c>
      <c r="E56" s="6" t="s">
        <v>234</v>
      </c>
      <c r="F56" s="6" t="s">
        <v>235</v>
      </c>
      <c r="G56" s="6"/>
      <c r="H56" s="6"/>
      <c r="I56" s="6"/>
      <c r="J56" s="6" t="s">
        <v>282</v>
      </c>
      <c r="K56" s="7" t="s">
        <v>283</v>
      </c>
      <c r="L56" s="7" t="s">
        <v>284</v>
      </c>
      <c r="M56" s="6" t="s">
        <v>184</v>
      </c>
      <c r="N56" s="9">
        <v>42552</v>
      </c>
      <c r="O56" s="9">
        <v>42735</v>
      </c>
      <c r="P56" s="7" t="s">
        <v>111</v>
      </c>
      <c r="Q56" s="7" t="s">
        <v>52</v>
      </c>
      <c r="R56" s="87">
        <v>0.03</v>
      </c>
      <c r="S56" s="88"/>
      <c r="T56" s="89"/>
      <c r="U56" s="89"/>
      <c r="V56" s="89"/>
      <c r="W56" s="89"/>
      <c r="X56" s="88"/>
      <c r="Y56" s="89">
        <v>0.16</v>
      </c>
      <c r="Z56" s="89">
        <v>0.16</v>
      </c>
      <c r="AA56" s="88">
        <v>0.17</v>
      </c>
      <c r="AB56" s="87">
        <v>0.17</v>
      </c>
      <c r="AC56" s="87">
        <v>0.17</v>
      </c>
      <c r="AD56" s="88">
        <v>0.17</v>
      </c>
      <c r="AE56" s="90" t="s">
        <v>53</v>
      </c>
      <c r="AF56" s="88">
        <v>0.1</v>
      </c>
      <c r="AG56" s="88">
        <f>10%+10%</f>
        <v>0.2</v>
      </c>
      <c r="AH56" s="8" t="s">
        <v>285</v>
      </c>
      <c r="AK56" s="99">
        <f t="shared" si="0"/>
        <v>0.32</v>
      </c>
      <c r="AL56" s="99">
        <f t="shared" si="1"/>
        <v>0.2</v>
      </c>
    </row>
    <row r="57" spans="2:38" ht="75" x14ac:dyDescent="0.25">
      <c r="B57" s="6" t="s">
        <v>231</v>
      </c>
      <c r="C57" s="6" t="s">
        <v>232</v>
      </c>
      <c r="D57" s="6" t="s">
        <v>233</v>
      </c>
      <c r="E57" s="6" t="s">
        <v>234</v>
      </c>
      <c r="F57" s="6" t="s">
        <v>235</v>
      </c>
      <c r="G57" s="6"/>
      <c r="H57" s="6"/>
      <c r="I57" s="6"/>
      <c r="J57" s="6" t="s">
        <v>286</v>
      </c>
      <c r="K57" s="7" t="s">
        <v>287</v>
      </c>
      <c r="L57" s="7" t="s">
        <v>288</v>
      </c>
      <c r="M57" s="6" t="s">
        <v>184</v>
      </c>
      <c r="N57" s="9">
        <v>42552</v>
      </c>
      <c r="O57" s="9">
        <v>42735</v>
      </c>
      <c r="P57" s="7" t="s">
        <v>289</v>
      </c>
      <c r="Q57" s="7" t="s">
        <v>52</v>
      </c>
      <c r="R57" s="87">
        <v>0.03</v>
      </c>
      <c r="S57" s="88"/>
      <c r="T57" s="89"/>
      <c r="U57" s="89"/>
      <c r="V57" s="89"/>
      <c r="W57" s="89"/>
      <c r="X57" s="88"/>
      <c r="Y57" s="89">
        <v>0.16</v>
      </c>
      <c r="Z57" s="89">
        <v>0.16</v>
      </c>
      <c r="AA57" s="88">
        <v>0.17</v>
      </c>
      <c r="AB57" s="87">
        <v>0.17</v>
      </c>
      <c r="AC57" s="87">
        <v>0.17</v>
      </c>
      <c r="AD57" s="88">
        <v>0.17</v>
      </c>
      <c r="AE57" s="90" t="s">
        <v>53</v>
      </c>
      <c r="AF57" s="88">
        <v>0.1</v>
      </c>
      <c r="AG57" s="88">
        <f>10%+10%</f>
        <v>0.2</v>
      </c>
      <c r="AH57" s="8" t="s">
        <v>285</v>
      </c>
      <c r="AK57" s="99">
        <f t="shared" si="0"/>
        <v>0.32</v>
      </c>
      <c r="AL57" s="99">
        <f t="shared" si="1"/>
        <v>0.2</v>
      </c>
    </row>
    <row r="58" spans="2:38" ht="127.5" x14ac:dyDescent="0.25">
      <c r="B58" s="6" t="s">
        <v>231</v>
      </c>
      <c r="C58" s="6" t="s">
        <v>232</v>
      </c>
      <c r="D58" s="6" t="s">
        <v>233</v>
      </c>
      <c r="E58" s="6" t="s">
        <v>234</v>
      </c>
      <c r="F58" s="6" t="s">
        <v>382</v>
      </c>
      <c r="G58" s="6"/>
      <c r="H58" s="6"/>
      <c r="I58" s="6"/>
      <c r="J58" s="6" t="s">
        <v>290</v>
      </c>
      <c r="K58" s="7" t="s">
        <v>291</v>
      </c>
      <c r="L58" s="7" t="s">
        <v>292</v>
      </c>
      <c r="M58" s="6" t="s">
        <v>184</v>
      </c>
      <c r="N58" s="9">
        <v>42552</v>
      </c>
      <c r="O58" s="9">
        <v>42735</v>
      </c>
      <c r="P58" s="7" t="s">
        <v>52</v>
      </c>
      <c r="Q58" s="7" t="s">
        <v>52</v>
      </c>
      <c r="R58" s="87">
        <v>0.03</v>
      </c>
      <c r="S58" s="88"/>
      <c r="T58" s="89"/>
      <c r="U58" s="89"/>
      <c r="V58" s="89"/>
      <c r="W58" s="89"/>
      <c r="X58" s="88"/>
      <c r="Y58" s="89">
        <v>0.16</v>
      </c>
      <c r="Z58" s="89">
        <v>0.16</v>
      </c>
      <c r="AA58" s="88">
        <v>0.17</v>
      </c>
      <c r="AB58" s="87">
        <v>0.17</v>
      </c>
      <c r="AC58" s="87">
        <v>0.17</v>
      </c>
      <c r="AD58" s="88">
        <v>0.17</v>
      </c>
      <c r="AE58" s="90" t="s">
        <v>53</v>
      </c>
      <c r="AF58" s="88">
        <v>0.16</v>
      </c>
      <c r="AG58" s="88">
        <f>16%+16%</f>
        <v>0.32</v>
      </c>
      <c r="AH58" s="8" t="s">
        <v>293</v>
      </c>
      <c r="AK58" s="99">
        <f t="shared" si="0"/>
        <v>0.32</v>
      </c>
      <c r="AL58" s="99">
        <f t="shared" si="1"/>
        <v>0.32</v>
      </c>
    </row>
    <row r="59" spans="2:38" ht="114.75" x14ac:dyDescent="0.25">
      <c r="B59" s="6" t="s">
        <v>231</v>
      </c>
      <c r="C59" s="6" t="s">
        <v>232</v>
      </c>
      <c r="D59" s="6" t="s">
        <v>233</v>
      </c>
      <c r="E59" s="6" t="s">
        <v>234</v>
      </c>
      <c r="F59" s="6" t="s">
        <v>382</v>
      </c>
      <c r="G59" s="6"/>
      <c r="H59" s="6"/>
      <c r="I59" s="6"/>
      <c r="J59" s="6" t="s">
        <v>294</v>
      </c>
      <c r="K59" s="7" t="s">
        <v>295</v>
      </c>
      <c r="L59" s="7" t="s">
        <v>296</v>
      </c>
      <c r="M59" s="6" t="s">
        <v>184</v>
      </c>
      <c r="N59" s="9">
        <v>42552</v>
      </c>
      <c r="O59" s="9">
        <v>42735</v>
      </c>
      <c r="P59" s="7" t="s">
        <v>297</v>
      </c>
      <c r="Q59" s="7" t="s">
        <v>52</v>
      </c>
      <c r="R59" s="87">
        <v>0.03</v>
      </c>
      <c r="S59" s="88"/>
      <c r="T59" s="89"/>
      <c r="U59" s="89"/>
      <c r="V59" s="89"/>
      <c r="W59" s="89"/>
      <c r="X59" s="88"/>
      <c r="Y59" s="89">
        <v>0.16</v>
      </c>
      <c r="Z59" s="89">
        <v>0.16</v>
      </c>
      <c r="AA59" s="88">
        <v>0.17</v>
      </c>
      <c r="AB59" s="87">
        <v>0.17</v>
      </c>
      <c r="AC59" s="87">
        <v>0.17</v>
      </c>
      <c r="AD59" s="88">
        <v>0.17</v>
      </c>
      <c r="AE59" s="90" t="s">
        <v>53</v>
      </c>
      <c r="AF59" s="88">
        <v>0.16</v>
      </c>
      <c r="AG59" s="88">
        <f>3%+16%</f>
        <v>0.19</v>
      </c>
      <c r="AH59" s="8" t="s">
        <v>298</v>
      </c>
      <c r="AK59" s="99">
        <f t="shared" si="0"/>
        <v>0.32</v>
      </c>
      <c r="AL59" s="99">
        <f t="shared" si="1"/>
        <v>0.19</v>
      </c>
    </row>
    <row r="60" spans="2:38" ht="75" x14ac:dyDescent="0.25">
      <c r="B60" s="6" t="s">
        <v>231</v>
      </c>
      <c r="C60" s="6" t="s">
        <v>232</v>
      </c>
      <c r="D60" s="6" t="s">
        <v>233</v>
      </c>
      <c r="E60" s="6" t="s">
        <v>234</v>
      </c>
      <c r="F60" s="6" t="s">
        <v>235</v>
      </c>
      <c r="G60" s="6"/>
      <c r="H60" s="6"/>
      <c r="I60" s="6"/>
      <c r="J60" s="6" t="s">
        <v>299</v>
      </c>
      <c r="K60" s="7" t="s">
        <v>300</v>
      </c>
      <c r="L60" s="7"/>
      <c r="M60" s="6" t="s">
        <v>184</v>
      </c>
      <c r="N60" s="9">
        <v>42552</v>
      </c>
      <c r="O60" s="9">
        <v>42735</v>
      </c>
      <c r="P60" s="7" t="s">
        <v>297</v>
      </c>
      <c r="Q60" s="7" t="s">
        <v>52</v>
      </c>
      <c r="R60" s="87">
        <v>0.03</v>
      </c>
      <c r="S60" s="88"/>
      <c r="T60" s="89"/>
      <c r="U60" s="89"/>
      <c r="V60" s="89"/>
      <c r="W60" s="89"/>
      <c r="X60" s="88"/>
      <c r="Y60" s="89">
        <v>0.16</v>
      </c>
      <c r="Z60" s="89">
        <v>0.16</v>
      </c>
      <c r="AA60" s="88">
        <v>0.17</v>
      </c>
      <c r="AB60" s="87">
        <v>0.17</v>
      </c>
      <c r="AC60" s="87">
        <v>0.17</v>
      </c>
      <c r="AD60" s="88">
        <v>0.17</v>
      </c>
      <c r="AE60" s="90" t="s">
        <v>53</v>
      </c>
      <c r="AF60" s="88">
        <v>0.16</v>
      </c>
      <c r="AG60" s="88">
        <f>16%+16%</f>
        <v>0.32</v>
      </c>
      <c r="AH60" s="7" t="s">
        <v>301</v>
      </c>
      <c r="AK60" s="99">
        <f t="shared" si="0"/>
        <v>0.32</v>
      </c>
      <c r="AL60" s="99">
        <f t="shared" si="1"/>
        <v>0.32</v>
      </c>
    </row>
    <row r="61" spans="2:38" ht="75" x14ac:dyDescent="0.25">
      <c r="B61" s="6" t="s">
        <v>231</v>
      </c>
      <c r="C61" s="6" t="s">
        <v>232</v>
      </c>
      <c r="D61" s="6" t="s">
        <v>233</v>
      </c>
      <c r="E61" s="6" t="s">
        <v>234</v>
      </c>
      <c r="F61" s="6" t="s">
        <v>302</v>
      </c>
      <c r="G61" s="6"/>
      <c r="H61" s="6"/>
      <c r="I61" s="6"/>
      <c r="J61" s="6" t="s">
        <v>303</v>
      </c>
      <c r="K61" s="7" t="s">
        <v>304</v>
      </c>
      <c r="L61" s="7" t="s">
        <v>305</v>
      </c>
      <c r="M61" s="6" t="s">
        <v>184</v>
      </c>
      <c r="N61" s="9">
        <v>42552</v>
      </c>
      <c r="O61" s="9">
        <v>42735</v>
      </c>
      <c r="P61" s="7" t="s">
        <v>289</v>
      </c>
      <c r="Q61" s="7" t="s">
        <v>52</v>
      </c>
      <c r="R61" s="87">
        <v>0.03</v>
      </c>
      <c r="S61" s="88"/>
      <c r="T61" s="89"/>
      <c r="U61" s="89"/>
      <c r="V61" s="89"/>
      <c r="W61" s="89"/>
      <c r="X61" s="88"/>
      <c r="Y61" s="89">
        <v>0.16</v>
      </c>
      <c r="Z61" s="89">
        <v>0.16</v>
      </c>
      <c r="AA61" s="88">
        <v>0.17</v>
      </c>
      <c r="AB61" s="87">
        <v>0.17</v>
      </c>
      <c r="AC61" s="87">
        <v>0.17</v>
      </c>
      <c r="AD61" s="88">
        <v>0.17</v>
      </c>
      <c r="AE61" s="90" t="s">
        <v>53</v>
      </c>
      <c r="AF61" s="88">
        <v>0.16</v>
      </c>
      <c r="AG61" s="88">
        <f>16%+16%</f>
        <v>0.32</v>
      </c>
      <c r="AH61" s="7" t="s">
        <v>306</v>
      </c>
      <c r="AK61" s="99">
        <f t="shared" si="0"/>
        <v>0.32</v>
      </c>
      <c r="AL61" s="99">
        <f t="shared" si="1"/>
        <v>0.32</v>
      </c>
    </row>
    <row r="62" spans="2:38" ht="75" x14ac:dyDescent="0.25">
      <c r="B62" s="6" t="s">
        <v>231</v>
      </c>
      <c r="C62" s="6" t="s">
        <v>232</v>
      </c>
      <c r="D62" s="6" t="s">
        <v>233</v>
      </c>
      <c r="E62" s="6" t="s">
        <v>234</v>
      </c>
      <c r="F62" s="6" t="s">
        <v>307</v>
      </c>
      <c r="G62" s="6"/>
      <c r="H62" s="6"/>
      <c r="I62" s="6"/>
      <c r="J62" s="6" t="s">
        <v>308</v>
      </c>
      <c r="K62" s="7" t="s">
        <v>309</v>
      </c>
      <c r="L62" s="7" t="s">
        <v>310</v>
      </c>
      <c r="M62" s="6" t="s">
        <v>184</v>
      </c>
      <c r="N62" s="9">
        <v>42552</v>
      </c>
      <c r="O62" s="9">
        <v>42735</v>
      </c>
      <c r="P62" s="7" t="s">
        <v>289</v>
      </c>
      <c r="Q62" s="7" t="s">
        <v>52</v>
      </c>
      <c r="R62" s="87">
        <v>0.03</v>
      </c>
      <c r="S62" s="88"/>
      <c r="T62" s="89"/>
      <c r="U62" s="89"/>
      <c r="V62" s="89"/>
      <c r="W62" s="89"/>
      <c r="X62" s="88"/>
      <c r="Y62" s="89">
        <v>0.16</v>
      </c>
      <c r="Z62" s="89">
        <v>0.16</v>
      </c>
      <c r="AA62" s="88">
        <v>0.17</v>
      </c>
      <c r="AB62" s="87">
        <v>0.17</v>
      </c>
      <c r="AC62" s="87">
        <v>0.17</v>
      </c>
      <c r="AD62" s="88">
        <v>0.17</v>
      </c>
      <c r="AE62" s="90" t="s">
        <v>53</v>
      </c>
      <c r="AF62" s="88">
        <v>0.16</v>
      </c>
      <c r="AG62" s="88">
        <f>16%+16%</f>
        <v>0.32</v>
      </c>
      <c r="AH62" s="7" t="s">
        <v>311</v>
      </c>
      <c r="AK62" s="99">
        <f t="shared" si="0"/>
        <v>0.32</v>
      </c>
      <c r="AL62" s="99">
        <f t="shared" si="1"/>
        <v>0.32</v>
      </c>
    </row>
    <row r="63" spans="2:38" ht="128.25" customHeight="1" x14ac:dyDescent="0.25">
      <c r="B63" s="6" t="s">
        <v>231</v>
      </c>
      <c r="C63" s="6" t="s">
        <v>232</v>
      </c>
      <c r="D63" s="6" t="s">
        <v>233</v>
      </c>
      <c r="E63" s="6" t="s">
        <v>234</v>
      </c>
      <c r="F63" s="6" t="s">
        <v>307</v>
      </c>
      <c r="G63" s="6"/>
      <c r="H63" s="6"/>
      <c r="I63" s="6"/>
      <c r="J63" s="6" t="s">
        <v>312</v>
      </c>
      <c r="K63" s="7" t="s">
        <v>313</v>
      </c>
      <c r="L63" s="7" t="s">
        <v>314</v>
      </c>
      <c r="M63" s="6" t="s">
        <v>184</v>
      </c>
      <c r="N63" s="9">
        <v>42552</v>
      </c>
      <c r="O63" s="9">
        <v>42735</v>
      </c>
      <c r="P63" s="7" t="s">
        <v>315</v>
      </c>
      <c r="Q63" s="7" t="s">
        <v>316</v>
      </c>
      <c r="R63" s="87">
        <v>0.03</v>
      </c>
      <c r="S63" s="88"/>
      <c r="T63" s="89"/>
      <c r="U63" s="89"/>
      <c r="V63" s="89"/>
      <c r="W63" s="89"/>
      <c r="X63" s="88"/>
      <c r="Y63" s="89">
        <v>0.16</v>
      </c>
      <c r="Z63" s="89">
        <v>0.16</v>
      </c>
      <c r="AA63" s="88">
        <v>0.17</v>
      </c>
      <c r="AB63" s="87">
        <v>0.17</v>
      </c>
      <c r="AC63" s="87">
        <v>0.17</v>
      </c>
      <c r="AD63" s="88">
        <v>0.17</v>
      </c>
      <c r="AE63" s="90" t="s">
        <v>53</v>
      </c>
      <c r="AF63" s="88">
        <v>0.16</v>
      </c>
      <c r="AG63" s="88">
        <f>16%+16%</f>
        <v>0.32</v>
      </c>
      <c r="AH63" s="16" t="s">
        <v>635</v>
      </c>
      <c r="AK63" s="99">
        <f t="shared" si="0"/>
        <v>0.32</v>
      </c>
      <c r="AL63" s="99">
        <f t="shared" si="1"/>
        <v>0.32</v>
      </c>
    </row>
    <row r="64" spans="2:38" ht="87" x14ac:dyDescent="0.25">
      <c r="B64" s="6" t="s">
        <v>231</v>
      </c>
      <c r="C64" s="6" t="s">
        <v>232</v>
      </c>
      <c r="D64" s="6" t="s">
        <v>233</v>
      </c>
      <c r="E64" s="6" t="s">
        <v>234</v>
      </c>
      <c r="F64" s="6" t="s">
        <v>235</v>
      </c>
      <c r="G64" s="6"/>
      <c r="H64" s="6"/>
      <c r="I64" s="6"/>
      <c r="J64" s="6" t="s">
        <v>317</v>
      </c>
      <c r="K64" s="7" t="s">
        <v>318</v>
      </c>
      <c r="L64" s="7" t="s">
        <v>319</v>
      </c>
      <c r="M64" s="6" t="s">
        <v>184</v>
      </c>
      <c r="N64" s="9">
        <v>42552</v>
      </c>
      <c r="O64" s="9">
        <v>42735</v>
      </c>
      <c r="P64" s="7" t="s">
        <v>52</v>
      </c>
      <c r="Q64" s="7" t="s">
        <v>52</v>
      </c>
      <c r="R64" s="87">
        <v>0.03</v>
      </c>
      <c r="S64" s="88"/>
      <c r="T64" s="89"/>
      <c r="U64" s="89"/>
      <c r="V64" s="89"/>
      <c r="W64" s="89"/>
      <c r="X64" s="88"/>
      <c r="Y64" s="89">
        <v>0.16</v>
      </c>
      <c r="Z64" s="89">
        <v>0.16</v>
      </c>
      <c r="AA64" s="88">
        <v>0.17</v>
      </c>
      <c r="AB64" s="87">
        <v>0.17</v>
      </c>
      <c r="AC64" s="87">
        <v>0.17</v>
      </c>
      <c r="AD64" s="88">
        <v>0.17</v>
      </c>
      <c r="AE64" s="90" t="s">
        <v>53</v>
      </c>
      <c r="AF64" s="88">
        <v>0.2</v>
      </c>
      <c r="AG64" s="88">
        <f>30%+20%</f>
        <v>0.5</v>
      </c>
      <c r="AH64" s="16" t="s">
        <v>636</v>
      </c>
      <c r="AK64" s="99">
        <f t="shared" si="0"/>
        <v>0.32</v>
      </c>
      <c r="AL64" s="99">
        <f t="shared" si="1"/>
        <v>0.5</v>
      </c>
    </row>
    <row r="65" spans="2:38" ht="129.75" x14ac:dyDescent="0.25">
      <c r="B65" s="6" t="s">
        <v>231</v>
      </c>
      <c r="C65" s="6" t="s">
        <v>232</v>
      </c>
      <c r="D65" s="6" t="s">
        <v>233</v>
      </c>
      <c r="E65" s="6" t="s">
        <v>234</v>
      </c>
      <c r="F65" s="6" t="s">
        <v>235</v>
      </c>
      <c r="G65" s="6"/>
      <c r="H65" s="6"/>
      <c r="I65" s="6"/>
      <c r="J65" s="6" t="s">
        <v>320</v>
      </c>
      <c r="K65" s="7" t="s">
        <v>321</v>
      </c>
      <c r="L65" s="7" t="s">
        <v>322</v>
      </c>
      <c r="M65" s="6" t="s">
        <v>184</v>
      </c>
      <c r="N65" s="9">
        <v>42552</v>
      </c>
      <c r="O65" s="9">
        <v>42735</v>
      </c>
      <c r="P65" s="7" t="s">
        <v>52</v>
      </c>
      <c r="Q65" s="7" t="s">
        <v>52</v>
      </c>
      <c r="R65" s="87">
        <v>0.03</v>
      </c>
      <c r="S65" s="88"/>
      <c r="T65" s="89"/>
      <c r="U65" s="89"/>
      <c r="V65" s="89"/>
      <c r="W65" s="89"/>
      <c r="X65" s="88"/>
      <c r="Y65" s="89">
        <v>0.16</v>
      </c>
      <c r="Z65" s="89">
        <v>0.16</v>
      </c>
      <c r="AA65" s="88">
        <v>0.17</v>
      </c>
      <c r="AB65" s="87">
        <v>0.17</v>
      </c>
      <c r="AC65" s="87">
        <v>0.17</v>
      </c>
      <c r="AD65" s="88">
        <v>0.17</v>
      </c>
      <c r="AE65" s="90" t="s">
        <v>53</v>
      </c>
      <c r="AF65" s="88">
        <v>0.1</v>
      </c>
      <c r="AG65" s="88">
        <f>80%+10%</f>
        <v>0.9</v>
      </c>
      <c r="AH65" s="16" t="s">
        <v>637</v>
      </c>
      <c r="AK65" s="99">
        <f t="shared" si="0"/>
        <v>0.32</v>
      </c>
      <c r="AL65" s="99">
        <f t="shared" si="1"/>
        <v>0.9</v>
      </c>
    </row>
    <row r="66" spans="2:38" ht="129.75" x14ac:dyDescent="0.25">
      <c r="B66" s="6" t="s">
        <v>231</v>
      </c>
      <c r="C66" s="6" t="s">
        <v>232</v>
      </c>
      <c r="D66" s="6" t="s">
        <v>233</v>
      </c>
      <c r="E66" s="6" t="s">
        <v>234</v>
      </c>
      <c r="F66" s="6" t="s">
        <v>235</v>
      </c>
      <c r="G66" s="6"/>
      <c r="H66" s="6"/>
      <c r="I66" s="6"/>
      <c r="J66" s="6" t="s">
        <v>323</v>
      </c>
      <c r="K66" s="7" t="s">
        <v>324</v>
      </c>
      <c r="L66" s="7" t="s">
        <v>325</v>
      </c>
      <c r="M66" s="6" t="s">
        <v>184</v>
      </c>
      <c r="N66" s="9">
        <v>42552</v>
      </c>
      <c r="O66" s="9">
        <v>42735</v>
      </c>
      <c r="P66" s="7" t="s">
        <v>326</v>
      </c>
      <c r="Q66" s="7" t="s">
        <v>52</v>
      </c>
      <c r="R66" s="87">
        <v>0.03</v>
      </c>
      <c r="S66" s="88"/>
      <c r="T66" s="89"/>
      <c r="U66" s="89"/>
      <c r="V66" s="89"/>
      <c r="W66" s="89"/>
      <c r="X66" s="88"/>
      <c r="Y66" s="89">
        <v>0.16</v>
      </c>
      <c r="Z66" s="89">
        <v>0.16</v>
      </c>
      <c r="AA66" s="88">
        <v>0.17</v>
      </c>
      <c r="AB66" s="87">
        <v>0.17</v>
      </c>
      <c r="AC66" s="87">
        <v>0.17</v>
      </c>
      <c r="AD66" s="88">
        <v>0.17</v>
      </c>
      <c r="AE66" s="90" t="s">
        <v>53</v>
      </c>
      <c r="AF66" s="88">
        <v>0.16</v>
      </c>
      <c r="AG66" s="88">
        <f>16%+16%</f>
        <v>0.32</v>
      </c>
      <c r="AH66" s="93" t="s">
        <v>638</v>
      </c>
      <c r="AK66" s="99">
        <f t="shared" si="0"/>
        <v>0.32</v>
      </c>
      <c r="AL66" s="99">
        <f t="shared" si="1"/>
        <v>0.32</v>
      </c>
    </row>
    <row r="67" spans="2:38" ht="75" x14ac:dyDescent="0.25">
      <c r="B67" s="6" t="s">
        <v>231</v>
      </c>
      <c r="C67" s="6" t="s">
        <v>232</v>
      </c>
      <c r="D67" s="6" t="s">
        <v>233</v>
      </c>
      <c r="E67" s="6" t="s">
        <v>234</v>
      </c>
      <c r="F67" s="6" t="s">
        <v>382</v>
      </c>
      <c r="G67" s="6"/>
      <c r="H67" s="6"/>
      <c r="I67" s="6"/>
      <c r="J67" s="6" t="s">
        <v>327</v>
      </c>
      <c r="K67" s="7" t="s">
        <v>328</v>
      </c>
      <c r="L67" s="7" t="s">
        <v>329</v>
      </c>
      <c r="M67" s="6" t="s">
        <v>184</v>
      </c>
      <c r="N67" s="9">
        <v>42552</v>
      </c>
      <c r="O67" s="9">
        <v>42735</v>
      </c>
      <c r="P67" s="7" t="s">
        <v>297</v>
      </c>
      <c r="Q67" s="7" t="s">
        <v>52</v>
      </c>
      <c r="R67" s="87">
        <v>0.03</v>
      </c>
      <c r="S67" s="88"/>
      <c r="T67" s="89"/>
      <c r="U67" s="89"/>
      <c r="V67" s="89"/>
      <c r="W67" s="89"/>
      <c r="X67" s="88"/>
      <c r="Y67" s="89">
        <v>0.16</v>
      </c>
      <c r="Z67" s="89">
        <v>0.16</v>
      </c>
      <c r="AA67" s="88">
        <v>0.17</v>
      </c>
      <c r="AB67" s="87">
        <v>0.17</v>
      </c>
      <c r="AC67" s="87">
        <v>0.17</v>
      </c>
      <c r="AD67" s="88">
        <v>0.17</v>
      </c>
      <c r="AE67" s="90" t="s">
        <v>53</v>
      </c>
      <c r="AF67" s="88">
        <v>0.16</v>
      </c>
      <c r="AG67" s="88">
        <f>16%+16%</f>
        <v>0.32</v>
      </c>
      <c r="AH67" s="94" t="s">
        <v>330</v>
      </c>
      <c r="AK67" s="99">
        <f t="shared" si="0"/>
        <v>0.32</v>
      </c>
      <c r="AL67" s="99">
        <f t="shared" si="1"/>
        <v>0.32</v>
      </c>
    </row>
    <row r="68" spans="2:38" ht="110.25" customHeight="1" x14ac:dyDescent="0.25">
      <c r="B68" s="6" t="s">
        <v>231</v>
      </c>
      <c r="C68" s="6" t="s">
        <v>232</v>
      </c>
      <c r="D68" s="6" t="s">
        <v>233</v>
      </c>
      <c r="E68" s="6" t="s">
        <v>234</v>
      </c>
      <c r="F68" s="6" t="s">
        <v>235</v>
      </c>
      <c r="G68" s="6"/>
      <c r="H68" s="6"/>
      <c r="I68" s="6"/>
      <c r="J68" s="6" t="s">
        <v>331</v>
      </c>
      <c r="K68" s="7" t="s">
        <v>332</v>
      </c>
      <c r="L68" s="7" t="s">
        <v>333</v>
      </c>
      <c r="M68" s="6" t="s">
        <v>51</v>
      </c>
      <c r="N68" s="9">
        <v>42522</v>
      </c>
      <c r="O68" s="9">
        <v>42704</v>
      </c>
      <c r="P68" s="7" t="s">
        <v>297</v>
      </c>
      <c r="Q68" s="7" t="s">
        <v>52</v>
      </c>
      <c r="R68" s="87">
        <v>0.03</v>
      </c>
      <c r="S68" s="88"/>
      <c r="T68" s="89"/>
      <c r="U68" s="89"/>
      <c r="V68" s="89"/>
      <c r="W68" s="89"/>
      <c r="X68" s="88">
        <v>0.15</v>
      </c>
      <c r="Y68" s="89">
        <v>0.15</v>
      </c>
      <c r="Z68" s="89">
        <v>0.15</v>
      </c>
      <c r="AA68" s="88">
        <v>0.15</v>
      </c>
      <c r="AB68" s="87">
        <v>0.2</v>
      </c>
      <c r="AC68" s="87">
        <v>0.2</v>
      </c>
      <c r="AD68" s="88"/>
      <c r="AE68" s="90" t="s">
        <v>53</v>
      </c>
      <c r="AF68" s="88">
        <v>0.15</v>
      </c>
      <c r="AG68" s="88">
        <v>0.45</v>
      </c>
      <c r="AH68" s="7" t="s">
        <v>334</v>
      </c>
      <c r="AK68" s="99">
        <f t="shared" si="0"/>
        <v>0.44999999999999996</v>
      </c>
      <c r="AL68" s="99">
        <f t="shared" si="1"/>
        <v>0.45</v>
      </c>
    </row>
    <row r="69" spans="2:38" ht="186.75" x14ac:dyDescent="0.25">
      <c r="B69" s="6" t="s">
        <v>231</v>
      </c>
      <c r="C69" s="6" t="s">
        <v>232</v>
      </c>
      <c r="D69" s="6" t="s">
        <v>233</v>
      </c>
      <c r="E69" s="6" t="s">
        <v>234</v>
      </c>
      <c r="F69" s="6" t="s">
        <v>382</v>
      </c>
      <c r="G69" s="6"/>
      <c r="H69" s="6"/>
      <c r="I69" s="6"/>
      <c r="J69" s="6" t="s">
        <v>335</v>
      </c>
      <c r="K69" s="7" t="s">
        <v>336</v>
      </c>
      <c r="L69" s="7" t="s">
        <v>337</v>
      </c>
      <c r="M69" s="6" t="s">
        <v>297</v>
      </c>
      <c r="N69" s="9">
        <v>42552</v>
      </c>
      <c r="O69" s="9">
        <v>42735</v>
      </c>
      <c r="P69" s="7" t="s">
        <v>338</v>
      </c>
      <c r="Q69" s="7" t="s">
        <v>52</v>
      </c>
      <c r="R69" s="87">
        <v>0.04</v>
      </c>
      <c r="S69" s="88"/>
      <c r="T69" s="89"/>
      <c r="U69" s="89"/>
      <c r="V69" s="89"/>
      <c r="W69" s="89"/>
      <c r="X69" s="88"/>
      <c r="Y69" s="89">
        <v>0.1</v>
      </c>
      <c r="Z69" s="89">
        <v>0.1</v>
      </c>
      <c r="AA69" s="88">
        <v>0.2</v>
      </c>
      <c r="AB69" s="87">
        <v>0.2</v>
      </c>
      <c r="AC69" s="87">
        <v>0.3</v>
      </c>
      <c r="AD69" s="88">
        <v>0.1</v>
      </c>
      <c r="AE69" s="90" t="s">
        <v>53</v>
      </c>
      <c r="AF69" s="88">
        <v>0.1</v>
      </c>
      <c r="AG69" s="88">
        <f>8%+10%</f>
        <v>0.18</v>
      </c>
      <c r="AH69" s="93" t="s">
        <v>639</v>
      </c>
      <c r="AK69" s="99">
        <f t="shared" si="0"/>
        <v>0.2</v>
      </c>
      <c r="AL69" s="99">
        <f t="shared" si="1"/>
        <v>0.18</v>
      </c>
    </row>
    <row r="70" spans="2:38" ht="115.5" x14ac:dyDescent="0.25">
      <c r="B70" s="6" t="s">
        <v>231</v>
      </c>
      <c r="C70" s="6" t="s">
        <v>232</v>
      </c>
      <c r="D70" s="6" t="s">
        <v>233</v>
      </c>
      <c r="E70" s="6" t="s">
        <v>234</v>
      </c>
      <c r="F70" s="6" t="s">
        <v>235</v>
      </c>
      <c r="G70" s="6"/>
      <c r="H70" s="6"/>
      <c r="I70" s="6"/>
      <c r="J70" s="6" t="s">
        <v>339</v>
      </c>
      <c r="K70" s="7" t="s">
        <v>340</v>
      </c>
      <c r="L70" s="7" t="s">
        <v>341</v>
      </c>
      <c r="M70" s="6" t="s">
        <v>297</v>
      </c>
      <c r="N70" s="9">
        <v>42552</v>
      </c>
      <c r="O70" s="9">
        <v>42735</v>
      </c>
      <c r="P70" s="7" t="s">
        <v>342</v>
      </c>
      <c r="Q70" s="7" t="s">
        <v>52</v>
      </c>
      <c r="R70" s="87">
        <v>0.04</v>
      </c>
      <c r="S70" s="88"/>
      <c r="T70" s="89"/>
      <c r="U70" s="89"/>
      <c r="V70" s="89"/>
      <c r="W70" s="89"/>
      <c r="X70" s="88"/>
      <c r="Y70" s="89">
        <v>0.4</v>
      </c>
      <c r="Z70" s="89">
        <v>0.4</v>
      </c>
      <c r="AA70" s="88">
        <v>0.2</v>
      </c>
      <c r="AB70" s="87"/>
      <c r="AC70" s="87"/>
      <c r="AD70" s="88"/>
      <c r="AE70" s="90" t="s">
        <v>53</v>
      </c>
      <c r="AF70" s="88">
        <v>0.3</v>
      </c>
      <c r="AG70" s="88">
        <f>30%+30%</f>
        <v>0.6</v>
      </c>
      <c r="AH70" s="93" t="s">
        <v>640</v>
      </c>
      <c r="AK70" s="99">
        <f t="shared" si="0"/>
        <v>0.8</v>
      </c>
      <c r="AL70" s="99">
        <f t="shared" si="1"/>
        <v>0.6</v>
      </c>
    </row>
    <row r="71" spans="2:38" ht="136.5" x14ac:dyDescent="0.25">
      <c r="B71" s="6" t="s">
        <v>231</v>
      </c>
      <c r="C71" s="6" t="s">
        <v>232</v>
      </c>
      <c r="D71" s="6" t="s">
        <v>233</v>
      </c>
      <c r="E71" s="6" t="s">
        <v>234</v>
      </c>
      <c r="F71" s="6" t="s">
        <v>235</v>
      </c>
      <c r="G71" s="6"/>
      <c r="H71" s="6"/>
      <c r="I71" s="6"/>
      <c r="J71" s="6" t="s">
        <v>343</v>
      </c>
      <c r="K71" s="7" t="s">
        <v>344</v>
      </c>
      <c r="L71" s="7" t="s">
        <v>345</v>
      </c>
      <c r="M71" s="6" t="s">
        <v>297</v>
      </c>
      <c r="N71" s="9">
        <v>42594</v>
      </c>
      <c r="O71" s="9">
        <v>42735</v>
      </c>
      <c r="P71" s="7" t="s">
        <v>346</v>
      </c>
      <c r="Q71" s="7" t="s">
        <v>52</v>
      </c>
      <c r="R71" s="87">
        <v>0.04</v>
      </c>
      <c r="S71" s="88"/>
      <c r="T71" s="89"/>
      <c r="U71" s="89"/>
      <c r="V71" s="89"/>
      <c r="W71" s="89"/>
      <c r="X71" s="88"/>
      <c r="Y71" s="89">
        <v>0.1</v>
      </c>
      <c r="Z71" s="89">
        <v>0.25</v>
      </c>
      <c r="AA71" s="88">
        <v>0.1</v>
      </c>
      <c r="AB71" s="87">
        <v>0.15</v>
      </c>
      <c r="AC71" s="87">
        <v>0.1</v>
      </c>
      <c r="AD71" s="88">
        <v>0.3</v>
      </c>
      <c r="AE71" s="90" t="s">
        <v>53</v>
      </c>
      <c r="AF71" s="88">
        <v>0.2</v>
      </c>
      <c r="AG71" s="88">
        <f>10%+20%</f>
        <v>0.30000000000000004</v>
      </c>
      <c r="AH71" s="7" t="s">
        <v>641</v>
      </c>
      <c r="AK71" s="99">
        <f t="shared" ref="AK71:AK76" si="2">+X71+Y71+Z71</f>
        <v>0.35</v>
      </c>
      <c r="AL71" s="99">
        <f t="shared" ref="AL71:AL76" si="3">+AG71</f>
        <v>0.30000000000000004</v>
      </c>
    </row>
    <row r="72" spans="2:38" ht="117" x14ac:dyDescent="0.25">
      <c r="B72" s="6" t="s">
        <v>231</v>
      </c>
      <c r="C72" s="6" t="s">
        <v>232</v>
      </c>
      <c r="D72" s="6" t="s">
        <v>233</v>
      </c>
      <c r="E72" s="6" t="s">
        <v>234</v>
      </c>
      <c r="F72" s="6" t="s">
        <v>382</v>
      </c>
      <c r="G72" s="6"/>
      <c r="H72" s="6"/>
      <c r="I72" s="6"/>
      <c r="J72" s="6" t="s">
        <v>347</v>
      </c>
      <c r="K72" s="7" t="s">
        <v>348</v>
      </c>
      <c r="L72" s="7" t="s">
        <v>349</v>
      </c>
      <c r="M72" s="6" t="s">
        <v>297</v>
      </c>
      <c r="N72" s="9">
        <v>42552</v>
      </c>
      <c r="O72" s="9">
        <v>42674</v>
      </c>
      <c r="P72" s="7" t="s">
        <v>350</v>
      </c>
      <c r="Q72" s="7" t="s">
        <v>149</v>
      </c>
      <c r="R72" s="87">
        <v>0.04</v>
      </c>
      <c r="S72" s="88"/>
      <c r="T72" s="89"/>
      <c r="U72" s="89"/>
      <c r="V72" s="89"/>
      <c r="W72" s="89"/>
      <c r="X72" s="88"/>
      <c r="Y72" s="89"/>
      <c r="Z72" s="89">
        <v>0.5</v>
      </c>
      <c r="AA72" s="88">
        <v>0.5</v>
      </c>
      <c r="AB72" s="87"/>
      <c r="AC72" s="87"/>
      <c r="AD72" s="88"/>
      <c r="AE72" s="90" t="s">
        <v>53</v>
      </c>
      <c r="AF72" s="88">
        <v>0.2</v>
      </c>
      <c r="AG72" s="88">
        <f>15%+20%</f>
        <v>0.35</v>
      </c>
      <c r="AH72" s="93" t="s">
        <v>642</v>
      </c>
      <c r="AK72" s="99">
        <f t="shared" si="2"/>
        <v>0.5</v>
      </c>
      <c r="AL72" s="99">
        <f t="shared" si="3"/>
        <v>0.35</v>
      </c>
    </row>
    <row r="73" spans="2:38" ht="105" x14ac:dyDescent="0.25">
      <c r="B73" s="6" t="s">
        <v>231</v>
      </c>
      <c r="C73" s="6" t="s">
        <v>232</v>
      </c>
      <c r="D73" s="6" t="s">
        <v>233</v>
      </c>
      <c r="E73" s="6" t="s">
        <v>234</v>
      </c>
      <c r="F73" s="6" t="s">
        <v>235</v>
      </c>
      <c r="G73" s="6"/>
      <c r="H73" s="6"/>
      <c r="I73" s="6"/>
      <c r="J73" s="6" t="s">
        <v>351</v>
      </c>
      <c r="K73" s="8" t="s">
        <v>352</v>
      </c>
      <c r="L73" s="7"/>
      <c r="M73" s="6" t="s">
        <v>353</v>
      </c>
      <c r="N73" s="9">
        <v>42552</v>
      </c>
      <c r="O73" s="9">
        <v>42735</v>
      </c>
      <c r="P73" s="7" t="s">
        <v>354</v>
      </c>
      <c r="Q73" s="6" t="s">
        <v>52</v>
      </c>
      <c r="R73" s="87">
        <v>0.02</v>
      </c>
      <c r="S73" s="88"/>
      <c r="T73" s="89"/>
      <c r="U73" s="89"/>
      <c r="V73" s="89"/>
      <c r="W73" s="89"/>
      <c r="X73" s="88"/>
      <c r="Y73" s="89"/>
      <c r="Z73" s="89">
        <v>0.5</v>
      </c>
      <c r="AA73" s="88"/>
      <c r="AB73" s="87"/>
      <c r="AC73" s="87"/>
      <c r="AD73" s="88">
        <v>0.5</v>
      </c>
      <c r="AE73" s="90" t="s">
        <v>53</v>
      </c>
      <c r="AF73" s="88">
        <v>0.5</v>
      </c>
      <c r="AG73" s="88">
        <v>0.5</v>
      </c>
      <c r="AH73" s="16" t="s">
        <v>355</v>
      </c>
      <c r="AK73" s="99">
        <f t="shared" si="2"/>
        <v>0.5</v>
      </c>
      <c r="AL73" s="99">
        <f t="shared" si="3"/>
        <v>0.5</v>
      </c>
    </row>
    <row r="74" spans="2:38" ht="144" x14ac:dyDescent="0.25">
      <c r="B74" s="6" t="s">
        <v>231</v>
      </c>
      <c r="C74" s="6" t="s">
        <v>232</v>
      </c>
      <c r="D74" s="6" t="s">
        <v>233</v>
      </c>
      <c r="E74" s="6" t="s">
        <v>234</v>
      </c>
      <c r="F74" s="6" t="s">
        <v>235</v>
      </c>
      <c r="G74" s="6"/>
      <c r="H74" s="6"/>
      <c r="I74" s="6"/>
      <c r="J74" s="6" t="s">
        <v>356</v>
      </c>
      <c r="K74" s="8" t="s">
        <v>357</v>
      </c>
      <c r="L74" s="7"/>
      <c r="M74" s="6" t="s">
        <v>353</v>
      </c>
      <c r="N74" s="9">
        <v>42552</v>
      </c>
      <c r="O74" s="9">
        <v>42735</v>
      </c>
      <c r="P74" s="7" t="s">
        <v>289</v>
      </c>
      <c r="Q74" s="6" t="s">
        <v>52</v>
      </c>
      <c r="R74" s="87">
        <v>0.02</v>
      </c>
      <c r="S74" s="88"/>
      <c r="T74" s="89"/>
      <c r="U74" s="89"/>
      <c r="V74" s="89"/>
      <c r="W74" s="89"/>
      <c r="X74" s="88"/>
      <c r="Y74" s="89">
        <v>0.16</v>
      </c>
      <c r="Z74" s="89">
        <v>0.16</v>
      </c>
      <c r="AA74" s="88">
        <v>0.16</v>
      </c>
      <c r="AB74" s="87">
        <v>0.16</v>
      </c>
      <c r="AC74" s="87">
        <v>0.18</v>
      </c>
      <c r="AD74" s="88">
        <v>0.18</v>
      </c>
      <c r="AE74" s="90" t="s">
        <v>53</v>
      </c>
      <c r="AF74" s="88">
        <v>0.16</v>
      </c>
      <c r="AG74" s="88">
        <f>16%+16%</f>
        <v>0.32</v>
      </c>
      <c r="AH74" s="16" t="s">
        <v>643</v>
      </c>
      <c r="AK74" s="99">
        <f t="shared" si="2"/>
        <v>0.32</v>
      </c>
      <c r="AL74" s="99">
        <f t="shared" si="3"/>
        <v>0.32</v>
      </c>
    </row>
    <row r="75" spans="2:38" ht="89.25" x14ac:dyDescent="0.25">
      <c r="B75" s="6" t="s">
        <v>231</v>
      </c>
      <c r="C75" s="6" t="s">
        <v>232</v>
      </c>
      <c r="D75" s="6" t="s">
        <v>233</v>
      </c>
      <c r="E75" s="6" t="s">
        <v>234</v>
      </c>
      <c r="F75" s="6" t="s">
        <v>382</v>
      </c>
      <c r="G75" s="6"/>
      <c r="H75" s="6"/>
      <c r="I75" s="6"/>
      <c r="J75" s="6" t="s">
        <v>358</v>
      </c>
      <c r="K75" s="8" t="s">
        <v>359</v>
      </c>
      <c r="L75" s="7"/>
      <c r="M75" s="6" t="s">
        <v>353</v>
      </c>
      <c r="N75" s="9">
        <v>42552</v>
      </c>
      <c r="O75" s="9">
        <v>42735</v>
      </c>
      <c r="P75" s="7" t="s">
        <v>289</v>
      </c>
      <c r="Q75" s="6" t="s">
        <v>52</v>
      </c>
      <c r="R75" s="87">
        <v>0.03</v>
      </c>
      <c r="S75" s="88"/>
      <c r="T75" s="89"/>
      <c r="U75" s="89"/>
      <c r="V75" s="89"/>
      <c r="W75" s="89"/>
      <c r="X75" s="88"/>
      <c r="Y75" s="89">
        <v>0.14000000000000001</v>
      </c>
      <c r="Z75" s="89">
        <v>0.22</v>
      </c>
      <c r="AA75" s="88">
        <v>0.14000000000000001</v>
      </c>
      <c r="AB75" s="87">
        <v>0.14000000000000001</v>
      </c>
      <c r="AC75" s="87">
        <v>0.22</v>
      </c>
      <c r="AD75" s="88">
        <v>0.14000000000000001</v>
      </c>
      <c r="AE75" s="90" t="s">
        <v>53</v>
      </c>
      <c r="AF75" s="88">
        <v>0.22</v>
      </c>
      <c r="AG75" s="88">
        <f>14%+22%</f>
        <v>0.36</v>
      </c>
      <c r="AH75" s="7" t="s">
        <v>360</v>
      </c>
      <c r="AK75" s="99">
        <f t="shared" si="2"/>
        <v>0.36</v>
      </c>
      <c r="AL75" s="99">
        <f t="shared" si="3"/>
        <v>0.36</v>
      </c>
    </row>
    <row r="76" spans="2:38" ht="114" x14ac:dyDescent="0.25">
      <c r="B76" s="6" t="s">
        <v>231</v>
      </c>
      <c r="C76" s="6" t="s">
        <v>232</v>
      </c>
      <c r="D76" s="6" t="s">
        <v>233</v>
      </c>
      <c r="E76" s="6" t="s">
        <v>234</v>
      </c>
      <c r="F76" s="6" t="s">
        <v>235</v>
      </c>
      <c r="G76" s="6"/>
      <c r="H76" s="6"/>
      <c r="I76" s="6"/>
      <c r="J76" s="6" t="s">
        <v>361</v>
      </c>
      <c r="K76" s="7" t="s">
        <v>362</v>
      </c>
      <c r="L76" s="7"/>
      <c r="M76" s="6" t="s">
        <v>353</v>
      </c>
      <c r="N76" s="9">
        <v>42552</v>
      </c>
      <c r="O76" s="9">
        <v>42735</v>
      </c>
      <c r="P76" s="7" t="s">
        <v>289</v>
      </c>
      <c r="Q76" s="8" t="s">
        <v>363</v>
      </c>
      <c r="R76" s="87">
        <v>0.02</v>
      </c>
      <c r="S76" s="88"/>
      <c r="T76" s="89"/>
      <c r="U76" s="89"/>
      <c r="V76" s="89"/>
      <c r="W76" s="89"/>
      <c r="X76" s="88"/>
      <c r="Y76" s="89">
        <v>0.5</v>
      </c>
      <c r="Z76" s="89">
        <v>0.08</v>
      </c>
      <c r="AA76" s="88">
        <v>0.17</v>
      </c>
      <c r="AB76" s="87">
        <v>0.08</v>
      </c>
      <c r="AC76" s="87">
        <v>0.08</v>
      </c>
      <c r="AD76" s="88">
        <v>0.09</v>
      </c>
      <c r="AE76" s="90" t="s">
        <v>53</v>
      </c>
      <c r="AF76" s="88">
        <v>0.08</v>
      </c>
      <c r="AG76" s="88">
        <f>50%+8%</f>
        <v>0.57999999999999996</v>
      </c>
      <c r="AH76" s="16" t="s">
        <v>364</v>
      </c>
      <c r="AK76" s="99">
        <f t="shared" si="2"/>
        <v>0.57999999999999996</v>
      </c>
      <c r="AL76" s="99">
        <f t="shared" si="3"/>
        <v>0.57999999999999996</v>
      </c>
    </row>
  </sheetData>
  <autoFilter ref="B6:AH76"/>
  <mergeCells count="8">
    <mergeCell ref="B1:C2"/>
    <mergeCell ref="D1:AH1"/>
    <mergeCell ref="D2:AH2"/>
    <mergeCell ref="B5:F5"/>
    <mergeCell ref="G5:I5"/>
    <mergeCell ref="J5:R5"/>
    <mergeCell ref="S5:AD5"/>
    <mergeCell ref="AE5:AH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O76"/>
  <sheetViews>
    <sheetView topLeftCell="S1" zoomScale="80" zoomScaleNormal="80" workbookViewId="0">
      <pane ySplit="6" topLeftCell="A7" activePane="bottomLeft" state="frozen"/>
      <selection activeCell="AF30" sqref="AF30"/>
      <selection pane="bottomLeft" activeCell="AI1" sqref="AI1:AO1048576"/>
    </sheetView>
  </sheetViews>
  <sheetFormatPr baseColWidth="10" defaultRowHeight="15" x14ac:dyDescent="0.25"/>
  <cols>
    <col min="1" max="1" width="1.7109375" style="1" customWidth="1"/>
    <col min="2" max="2" width="17.28515625" style="2" customWidth="1"/>
    <col min="3" max="3" width="32.7109375" style="2" customWidth="1"/>
    <col min="4" max="4" width="20" style="1" customWidth="1"/>
    <col min="5" max="5" width="23.85546875" style="1" customWidth="1"/>
    <col min="6" max="6" width="30.5703125" style="1" customWidth="1"/>
    <col min="7" max="7" width="26.5703125" style="1" hidden="1" customWidth="1"/>
    <col min="8" max="8" width="27.5703125" style="1" hidden="1" customWidth="1"/>
    <col min="9" max="9" width="26.28515625" style="1" hidden="1" customWidth="1"/>
    <col min="10" max="10" width="33" style="1" customWidth="1"/>
    <col min="11" max="11" width="44.85546875" style="1" customWidth="1"/>
    <col min="12" max="12" width="46.42578125" style="1" customWidth="1"/>
    <col min="13" max="13" width="22" style="1" customWidth="1"/>
    <col min="14" max="14" width="15.85546875" style="1" customWidth="1"/>
    <col min="15" max="15" width="15.140625" style="1" customWidth="1"/>
    <col min="16" max="17" width="24.7109375" style="1" customWidth="1"/>
    <col min="18" max="18" width="15.7109375" style="1" customWidth="1"/>
    <col min="19" max="19" width="6.140625" style="1" customWidth="1"/>
    <col min="20" max="20" width="6" style="1" customWidth="1"/>
    <col min="21" max="21" width="6.42578125" style="1" customWidth="1"/>
    <col min="22" max="23" width="6.28515625" style="1" customWidth="1"/>
    <col min="24" max="24" width="6.7109375" style="1" customWidth="1"/>
    <col min="25" max="25" width="5.85546875" style="1" customWidth="1"/>
    <col min="26" max="26" width="6.42578125" style="1" customWidth="1"/>
    <col min="27" max="29" width="5.85546875" style="1" customWidth="1"/>
    <col min="30" max="30" width="6.28515625" style="1" customWidth="1"/>
    <col min="31" max="32" width="14.28515625" style="1" customWidth="1"/>
    <col min="33" max="33" width="17.85546875" style="1" customWidth="1"/>
    <col min="34" max="34" width="58.7109375" style="1" customWidth="1"/>
    <col min="35" max="36" width="11.42578125" style="42"/>
    <col min="37" max="37" width="15.42578125" style="42" customWidth="1"/>
    <col min="38" max="38" width="15" style="42" customWidth="1"/>
    <col min="39" max="41" width="11.42578125" style="42"/>
    <col min="42" max="16384" width="11.42578125" style="1"/>
  </cols>
  <sheetData>
    <row r="1" spans="2:40" ht="58.5" customHeight="1" x14ac:dyDescent="0.25">
      <c r="B1" s="66"/>
      <c r="C1" s="66"/>
      <c r="D1" s="67" t="s">
        <v>0</v>
      </c>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9"/>
    </row>
    <row r="2" spans="2:40" ht="51.75" customHeight="1" x14ac:dyDescent="0.25">
      <c r="B2" s="66"/>
      <c r="C2" s="66"/>
      <c r="D2" s="67" t="s">
        <v>1</v>
      </c>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9"/>
    </row>
    <row r="3" spans="2:40" x14ac:dyDescent="0.25">
      <c r="AJ3" s="42">
        <v>500</v>
      </c>
      <c r="AK3" s="42">
        <v>100</v>
      </c>
      <c r="AM3" s="42">
        <v>6300</v>
      </c>
      <c r="AN3" s="42">
        <v>100</v>
      </c>
    </row>
    <row r="4" spans="2:40" x14ac:dyDescent="0.25">
      <c r="AJ4" s="42">
        <v>122</v>
      </c>
      <c r="AK4" s="42">
        <f>+(AJ4*AK3)/AJ3</f>
        <v>24.4</v>
      </c>
      <c r="AM4" s="42">
        <v>1073</v>
      </c>
      <c r="AN4" s="42">
        <f>+(AM4*AN3)/AM3</f>
        <v>17.031746031746032</v>
      </c>
    </row>
    <row r="5" spans="2:40" ht="34.5" customHeight="1" x14ac:dyDescent="0.25">
      <c r="B5" s="70" t="s">
        <v>2</v>
      </c>
      <c r="C5" s="71"/>
      <c r="D5" s="71"/>
      <c r="E5" s="71"/>
      <c r="F5" s="72"/>
      <c r="G5" s="73" t="s">
        <v>3</v>
      </c>
      <c r="H5" s="74"/>
      <c r="I5" s="75"/>
      <c r="J5" s="76" t="s">
        <v>4</v>
      </c>
      <c r="K5" s="76"/>
      <c r="L5" s="76"/>
      <c r="M5" s="76"/>
      <c r="N5" s="76"/>
      <c r="O5" s="76"/>
      <c r="P5" s="76"/>
      <c r="Q5" s="76"/>
      <c r="R5" s="76"/>
      <c r="S5" s="77" t="s">
        <v>5</v>
      </c>
      <c r="T5" s="78"/>
      <c r="U5" s="78"/>
      <c r="V5" s="78"/>
      <c r="W5" s="78"/>
      <c r="X5" s="78"/>
      <c r="Y5" s="78"/>
      <c r="Z5" s="78"/>
      <c r="AA5" s="78"/>
      <c r="AB5" s="78"/>
      <c r="AC5" s="78"/>
      <c r="AD5" s="79"/>
      <c r="AE5" s="70" t="s">
        <v>6</v>
      </c>
      <c r="AF5" s="71"/>
      <c r="AG5" s="71"/>
      <c r="AH5" s="72"/>
    </row>
    <row r="6" spans="2:40" ht="78.75" x14ac:dyDescent="0.25">
      <c r="B6" s="3" t="s">
        <v>7</v>
      </c>
      <c r="C6" s="3" t="s">
        <v>8</v>
      </c>
      <c r="D6" s="3" t="s">
        <v>9</v>
      </c>
      <c r="E6" s="3" t="s">
        <v>10</v>
      </c>
      <c r="F6" s="3" t="s">
        <v>11</v>
      </c>
      <c r="G6" s="3" t="s">
        <v>12</v>
      </c>
      <c r="H6" s="3" t="s">
        <v>13</v>
      </c>
      <c r="I6" s="3" t="s">
        <v>14</v>
      </c>
      <c r="J6" s="3" t="s">
        <v>15</v>
      </c>
      <c r="K6" s="4" t="s">
        <v>16</v>
      </c>
      <c r="L6" s="3" t="s">
        <v>17</v>
      </c>
      <c r="M6" s="3" t="s">
        <v>18</v>
      </c>
      <c r="N6" s="3" t="s">
        <v>19</v>
      </c>
      <c r="O6" s="3" t="s">
        <v>20</v>
      </c>
      <c r="P6" s="3" t="s">
        <v>21</v>
      </c>
      <c r="Q6" s="3" t="s">
        <v>22</v>
      </c>
      <c r="R6" s="3" t="s">
        <v>23</v>
      </c>
      <c r="S6" s="3" t="s">
        <v>24</v>
      </c>
      <c r="T6" s="3" t="s">
        <v>25</v>
      </c>
      <c r="U6" s="3" t="s">
        <v>26</v>
      </c>
      <c r="V6" s="3" t="s">
        <v>27</v>
      </c>
      <c r="W6" s="3" t="s">
        <v>28</v>
      </c>
      <c r="X6" s="3" t="s">
        <v>29</v>
      </c>
      <c r="Y6" s="3" t="s">
        <v>30</v>
      </c>
      <c r="Z6" s="3" t="s">
        <v>31</v>
      </c>
      <c r="AA6" s="3" t="s">
        <v>32</v>
      </c>
      <c r="AB6" s="3" t="s">
        <v>33</v>
      </c>
      <c r="AC6" s="3" t="s">
        <v>34</v>
      </c>
      <c r="AD6" s="3" t="s">
        <v>35</v>
      </c>
      <c r="AE6" s="3" t="s">
        <v>36</v>
      </c>
      <c r="AF6" s="3" t="s">
        <v>37</v>
      </c>
      <c r="AG6" s="3" t="s">
        <v>38</v>
      </c>
      <c r="AH6" s="3" t="s">
        <v>39</v>
      </c>
      <c r="AK6" s="98" t="s">
        <v>40</v>
      </c>
      <c r="AL6" s="98" t="s">
        <v>41</v>
      </c>
    </row>
    <row r="7" spans="2:40" ht="138" customHeight="1" x14ac:dyDescent="0.25">
      <c r="B7" s="6" t="s">
        <v>42</v>
      </c>
      <c r="C7" s="6" t="s">
        <v>43</v>
      </c>
      <c r="D7" s="6" t="s">
        <v>44</v>
      </c>
      <c r="E7" s="6" t="s">
        <v>45</v>
      </c>
      <c r="F7" s="6" t="s">
        <v>46</v>
      </c>
      <c r="G7" s="6"/>
      <c r="H7" s="6"/>
      <c r="I7" s="6"/>
      <c r="J7" s="6" t="s">
        <v>47</v>
      </c>
      <c r="K7" s="7" t="s">
        <v>48</v>
      </c>
      <c r="L7" s="8" t="s">
        <v>49</v>
      </c>
      <c r="M7" s="6" t="s">
        <v>50</v>
      </c>
      <c r="N7" s="9">
        <v>42583</v>
      </c>
      <c r="O7" s="9">
        <v>42705</v>
      </c>
      <c r="P7" s="6" t="s">
        <v>51</v>
      </c>
      <c r="Q7" s="6" t="s">
        <v>52</v>
      </c>
      <c r="R7" s="87">
        <v>0.03</v>
      </c>
      <c r="S7" s="88"/>
      <c r="T7" s="89"/>
      <c r="U7" s="89"/>
      <c r="V7" s="89"/>
      <c r="W7" s="89"/>
      <c r="X7" s="88"/>
      <c r="Y7" s="89"/>
      <c r="Z7" s="89">
        <v>0.25</v>
      </c>
      <c r="AA7" s="88">
        <v>0.25</v>
      </c>
      <c r="AB7" s="88">
        <v>0.25</v>
      </c>
      <c r="AC7" s="88">
        <v>0.25</v>
      </c>
      <c r="AD7" s="88"/>
      <c r="AE7" s="90" t="s">
        <v>388</v>
      </c>
      <c r="AF7" s="88">
        <v>0.25</v>
      </c>
      <c r="AG7" s="88">
        <v>0.25</v>
      </c>
      <c r="AH7" s="7" t="s">
        <v>437</v>
      </c>
      <c r="AK7" s="99">
        <f>+X7+Y7+Z7+AA7</f>
        <v>0.5</v>
      </c>
      <c r="AL7" s="99">
        <f t="shared" ref="AL7:AL38" si="0">+AG7</f>
        <v>0.25</v>
      </c>
    </row>
    <row r="8" spans="2:40" ht="90" x14ac:dyDescent="0.25">
      <c r="B8" s="6" t="s">
        <v>42</v>
      </c>
      <c r="C8" s="6" t="s">
        <v>43</v>
      </c>
      <c r="D8" s="6" t="s">
        <v>44</v>
      </c>
      <c r="E8" s="6" t="s">
        <v>45</v>
      </c>
      <c r="F8" s="6" t="s">
        <v>46</v>
      </c>
      <c r="G8" s="6"/>
      <c r="H8" s="6"/>
      <c r="I8" s="6"/>
      <c r="J8" s="6" t="s">
        <v>55</v>
      </c>
      <c r="K8" s="7" t="s">
        <v>56</v>
      </c>
      <c r="L8" s="7"/>
      <c r="M8" s="6" t="s">
        <v>50</v>
      </c>
      <c r="N8" s="9">
        <v>42614</v>
      </c>
      <c r="O8" s="9">
        <v>42644</v>
      </c>
      <c r="P8" s="6" t="s">
        <v>52</v>
      </c>
      <c r="Q8" s="6" t="s">
        <v>52</v>
      </c>
      <c r="R8" s="87">
        <v>0.03</v>
      </c>
      <c r="S8" s="88"/>
      <c r="T8" s="89"/>
      <c r="U8" s="89"/>
      <c r="V8" s="89"/>
      <c r="W8" s="89"/>
      <c r="X8" s="88"/>
      <c r="Y8" s="89"/>
      <c r="Z8" s="89"/>
      <c r="AA8" s="88">
        <v>1</v>
      </c>
      <c r="AB8" s="88"/>
      <c r="AC8" s="88"/>
      <c r="AD8" s="88"/>
      <c r="AE8" s="90" t="s">
        <v>388</v>
      </c>
      <c r="AF8" s="88">
        <v>1</v>
      </c>
      <c r="AG8" s="88">
        <v>1</v>
      </c>
      <c r="AH8" s="7" t="s">
        <v>438</v>
      </c>
      <c r="AK8" s="99">
        <f t="shared" ref="AK8:AK71" si="1">+X8+Y8+Z8+AA8</f>
        <v>1</v>
      </c>
      <c r="AL8" s="99">
        <f t="shared" si="0"/>
        <v>1</v>
      </c>
    </row>
    <row r="9" spans="2:40" ht="90" x14ac:dyDescent="0.25">
      <c r="B9" s="6" t="s">
        <v>42</v>
      </c>
      <c r="C9" s="6" t="s">
        <v>43</v>
      </c>
      <c r="D9" s="6" t="s">
        <v>44</v>
      </c>
      <c r="E9" s="6" t="s">
        <v>45</v>
      </c>
      <c r="F9" s="6" t="s">
        <v>46</v>
      </c>
      <c r="G9" s="6"/>
      <c r="H9" s="6"/>
      <c r="I9" s="6"/>
      <c r="J9" s="6" t="s">
        <v>57</v>
      </c>
      <c r="K9" s="7" t="s">
        <v>58</v>
      </c>
      <c r="L9" s="7" t="s">
        <v>59</v>
      </c>
      <c r="M9" s="6" t="s">
        <v>50</v>
      </c>
      <c r="N9" s="9">
        <v>42552</v>
      </c>
      <c r="O9" s="9">
        <v>42735</v>
      </c>
      <c r="P9" s="6" t="s">
        <v>60</v>
      </c>
      <c r="Q9" s="6" t="s">
        <v>52</v>
      </c>
      <c r="R9" s="87">
        <v>0.03</v>
      </c>
      <c r="S9" s="88"/>
      <c r="T9" s="89"/>
      <c r="U9" s="89"/>
      <c r="V9" s="89"/>
      <c r="W9" s="89"/>
      <c r="X9" s="88">
        <v>0.14000000000000001</v>
      </c>
      <c r="Y9" s="89">
        <v>0.14000000000000001</v>
      </c>
      <c r="Z9" s="89">
        <v>0.14000000000000001</v>
      </c>
      <c r="AA9" s="88">
        <v>0.14000000000000001</v>
      </c>
      <c r="AB9" s="88">
        <v>0.14000000000000001</v>
      </c>
      <c r="AC9" s="88">
        <v>0.15</v>
      </c>
      <c r="AD9" s="88">
        <v>0.15</v>
      </c>
      <c r="AE9" s="90" t="s">
        <v>388</v>
      </c>
      <c r="AF9" s="88">
        <v>0.14000000000000001</v>
      </c>
      <c r="AG9" s="88">
        <v>0.14000000000000001</v>
      </c>
      <c r="AH9" s="7" t="s">
        <v>439</v>
      </c>
      <c r="AK9" s="99">
        <f t="shared" si="1"/>
        <v>0.56000000000000005</v>
      </c>
      <c r="AL9" s="99">
        <f t="shared" si="0"/>
        <v>0.14000000000000001</v>
      </c>
    </row>
    <row r="10" spans="2:40" ht="120" x14ac:dyDescent="0.25">
      <c r="B10" s="6" t="s">
        <v>42</v>
      </c>
      <c r="C10" s="6" t="s">
        <v>43</v>
      </c>
      <c r="D10" s="6" t="s">
        <v>44</v>
      </c>
      <c r="E10" s="6" t="s">
        <v>45</v>
      </c>
      <c r="F10" s="6" t="s">
        <v>46</v>
      </c>
      <c r="G10" s="6"/>
      <c r="H10" s="6"/>
      <c r="I10" s="6"/>
      <c r="J10" s="6" t="s">
        <v>62</v>
      </c>
      <c r="K10" s="7" t="s">
        <v>63</v>
      </c>
      <c r="L10" s="7" t="s">
        <v>64</v>
      </c>
      <c r="M10" s="6" t="s">
        <v>50</v>
      </c>
      <c r="N10" s="9">
        <v>42552</v>
      </c>
      <c r="O10" s="9">
        <v>42734</v>
      </c>
      <c r="P10" s="6" t="s">
        <v>52</v>
      </c>
      <c r="Q10" s="6" t="s">
        <v>52</v>
      </c>
      <c r="R10" s="87">
        <v>0.04</v>
      </c>
      <c r="S10" s="88"/>
      <c r="T10" s="89"/>
      <c r="U10" s="89"/>
      <c r="V10" s="89"/>
      <c r="W10" s="89"/>
      <c r="X10" s="88">
        <v>0.14000000000000001</v>
      </c>
      <c r="Y10" s="89">
        <v>0.14000000000000001</v>
      </c>
      <c r="Z10" s="89">
        <v>0.14000000000000001</v>
      </c>
      <c r="AA10" s="88">
        <v>0.14000000000000001</v>
      </c>
      <c r="AB10" s="88">
        <v>0.14000000000000001</v>
      </c>
      <c r="AC10" s="88">
        <v>0.15</v>
      </c>
      <c r="AD10" s="88">
        <v>0.15</v>
      </c>
      <c r="AE10" s="90" t="s">
        <v>388</v>
      </c>
      <c r="AF10" s="88">
        <v>0.14000000000000001</v>
      </c>
      <c r="AG10" s="88">
        <f>14%+14%+14%+14%</f>
        <v>0.56000000000000005</v>
      </c>
      <c r="AH10" s="7" t="s">
        <v>440</v>
      </c>
      <c r="AK10" s="99">
        <f t="shared" si="1"/>
        <v>0.56000000000000005</v>
      </c>
      <c r="AL10" s="99">
        <f t="shared" si="0"/>
        <v>0.56000000000000005</v>
      </c>
    </row>
    <row r="11" spans="2:40" ht="127.5" x14ac:dyDescent="0.25">
      <c r="B11" s="6" t="s">
        <v>42</v>
      </c>
      <c r="C11" s="6" t="s">
        <v>43</v>
      </c>
      <c r="D11" s="6" t="s">
        <v>44</v>
      </c>
      <c r="E11" s="6" t="s">
        <v>45</v>
      </c>
      <c r="F11" s="6" t="s">
        <v>46</v>
      </c>
      <c r="G11" s="6"/>
      <c r="H11" s="6"/>
      <c r="I11" s="6"/>
      <c r="J11" s="6" t="s">
        <v>66</v>
      </c>
      <c r="K11" s="7" t="s">
        <v>48</v>
      </c>
      <c r="L11" s="8" t="s">
        <v>67</v>
      </c>
      <c r="M11" s="6" t="s">
        <v>50</v>
      </c>
      <c r="N11" s="9">
        <v>42583</v>
      </c>
      <c r="O11" s="9">
        <v>42705</v>
      </c>
      <c r="P11" s="6" t="s">
        <v>51</v>
      </c>
      <c r="Q11" s="6" t="s">
        <v>52</v>
      </c>
      <c r="R11" s="87">
        <v>0.03</v>
      </c>
      <c r="S11" s="88"/>
      <c r="T11" s="89"/>
      <c r="U11" s="89"/>
      <c r="V11" s="89"/>
      <c r="W11" s="89"/>
      <c r="X11" s="88"/>
      <c r="Y11" s="89"/>
      <c r="Z11" s="89">
        <v>0.25</v>
      </c>
      <c r="AA11" s="88">
        <v>0.25</v>
      </c>
      <c r="AB11" s="88">
        <v>0.25</v>
      </c>
      <c r="AC11" s="88">
        <v>0.25</v>
      </c>
      <c r="AD11" s="88"/>
      <c r="AE11" s="90" t="s">
        <v>388</v>
      </c>
      <c r="AF11" s="88">
        <v>0.25</v>
      </c>
      <c r="AG11" s="88">
        <f>25%+25%</f>
        <v>0.5</v>
      </c>
      <c r="AH11" s="7" t="s">
        <v>437</v>
      </c>
      <c r="AK11" s="99">
        <f t="shared" si="1"/>
        <v>0.5</v>
      </c>
      <c r="AL11" s="99">
        <f t="shared" si="0"/>
        <v>0.5</v>
      </c>
    </row>
    <row r="12" spans="2:40" ht="90" x14ac:dyDescent="0.25">
      <c r="B12" s="6" t="s">
        <v>42</v>
      </c>
      <c r="C12" s="6" t="s">
        <v>43</v>
      </c>
      <c r="D12" s="6" t="s">
        <v>44</v>
      </c>
      <c r="E12" s="6" t="s">
        <v>45</v>
      </c>
      <c r="F12" s="6" t="s">
        <v>46</v>
      </c>
      <c r="G12" s="6"/>
      <c r="H12" s="6"/>
      <c r="I12" s="6"/>
      <c r="J12" s="6" t="s">
        <v>69</v>
      </c>
      <c r="K12" s="7" t="s">
        <v>70</v>
      </c>
      <c r="L12" s="7"/>
      <c r="M12" s="6" t="s">
        <v>50</v>
      </c>
      <c r="N12" s="9">
        <v>42614</v>
      </c>
      <c r="O12" s="9">
        <v>42644</v>
      </c>
      <c r="P12" s="6" t="s">
        <v>52</v>
      </c>
      <c r="Q12" s="6" t="s">
        <v>52</v>
      </c>
      <c r="R12" s="87">
        <v>0.03</v>
      </c>
      <c r="S12" s="88"/>
      <c r="T12" s="89"/>
      <c r="U12" s="89"/>
      <c r="V12" s="89"/>
      <c r="W12" s="89"/>
      <c r="X12" s="88"/>
      <c r="Y12" s="89"/>
      <c r="Z12" s="89"/>
      <c r="AA12" s="88">
        <v>1</v>
      </c>
      <c r="AB12" s="88"/>
      <c r="AC12" s="88"/>
      <c r="AD12" s="88"/>
      <c r="AE12" s="90" t="s">
        <v>388</v>
      </c>
      <c r="AF12" s="88">
        <v>1</v>
      </c>
      <c r="AG12" s="88">
        <v>1</v>
      </c>
      <c r="AH12" s="7" t="s">
        <v>441</v>
      </c>
      <c r="AK12" s="99">
        <f t="shared" si="1"/>
        <v>1</v>
      </c>
      <c r="AL12" s="99">
        <f t="shared" si="0"/>
        <v>1</v>
      </c>
    </row>
    <row r="13" spans="2:40" ht="90" x14ac:dyDescent="0.25">
      <c r="B13" s="6" t="s">
        <v>42</v>
      </c>
      <c r="C13" s="6" t="s">
        <v>43</v>
      </c>
      <c r="D13" s="6" t="s">
        <v>44</v>
      </c>
      <c r="E13" s="6" t="s">
        <v>45</v>
      </c>
      <c r="F13" s="6" t="s">
        <v>46</v>
      </c>
      <c r="G13" s="6"/>
      <c r="H13" s="6"/>
      <c r="I13" s="6"/>
      <c r="J13" s="6" t="s">
        <v>71</v>
      </c>
      <c r="K13" s="7" t="s">
        <v>72</v>
      </c>
      <c r="L13" s="7" t="s">
        <v>59</v>
      </c>
      <c r="M13" s="6" t="s">
        <v>50</v>
      </c>
      <c r="N13" s="9">
        <v>42583</v>
      </c>
      <c r="O13" s="9">
        <v>42705</v>
      </c>
      <c r="P13" s="6" t="s">
        <v>51</v>
      </c>
      <c r="Q13" s="6" t="s">
        <v>52</v>
      </c>
      <c r="R13" s="87">
        <v>0.03</v>
      </c>
      <c r="S13" s="88"/>
      <c r="T13" s="89"/>
      <c r="U13" s="89"/>
      <c r="V13" s="89"/>
      <c r="W13" s="89"/>
      <c r="X13" s="88"/>
      <c r="Y13" s="89"/>
      <c r="Z13" s="89">
        <v>0.25</v>
      </c>
      <c r="AA13" s="88">
        <v>0.25</v>
      </c>
      <c r="AB13" s="88">
        <v>0.25</v>
      </c>
      <c r="AC13" s="88">
        <v>0.25</v>
      </c>
      <c r="AD13" s="88"/>
      <c r="AE13" s="90" t="s">
        <v>388</v>
      </c>
      <c r="AF13" s="88">
        <v>0</v>
      </c>
      <c r="AG13" s="88">
        <v>0</v>
      </c>
      <c r="AH13" s="7" t="s">
        <v>442</v>
      </c>
      <c r="AK13" s="99">
        <f t="shared" si="1"/>
        <v>0.5</v>
      </c>
      <c r="AL13" s="99">
        <f t="shared" si="0"/>
        <v>0</v>
      </c>
    </row>
    <row r="14" spans="2:40" ht="120" x14ac:dyDescent="0.25">
      <c r="B14" s="6" t="s">
        <v>42</v>
      </c>
      <c r="C14" s="6" t="s">
        <v>43</v>
      </c>
      <c r="D14" s="6" t="s">
        <v>44</v>
      </c>
      <c r="E14" s="6" t="s">
        <v>45</v>
      </c>
      <c r="F14" s="6" t="s">
        <v>46</v>
      </c>
      <c r="G14" s="6"/>
      <c r="H14" s="6"/>
      <c r="I14" s="6"/>
      <c r="J14" s="6" t="s">
        <v>73</v>
      </c>
      <c r="K14" s="7" t="s">
        <v>74</v>
      </c>
      <c r="L14" s="7" t="s">
        <v>75</v>
      </c>
      <c r="M14" s="6" t="s">
        <v>50</v>
      </c>
      <c r="N14" s="9">
        <v>42522</v>
      </c>
      <c r="O14" s="9">
        <v>42887</v>
      </c>
      <c r="P14" s="6" t="s">
        <v>76</v>
      </c>
      <c r="Q14" s="6" t="s">
        <v>77</v>
      </c>
      <c r="R14" s="87">
        <v>0.03</v>
      </c>
      <c r="S14" s="88"/>
      <c r="T14" s="89"/>
      <c r="U14" s="89"/>
      <c r="V14" s="89"/>
      <c r="W14" s="89"/>
      <c r="X14" s="88">
        <v>0.14000000000000001</v>
      </c>
      <c r="Y14" s="89">
        <v>0.14000000000000001</v>
      </c>
      <c r="Z14" s="89">
        <v>0.14000000000000001</v>
      </c>
      <c r="AA14" s="88">
        <v>0.14000000000000001</v>
      </c>
      <c r="AB14" s="88">
        <v>0.14000000000000001</v>
      </c>
      <c r="AC14" s="88">
        <v>0.15</v>
      </c>
      <c r="AD14" s="88">
        <v>0.15</v>
      </c>
      <c r="AE14" s="90" t="s">
        <v>388</v>
      </c>
      <c r="AF14" s="88">
        <v>0.14000000000000001</v>
      </c>
      <c r="AG14" s="88">
        <f>14%+14%+14%+14%</f>
        <v>0.56000000000000005</v>
      </c>
      <c r="AH14" s="7" t="s">
        <v>443</v>
      </c>
      <c r="AK14" s="99">
        <f t="shared" si="1"/>
        <v>0.56000000000000005</v>
      </c>
      <c r="AL14" s="99">
        <f t="shared" si="0"/>
        <v>0.56000000000000005</v>
      </c>
    </row>
    <row r="15" spans="2:40" ht="135" x14ac:dyDescent="0.25">
      <c r="B15" s="6" t="s">
        <v>42</v>
      </c>
      <c r="C15" s="6" t="s">
        <v>43</v>
      </c>
      <c r="D15" s="6" t="s">
        <v>44</v>
      </c>
      <c r="E15" s="6" t="s">
        <v>45</v>
      </c>
      <c r="F15" s="6" t="s">
        <v>46</v>
      </c>
      <c r="G15" s="6"/>
      <c r="H15" s="6"/>
      <c r="I15" s="6"/>
      <c r="J15" s="6" t="s">
        <v>79</v>
      </c>
      <c r="K15" s="7" t="s">
        <v>80</v>
      </c>
      <c r="L15" s="7" t="s">
        <v>81</v>
      </c>
      <c r="M15" s="6" t="s">
        <v>50</v>
      </c>
      <c r="N15" s="9">
        <v>42566</v>
      </c>
      <c r="O15" s="9">
        <v>42597</v>
      </c>
      <c r="P15" s="6" t="s">
        <v>82</v>
      </c>
      <c r="Q15" s="6" t="s">
        <v>83</v>
      </c>
      <c r="R15" s="87">
        <v>0.04</v>
      </c>
      <c r="S15" s="88"/>
      <c r="T15" s="89"/>
      <c r="U15" s="89"/>
      <c r="V15" s="89"/>
      <c r="W15" s="89"/>
      <c r="X15" s="88"/>
      <c r="Y15" s="89">
        <v>0.5</v>
      </c>
      <c r="Z15" s="89">
        <v>0.5</v>
      </c>
      <c r="AA15" s="88"/>
      <c r="AB15" s="88"/>
      <c r="AC15" s="88"/>
      <c r="AD15" s="88"/>
      <c r="AE15" s="90" t="s">
        <v>388</v>
      </c>
      <c r="AF15" s="88">
        <v>0.5</v>
      </c>
      <c r="AG15" s="88">
        <f>50%+50%</f>
        <v>1</v>
      </c>
      <c r="AH15" s="7" t="s">
        <v>444</v>
      </c>
      <c r="AK15" s="99">
        <f t="shared" si="1"/>
        <v>1</v>
      </c>
      <c r="AL15" s="99">
        <f t="shared" si="0"/>
        <v>1</v>
      </c>
    </row>
    <row r="16" spans="2:40" ht="90" x14ac:dyDescent="0.25">
      <c r="B16" s="6" t="s">
        <v>42</v>
      </c>
      <c r="C16" s="6" t="s">
        <v>43</v>
      </c>
      <c r="D16" s="6" t="s">
        <v>44</v>
      </c>
      <c r="E16" s="6" t="s">
        <v>45</v>
      </c>
      <c r="F16" s="6" t="s">
        <v>46</v>
      </c>
      <c r="G16" s="6"/>
      <c r="H16" s="6"/>
      <c r="I16" s="6"/>
      <c r="J16" s="6" t="s">
        <v>85</v>
      </c>
      <c r="K16" s="7" t="s">
        <v>86</v>
      </c>
      <c r="L16" s="7" t="s">
        <v>87</v>
      </c>
      <c r="M16" s="6" t="s">
        <v>50</v>
      </c>
      <c r="N16" s="9">
        <v>42552</v>
      </c>
      <c r="O16" s="9">
        <v>42705</v>
      </c>
      <c r="P16" s="6" t="s">
        <v>88</v>
      </c>
      <c r="Q16" s="6" t="s">
        <v>52</v>
      </c>
      <c r="R16" s="87">
        <v>0.04</v>
      </c>
      <c r="S16" s="88"/>
      <c r="T16" s="89"/>
      <c r="U16" s="89"/>
      <c r="V16" s="89"/>
      <c r="W16" s="89"/>
      <c r="X16" s="88"/>
      <c r="Y16" s="89">
        <v>0.2</v>
      </c>
      <c r="Z16" s="89">
        <v>0.2</v>
      </c>
      <c r="AA16" s="88">
        <v>0.2</v>
      </c>
      <c r="AB16" s="88">
        <v>0.2</v>
      </c>
      <c r="AC16" s="88">
        <v>0.2</v>
      </c>
      <c r="AD16" s="88"/>
      <c r="AE16" s="90" t="s">
        <v>388</v>
      </c>
      <c r="AF16" s="88">
        <v>0.2</v>
      </c>
      <c r="AG16" s="88">
        <f>20%+20%+20%</f>
        <v>0.60000000000000009</v>
      </c>
      <c r="AH16" s="7" t="s">
        <v>89</v>
      </c>
      <c r="AK16" s="99">
        <f t="shared" si="1"/>
        <v>0.60000000000000009</v>
      </c>
      <c r="AL16" s="99">
        <f t="shared" si="0"/>
        <v>0.60000000000000009</v>
      </c>
    </row>
    <row r="17" spans="2:38" ht="90" x14ac:dyDescent="0.25">
      <c r="B17" s="6" t="s">
        <v>42</v>
      </c>
      <c r="C17" s="6" t="s">
        <v>43</v>
      </c>
      <c r="D17" s="6" t="s">
        <v>44</v>
      </c>
      <c r="E17" s="6" t="s">
        <v>45</v>
      </c>
      <c r="F17" s="6" t="s">
        <v>46</v>
      </c>
      <c r="G17" s="6"/>
      <c r="H17" s="6"/>
      <c r="I17" s="6"/>
      <c r="J17" s="6" t="s">
        <v>90</v>
      </c>
      <c r="K17" s="7" t="s">
        <v>91</v>
      </c>
      <c r="L17" s="7" t="s">
        <v>92</v>
      </c>
      <c r="M17" s="6" t="s">
        <v>50</v>
      </c>
      <c r="N17" s="9">
        <v>42552</v>
      </c>
      <c r="O17" s="9">
        <v>42767</v>
      </c>
      <c r="P17" s="6" t="s">
        <v>93</v>
      </c>
      <c r="Q17" s="6" t="s">
        <v>94</v>
      </c>
      <c r="R17" s="87">
        <v>0.03</v>
      </c>
      <c r="S17" s="88"/>
      <c r="T17" s="89"/>
      <c r="U17" s="89"/>
      <c r="V17" s="89"/>
      <c r="W17" s="89"/>
      <c r="X17" s="88">
        <v>0.14000000000000001</v>
      </c>
      <c r="Y17" s="89">
        <v>0.14000000000000001</v>
      </c>
      <c r="Z17" s="89">
        <v>0.14000000000000001</v>
      </c>
      <c r="AA17" s="88">
        <v>0.14000000000000001</v>
      </c>
      <c r="AB17" s="88">
        <v>0.14000000000000001</v>
      </c>
      <c r="AC17" s="88">
        <v>0.15</v>
      </c>
      <c r="AD17" s="88">
        <v>0.15</v>
      </c>
      <c r="AE17" s="90" t="s">
        <v>388</v>
      </c>
      <c r="AF17" s="88">
        <v>0.14000000000000001</v>
      </c>
      <c r="AG17" s="88">
        <f>14%+14%+14%+14%</f>
        <v>0.56000000000000005</v>
      </c>
      <c r="AH17" s="7" t="s">
        <v>445</v>
      </c>
      <c r="AK17" s="99">
        <f t="shared" si="1"/>
        <v>0.56000000000000005</v>
      </c>
      <c r="AL17" s="99">
        <f t="shared" si="0"/>
        <v>0.56000000000000005</v>
      </c>
    </row>
    <row r="18" spans="2:38" ht="120" x14ac:dyDescent="0.25">
      <c r="B18" s="6" t="s">
        <v>42</v>
      </c>
      <c r="C18" s="6" t="s">
        <v>43</v>
      </c>
      <c r="D18" s="6" t="s">
        <v>44</v>
      </c>
      <c r="E18" s="6" t="s">
        <v>45</v>
      </c>
      <c r="F18" s="6" t="s">
        <v>96</v>
      </c>
      <c r="G18" s="6"/>
      <c r="H18" s="6"/>
      <c r="I18" s="6"/>
      <c r="J18" s="6" t="s">
        <v>97</v>
      </c>
      <c r="K18" s="7" t="s">
        <v>98</v>
      </c>
      <c r="L18" s="7" t="s">
        <v>99</v>
      </c>
      <c r="M18" s="6" t="s">
        <v>100</v>
      </c>
      <c r="N18" s="9">
        <v>42618</v>
      </c>
      <c r="O18" s="9">
        <v>42983</v>
      </c>
      <c r="P18" s="7" t="s">
        <v>101</v>
      </c>
      <c r="Q18" s="6" t="s">
        <v>102</v>
      </c>
      <c r="R18" s="87">
        <v>0.03</v>
      </c>
      <c r="S18" s="88"/>
      <c r="T18" s="89"/>
      <c r="U18" s="89"/>
      <c r="V18" s="89"/>
      <c r="W18" s="89"/>
      <c r="X18" s="88"/>
      <c r="Y18" s="89"/>
      <c r="Z18" s="89"/>
      <c r="AA18" s="88"/>
      <c r="AB18" s="88"/>
      <c r="AC18" s="88"/>
      <c r="AD18" s="88">
        <v>1</v>
      </c>
      <c r="AE18" s="90" t="s">
        <v>388</v>
      </c>
      <c r="AF18" s="88">
        <v>0.25</v>
      </c>
      <c r="AG18" s="88">
        <f>25%+25%</f>
        <v>0.5</v>
      </c>
      <c r="AH18" s="16" t="s">
        <v>408</v>
      </c>
      <c r="AK18" s="99">
        <f t="shared" si="1"/>
        <v>0</v>
      </c>
      <c r="AL18" s="99">
        <f t="shared" si="0"/>
        <v>0.5</v>
      </c>
    </row>
    <row r="19" spans="2:38" ht="120" customHeight="1" x14ac:dyDescent="0.25">
      <c r="B19" s="6" t="s">
        <v>42</v>
      </c>
      <c r="C19" s="6" t="s">
        <v>43</v>
      </c>
      <c r="D19" s="6" t="s">
        <v>44</v>
      </c>
      <c r="E19" s="6" t="s">
        <v>45</v>
      </c>
      <c r="F19" s="6" t="s">
        <v>96</v>
      </c>
      <c r="G19" s="6"/>
      <c r="H19" s="6"/>
      <c r="I19" s="6"/>
      <c r="J19" s="6" t="s">
        <v>104</v>
      </c>
      <c r="K19" s="7" t="s">
        <v>105</v>
      </c>
      <c r="L19" s="7" t="s">
        <v>106</v>
      </c>
      <c r="M19" s="6" t="s">
        <v>100</v>
      </c>
      <c r="N19" s="9">
        <v>42583</v>
      </c>
      <c r="O19" s="9">
        <v>42735</v>
      </c>
      <c r="P19" s="7" t="s">
        <v>101</v>
      </c>
      <c r="Q19" s="6" t="s">
        <v>107</v>
      </c>
      <c r="R19" s="87">
        <v>0.04</v>
      </c>
      <c r="S19" s="88"/>
      <c r="T19" s="89"/>
      <c r="U19" s="89"/>
      <c r="V19" s="89"/>
      <c r="W19" s="89"/>
      <c r="X19" s="88"/>
      <c r="Y19" s="89"/>
      <c r="Z19" s="89">
        <v>0.1</v>
      </c>
      <c r="AA19" s="88">
        <v>0.2</v>
      </c>
      <c r="AB19" s="88">
        <v>0.2</v>
      </c>
      <c r="AC19" s="88">
        <v>0.3</v>
      </c>
      <c r="AD19" s="88">
        <v>0.2</v>
      </c>
      <c r="AE19" s="90" t="s">
        <v>388</v>
      </c>
      <c r="AF19" s="88">
        <v>0.17</v>
      </c>
      <c r="AG19" s="88">
        <f>+'PAI-BMPT-Jul&amp;Agst'!AG19+'PAI-BMPT-Sept'!AF19</f>
        <v>0.56000000000000005</v>
      </c>
      <c r="AH19" s="16" t="s">
        <v>409</v>
      </c>
      <c r="AK19" s="99">
        <f t="shared" si="1"/>
        <v>0.30000000000000004</v>
      </c>
      <c r="AL19" s="99">
        <f t="shared" si="0"/>
        <v>0.56000000000000005</v>
      </c>
    </row>
    <row r="20" spans="2:38" ht="90" x14ac:dyDescent="0.25">
      <c r="B20" s="6" t="s">
        <v>42</v>
      </c>
      <c r="C20" s="6" t="s">
        <v>43</v>
      </c>
      <c r="D20" s="6" t="s">
        <v>44</v>
      </c>
      <c r="E20" s="6" t="s">
        <v>45</v>
      </c>
      <c r="F20" s="6" t="s">
        <v>96</v>
      </c>
      <c r="G20" s="6"/>
      <c r="H20" s="6"/>
      <c r="I20" s="6"/>
      <c r="J20" s="6" t="s">
        <v>108</v>
      </c>
      <c r="K20" s="7" t="s">
        <v>109</v>
      </c>
      <c r="L20" s="7" t="s">
        <v>110</v>
      </c>
      <c r="M20" s="6" t="s">
        <v>100</v>
      </c>
      <c r="N20" s="9">
        <v>42614</v>
      </c>
      <c r="O20" s="9">
        <v>42735</v>
      </c>
      <c r="P20" s="7" t="s">
        <v>111</v>
      </c>
      <c r="Q20" s="6" t="s">
        <v>52</v>
      </c>
      <c r="R20" s="87">
        <v>0.03</v>
      </c>
      <c r="S20" s="90"/>
      <c r="T20" s="91"/>
      <c r="U20" s="91"/>
      <c r="V20" s="91"/>
      <c r="W20" s="91"/>
      <c r="X20" s="90"/>
      <c r="Y20" s="91"/>
      <c r="Z20" s="89">
        <v>0.05</v>
      </c>
      <c r="AA20" s="88">
        <v>0.15</v>
      </c>
      <c r="AB20" s="88">
        <v>0.25</v>
      </c>
      <c r="AC20" s="88">
        <v>0.5</v>
      </c>
      <c r="AD20" s="88">
        <v>0.05</v>
      </c>
      <c r="AE20" s="90" t="s">
        <v>388</v>
      </c>
      <c r="AF20" s="88">
        <v>0.05</v>
      </c>
      <c r="AG20" s="88">
        <f>5%+5%</f>
        <v>0.1</v>
      </c>
      <c r="AH20" s="7" t="s">
        <v>410</v>
      </c>
      <c r="AK20" s="99">
        <f t="shared" si="1"/>
        <v>0.2</v>
      </c>
      <c r="AL20" s="99">
        <f t="shared" si="0"/>
        <v>0.1</v>
      </c>
    </row>
    <row r="21" spans="2:38" ht="105" x14ac:dyDescent="0.25">
      <c r="B21" s="6" t="s">
        <v>42</v>
      </c>
      <c r="C21" s="6" t="s">
        <v>43</v>
      </c>
      <c r="D21" s="6" t="s">
        <v>44</v>
      </c>
      <c r="E21" s="6" t="s">
        <v>45</v>
      </c>
      <c r="F21" s="6" t="s">
        <v>113</v>
      </c>
      <c r="G21" s="6"/>
      <c r="H21" s="6"/>
      <c r="I21" s="6"/>
      <c r="J21" s="6" t="s">
        <v>114</v>
      </c>
      <c r="K21" s="7" t="s">
        <v>115</v>
      </c>
      <c r="L21" s="7" t="s">
        <v>116</v>
      </c>
      <c r="M21" s="6" t="s">
        <v>100</v>
      </c>
      <c r="N21" s="9">
        <v>42614</v>
      </c>
      <c r="O21" s="9">
        <v>42826</v>
      </c>
      <c r="P21" s="7"/>
      <c r="Q21" s="6"/>
      <c r="R21" s="87">
        <v>0.04</v>
      </c>
      <c r="S21" s="88"/>
      <c r="T21" s="89"/>
      <c r="U21" s="89"/>
      <c r="V21" s="89"/>
      <c r="W21" s="89"/>
      <c r="X21" s="88"/>
      <c r="Y21" s="89"/>
      <c r="Z21" s="89"/>
      <c r="AA21" s="88">
        <v>0.25</v>
      </c>
      <c r="AB21" s="88">
        <v>0.25</v>
      </c>
      <c r="AC21" s="88">
        <v>0.25</v>
      </c>
      <c r="AD21" s="88">
        <v>0.25</v>
      </c>
      <c r="AE21" s="90" t="s">
        <v>388</v>
      </c>
      <c r="AF21" s="88">
        <v>0.1</v>
      </c>
      <c r="AG21" s="88">
        <v>0.1</v>
      </c>
      <c r="AH21" s="7" t="s">
        <v>411</v>
      </c>
      <c r="AK21" s="99">
        <f t="shared" si="1"/>
        <v>0.25</v>
      </c>
      <c r="AL21" s="99">
        <f t="shared" si="0"/>
        <v>0.1</v>
      </c>
    </row>
    <row r="22" spans="2:38" ht="165" x14ac:dyDescent="0.25">
      <c r="B22" s="6" t="s">
        <v>42</v>
      </c>
      <c r="C22" s="6" t="s">
        <v>43</v>
      </c>
      <c r="D22" s="6" t="s">
        <v>44</v>
      </c>
      <c r="E22" s="6" t="s">
        <v>45</v>
      </c>
      <c r="F22" s="6" t="s">
        <v>113</v>
      </c>
      <c r="G22" s="6"/>
      <c r="H22" s="6"/>
      <c r="I22" s="6"/>
      <c r="J22" s="6" t="s">
        <v>117</v>
      </c>
      <c r="K22" s="7" t="s">
        <v>118</v>
      </c>
      <c r="L22" s="7" t="s">
        <v>119</v>
      </c>
      <c r="M22" s="6" t="s">
        <v>100</v>
      </c>
      <c r="N22" s="9">
        <v>42614</v>
      </c>
      <c r="O22" s="9">
        <v>42735</v>
      </c>
      <c r="P22" s="7" t="s">
        <v>120</v>
      </c>
      <c r="Q22" s="6" t="s">
        <v>121</v>
      </c>
      <c r="R22" s="87">
        <v>0.04</v>
      </c>
      <c r="S22" s="88"/>
      <c r="T22" s="89"/>
      <c r="U22" s="89"/>
      <c r="V22" s="89"/>
      <c r="W22" s="89"/>
      <c r="X22" s="88"/>
      <c r="Y22" s="89"/>
      <c r="Z22" s="89"/>
      <c r="AA22" s="88">
        <v>0.25</v>
      </c>
      <c r="AB22" s="88">
        <v>0.25</v>
      </c>
      <c r="AC22" s="88">
        <v>0.25</v>
      </c>
      <c r="AD22" s="88">
        <v>0.25</v>
      </c>
      <c r="AE22" s="90" t="s">
        <v>388</v>
      </c>
      <c r="AF22" s="88">
        <v>0.25</v>
      </c>
      <c r="AG22" s="88">
        <v>0.25</v>
      </c>
      <c r="AH22" s="7" t="s">
        <v>412</v>
      </c>
      <c r="AK22" s="99">
        <f t="shared" si="1"/>
        <v>0.25</v>
      </c>
      <c r="AL22" s="99">
        <f t="shared" si="0"/>
        <v>0.25</v>
      </c>
    </row>
    <row r="23" spans="2:38" ht="90" x14ac:dyDescent="0.25">
      <c r="B23" s="6" t="s">
        <v>42</v>
      </c>
      <c r="C23" s="6" t="s">
        <v>43</v>
      </c>
      <c r="D23" s="6" t="s">
        <v>44</v>
      </c>
      <c r="E23" s="6" t="s">
        <v>45</v>
      </c>
      <c r="F23" s="6" t="s">
        <v>113</v>
      </c>
      <c r="G23" s="6"/>
      <c r="H23" s="6"/>
      <c r="I23" s="6"/>
      <c r="J23" s="6" t="s">
        <v>122</v>
      </c>
      <c r="K23" s="7" t="s">
        <v>123</v>
      </c>
      <c r="L23" s="7" t="s">
        <v>124</v>
      </c>
      <c r="M23" s="6" t="s">
        <v>100</v>
      </c>
      <c r="N23" s="9">
        <v>42583</v>
      </c>
      <c r="O23" s="9">
        <v>42735</v>
      </c>
      <c r="P23" s="7" t="s">
        <v>51</v>
      </c>
      <c r="Q23" s="6"/>
      <c r="R23" s="87">
        <v>0.03</v>
      </c>
      <c r="S23" s="88"/>
      <c r="T23" s="89"/>
      <c r="U23" s="89"/>
      <c r="V23" s="89"/>
      <c r="W23" s="89"/>
      <c r="X23" s="88"/>
      <c r="Y23" s="89"/>
      <c r="Z23" s="89">
        <v>0.2</v>
      </c>
      <c r="AA23" s="88">
        <v>0.2</v>
      </c>
      <c r="AB23" s="88">
        <v>0.2</v>
      </c>
      <c r="AC23" s="88">
        <v>0.2</v>
      </c>
      <c r="AD23" s="88">
        <v>0.2</v>
      </c>
      <c r="AE23" s="90" t="s">
        <v>388</v>
      </c>
      <c r="AF23" s="88">
        <v>0.2</v>
      </c>
      <c r="AG23" s="88">
        <f>20%+20%</f>
        <v>0.4</v>
      </c>
      <c r="AH23" s="16" t="s">
        <v>413</v>
      </c>
      <c r="AK23" s="99">
        <f t="shared" si="1"/>
        <v>0.4</v>
      </c>
      <c r="AL23" s="99">
        <f t="shared" si="0"/>
        <v>0.4</v>
      </c>
    </row>
    <row r="24" spans="2:38" ht="90" x14ac:dyDescent="0.25">
      <c r="B24" s="6" t="s">
        <v>42</v>
      </c>
      <c r="C24" s="6" t="s">
        <v>43</v>
      </c>
      <c r="D24" s="6" t="s">
        <v>44</v>
      </c>
      <c r="E24" s="6" t="s">
        <v>45</v>
      </c>
      <c r="F24" s="6" t="s">
        <v>113</v>
      </c>
      <c r="G24" s="6"/>
      <c r="H24" s="6"/>
      <c r="I24" s="6"/>
      <c r="J24" s="6" t="s">
        <v>126</v>
      </c>
      <c r="K24" s="7" t="s">
        <v>127</v>
      </c>
      <c r="L24" s="7" t="s">
        <v>128</v>
      </c>
      <c r="M24" s="6" t="s">
        <v>100</v>
      </c>
      <c r="N24" s="9">
        <v>42614</v>
      </c>
      <c r="O24" s="9">
        <v>42767</v>
      </c>
      <c r="P24" s="7" t="s">
        <v>129</v>
      </c>
      <c r="Q24" s="6" t="s">
        <v>130</v>
      </c>
      <c r="R24" s="87">
        <v>0.04</v>
      </c>
      <c r="S24" s="88"/>
      <c r="T24" s="89"/>
      <c r="U24" s="89"/>
      <c r="V24" s="89"/>
      <c r="W24" s="89"/>
      <c r="X24" s="88"/>
      <c r="Y24" s="89"/>
      <c r="Z24" s="89"/>
      <c r="AA24" s="88">
        <v>0.25</v>
      </c>
      <c r="AB24" s="88">
        <v>0.25</v>
      </c>
      <c r="AC24" s="88">
        <v>0.25</v>
      </c>
      <c r="AD24" s="88">
        <v>0.25</v>
      </c>
      <c r="AE24" s="90" t="s">
        <v>388</v>
      </c>
      <c r="AF24" s="88">
        <v>0.25</v>
      </c>
      <c r="AG24" s="88">
        <v>0.25</v>
      </c>
      <c r="AH24" s="7" t="s">
        <v>414</v>
      </c>
      <c r="AK24" s="99">
        <f t="shared" si="1"/>
        <v>0.25</v>
      </c>
      <c r="AL24" s="99">
        <f t="shared" si="0"/>
        <v>0.25</v>
      </c>
    </row>
    <row r="25" spans="2:38" ht="240" x14ac:dyDescent="0.25">
      <c r="B25" s="6" t="s">
        <v>42</v>
      </c>
      <c r="C25" s="6" t="s">
        <v>43</v>
      </c>
      <c r="D25" s="6" t="s">
        <v>44</v>
      </c>
      <c r="E25" s="6" t="s">
        <v>45</v>
      </c>
      <c r="F25" s="6" t="s">
        <v>113</v>
      </c>
      <c r="G25" s="6"/>
      <c r="H25" s="6"/>
      <c r="I25" s="6"/>
      <c r="J25" s="6" t="s">
        <v>131</v>
      </c>
      <c r="K25" s="7" t="s">
        <v>132</v>
      </c>
      <c r="L25" s="7" t="s">
        <v>133</v>
      </c>
      <c r="M25" s="6" t="s">
        <v>100</v>
      </c>
      <c r="N25" s="9">
        <v>42614</v>
      </c>
      <c r="O25" s="9">
        <v>42735</v>
      </c>
      <c r="P25" s="7" t="s">
        <v>111</v>
      </c>
      <c r="Q25" s="6" t="s">
        <v>134</v>
      </c>
      <c r="R25" s="87">
        <v>0.03</v>
      </c>
      <c r="S25" s="88"/>
      <c r="T25" s="89"/>
      <c r="U25" s="89"/>
      <c r="V25" s="89"/>
      <c r="W25" s="89"/>
      <c r="X25" s="88"/>
      <c r="Y25" s="89"/>
      <c r="Z25" s="89"/>
      <c r="AA25" s="88"/>
      <c r="AB25" s="88">
        <v>0.3</v>
      </c>
      <c r="AC25" s="88">
        <v>0.6</v>
      </c>
      <c r="AD25" s="88">
        <v>0.1</v>
      </c>
      <c r="AE25" s="90" t="s">
        <v>388</v>
      </c>
      <c r="AF25" s="88">
        <v>0.1</v>
      </c>
      <c r="AG25" s="88">
        <v>0.1</v>
      </c>
      <c r="AH25" s="7" t="s">
        <v>415</v>
      </c>
      <c r="AK25" s="99">
        <f t="shared" si="1"/>
        <v>0</v>
      </c>
      <c r="AL25" s="99">
        <f t="shared" si="0"/>
        <v>0.1</v>
      </c>
    </row>
    <row r="26" spans="2:38" ht="185.25" customHeight="1" x14ac:dyDescent="0.25">
      <c r="B26" s="6" t="s">
        <v>42</v>
      </c>
      <c r="C26" s="6" t="s">
        <v>43</v>
      </c>
      <c r="D26" s="6" t="s">
        <v>44</v>
      </c>
      <c r="E26" s="6" t="s">
        <v>45</v>
      </c>
      <c r="F26" s="6" t="s">
        <v>113</v>
      </c>
      <c r="G26" s="6"/>
      <c r="H26" s="6"/>
      <c r="I26" s="6"/>
      <c r="J26" s="6" t="s">
        <v>135</v>
      </c>
      <c r="K26" s="7" t="s">
        <v>136</v>
      </c>
      <c r="L26" s="7" t="s">
        <v>137</v>
      </c>
      <c r="M26" s="6" t="s">
        <v>100</v>
      </c>
      <c r="N26" s="9">
        <v>42597</v>
      </c>
      <c r="O26" s="9">
        <v>42809</v>
      </c>
      <c r="P26" s="7" t="s">
        <v>138</v>
      </c>
      <c r="Q26" s="6" t="s">
        <v>139</v>
      </c>
      <c r="R26" s="87">
        <v>0.03</v>
      </c>
      <c r="S26" s="88"/>
      <c r="T26" s="89"/>
      <c r="U26" s="89"/>
      <c r="V26" s="89"/>
      <c r="W26" s="89"/>
      <c r="X26" s="88"/>
      <c r="Y26" s="89"/>
      <c r="Z26" s="89">
        <v>0.2</v>
      </c>
      <c r="AA26" s="88">
        <v>0.2</v>
      </c>
      <c r="AB26" s="88">
        <v>0.2</v>
      </c>
      <c r="AC26" s="88">
        <v>0.2</v>
      </c>
      <c r="AD26" s="88">
        <v>0.2</v>
      </c>
      <c r="AE26" s="90" t="s">
        <v>388</v>
      </c>
      <c r="AF26" s="88">
        <v>0.1</v>
      </c>
      <c r="AG26" s="88">
        <f>7%+10%</f>
        <v>0.17</v>
      </c>
      <c r="AH26" s="16" t="s">
        <v>411</v>
      </c>
      <c r="AK26" s="99">
        <f t="shared" si="1"/>
        <v>0.4</v>
      </c>
      <c r="AL26" s="99">
        <f t="shared" si="0"/>
        <v>0.17</v>
      </c>
    </row>
    <row r="27" spans="2:38" ht="195" x14ac:dyDescent="0.25">
      <c r="B27" s="6" t="s">
        <v>42</v>
      </c>
      <c r="C27" s="6" t="s">
        <v>43</v>
      </c>
      <c r="D27" s="6" t="s">
        <v>44</v>
      </c>
      <c r="E27" s="6" t="s">
        <v>45</v>
      </c>
      <c r="F27" s="6" t="s">
        <v>113</v>
      </c>
      <c r="G27" s="6"/>
      <c r="H27" s="6"/>
      <c r="I27" s="6"/>
      <c r="J27" s="6" t="s">
        <v>141</v>
      </c>
      <c r="K27" s="7" t="s">
        <v>142</v>
      </c>
      <c r="L27" s="7" t="s">
        <v>143</v>
      </c>
      <c r="M27" s="6" t="s">
        <v>100</v>
      </c>
      <c r="N27" s="9">
        <v>42614</v>
      </c>
      <c r="O27" s="9">
        <v>42704</v>
      </c>
      <c r="P27" s="7" t="s">
        <v>144</v>
      </c>
      <c r="Q27" s="6" t="s">
        <v>145</v>
      </c>
      <c r="R27" s="87">
        <v>0.03</v>
      </c>
      <c r="S27" s="88"/>
      <c r="T27" s="89"/>
      <c r="U27" s="89"/>
      <c r="V27" s="89"/>
      <c r="W27" s="89"/>
      <c r="X27" s="88"/>
      <c r="Y27" s="89"/>
      <c r="Z27" s="89"/>
      <c r="AA27" s="88">
        <v>0.33</v>
      </c>
      <c r="AB27" s="88">
        <v>0.34</v>
      </c>
      <c r="AC27" s="88">
        <v>0.33</v>
      </c>
      <c r="AD27" s="88"/>
      <c r="AE27" s="90" t="s">
        <v>388</v>
      </c>
      <c r="AF27" s="88">
        <v>0.33</v>
      </c>
      <c r="AG27" s="88">
        <v>0.33</v>
      </c>
      <c r="AH27" s="7" t="s">
        <v>416</v>
      </c>
      <c r="AK27" s="99">
        <f t="shared" si="1"/>
        <v>0.33</v>
      </c>
      <c r="AL27" s="99">
        <f t="shared" si="0"/>
        <v>0.33</v>
      </c>
    </row>
    <row r="28" spans="2:38" ht="195" x14ac:dyDescent="0.25">
      <c r="B28" s="6" t="s">
        <v>42</v>
      </c>
      <c r="C28" s="6" t="s">
        <v>43</v>
      </c>
      <c r="D28" s="6" t="s">
        <v>44</v>
      </c>
      <c r="E28" s="6" t="s">
        <v>45</v>
      </c>
      <c r="F28" s="6" t="s">
        <v>113</v>
      </c>
      <c r="G28" s="6"/>
      <c r="H28" s="6"/>
      <c r="I28" s="6"/>
      <c r="J28" s="6" t="s">
        <v>146</v>
      </c>
      <c r="K28" s="7" t="s">
        <v>147</v>
      </c>
      <c r="L28" s="7" t="s">
        <v>148</v>
      </c>
      <c r="M28" s="6" t="s">
        <v>100</v>
      </c>
      <c r="N28" s="9">
        <v>42614</v>
      </c>
      <c r="O28" s="9">
        <v>42735</v>
      </c>
      <c r="P28" s="7" t="s">
        <v>144</v>
      </c>
      <c r="Q28" s="6" t="s">
        <v>149</v>
      </c>
      <c r="R28" s="87">
        <v>0.03</v>
      </c>
      <c r="S28" s="88"/>
      <c r="T28" s="89"/>
      <c r="U28" s="89"/>
      <c r="V28" s="89"/>
      <c r="W28" s="89"/>
      <c r="X28" s="88"/>
      <c r="Y28" s="89"/>
      <c r="Z28" s="89"/>
      <c r="AA28" s="88">
        <v>0.25</v>
      </c>
      <c r="AB28" s="88">
        <v>0.25</v>
      </c>
      <c r="AC28" s="88">
        <v>0.25</v>
      </c>
      <c r="AD28" s="88">
        <v>0.25</v>
      </c>
      <c r="AE28" s="90" t="s">
        <v>388</v>
      </c>
      <c r="AF28" s="88">
        <v>0.2</v>
      </c>
      <c r="AG28" s="88">
        <f>7%+20%</f>
        <v>0.27</v>
      </c>
      <c r="AH28" s="16" t="s">
        <v>417</v>
      </c>
      <c r="AK28" s="99">
        <f t="shared" si="1"/>
        <v>0.25</v>
      </c>
      <c r="AL28" s="99">
        <f t="shared" si="0"/>
        <v>0.27</v>
      </c>
    </row>
    <row r="29" spans="2:38" ht="90" x14ac:dyDescent="0.25">
      <c r="B29" s="6" t="s">
        <v>42</v>
      </c>
      <c r="C29" s="6" t="s">
        <v>43</v>
      </c>
      <c r="D29" s="6" t="s">
        <v>44</v>
      </c>
      <c r="E29" s="6" t="s">
        <v>45</v>
      </c>
      <c r="F29" s="6" t="s">
        <v>150</v>
      </c>
      <c r="G29" s="6"/>
      <c r="H29" s="6"/>
      <c r="I29" s="6"/>
      <c r="J29" s="6" t="s">
        <v>151</v>
      </c>
      <c r="K29" s="7" t="s">
        <v>152</v>
      </c>
      <c r="L29" s="7" t="s">
        <v>153</v>
      </c>
      <c r="M29" s="6" t="s">
        <v>100</v>
      </c>
      <c r="N29" s="9">
        <v>42628</v>
      </c>
      <c r="O29" s="9">
        <v>42689</v>
      </c>
      <c r="P29" s="7" t="s">
        <v>154</v>
      </c>
      <c r="Q29" s="6" t="s">
        <v>155</v>
      </c>
      <c r="R29" s="87">
        <v>0.03</v>
      </c>
      <c r="S29" s="88"/>
      <c r="T29" s="89"/>
      <c r="U29" s="89"/>
      <c r="V29" s="89"/>
      <c r="W29" s="89"/>
      <c r="X29" s="88"/>
      <c r="Y29" s="89"/>
      <c r="Z29" s="89"/>
      <c r="AA29" s="88">
        <v>0.33</v>
      </c>
      <c r="AB29" s="88">
        <v>0.34</v>
      </c>
      <c r="AC29" s="88">
        <v>0.33</v>
      </c>
      <c r="AD29" s="88"/>
      <c r="AE29" s="90" t="s">
        <v>388</v>
      </c>
      <c r="AF29" s="88"/>
      <c r="AG29" s="88"/>
      <c r="AH29" s="7" t="s">
        <v>418</v>
      </c>
      <c r="AK29" s="99">
        <f t="shared" si="1"/>
        <v>0.33</v>
      </c>
      <c r="AL29" s="99">
        <f t="shared" si="0"/>
        <v>0</v>
      </c>
    </row>
    <row r="30" spans="2:38" ht="105" x14ac:dyDescent="0.25">
      <c r="B30" s="6" t="s">
        <v>42</v>
      </c>
      <c r="C30" s="6" t="s">
        <v>43</v>
      </c>
      <c r="D30" s="6" t="s">
        <v>44</v>
      </c>
      <c r="E30" s="6" t="s">
        <v>45</v>
      </c>
      <c r="F30" s="6" t="s">
        <v>150</v>
      </c>
      <c r="G30" s="6"/>
      <c r="H30" s="6"/>
      <c r="I30" s="6"/>
      <c r="J30" s="6" t="s">
        <v>156</v>
      </c>
      <c r="K30" s="7" t="s">
        <v>157</v>
      </c>
      <c r="L30" s="7" t="s">
        <v>158</v>
      </c>
      <c r="M30" s="6" t="s">
        <v>100</v>
      </c>
      <c r="N30" s="9">
        <v>42614</v>
      </c>
      <c r="O30" s="9">
        <v>42735</v>
      </c>
      <c r="P30" s="7" t="s">
        <v>159</v>
      </c>
      <c r="Q30" s="6" t="s">
        <v>160</v>
      </c>
      <c r="R30" s="87">
        <v>0.03</v>
      </c>
      <c r="S30" s="88"/>
      <c r="T30" s="89"/>
      <c r="U30" s="89"/>
      <c r="V30" s="89"/>
      <c r="W30" s="89"/>
      <c r="X30" s="88"/>
      <c r="Y30" s="89"/>
      <c r="Z30" s="89"/>
      <c r="AA30" s="88">
        <v>0.25</v>
      </c>
      <c r="AB30" s="88">
        <v>0.25</v>
      </c>
      <c r="AC30" s="88">
        <v>0.25</v>
      </c>
      <c r="AD30" s="88">
        <v>0.25</v>
      </c>
      <c r="AE30" s="90" t="s">
        <v>388</v>
      </c>
      <c r="AF30" s="88">
        <v>0.1</v>
      </c>
      <c r="AG30" s="88">
        <v>0.1</v>
      </c>
      <c r="AH30" s="7" t="s">
        <v>419</v>
      </c>
      <c r="AK30" s="99">
        <f t="shared" si="1"/>
        <v>0.25</v>
      </c>
      <c r="AL30" s="99">
        <f t="shared" si="0"/>
        <v>0.1</v>
      </c>
    </row>
    <row r="31" spans="2:38" ht="90" x14ac:dyDescent="0.25">
      <c r="B31" s="6" t="s">
        <v>42</v>
      </c>
      <c r="C31" s="6" t="s">
        <v>43</v>
      </c>
      <c r="D31" s="6" t="s">
        <v>44</v>
      </c>
      <c r="E31" s="6" t="s">
        <v>45</v>
      </c>
      <c r="F31" s="6" t="s">
        <v>161</v>
      </c>
      <c r="G31" s="6"/>
      <c r="H31" s="6"/>
      <c r="I31" s="6"/>
      <c r="J31" s="6" t="s">
        <v>162</v>
      </c>
      <c r="K31" s="7" t="s">
        <v>163</v>
      </c>
      <c r="L31" s="7" t="s">
        <v>164</v>
      </c>
      <c r="M31" s="6" t="s">
        <v>60</v>
      </c>
      <c r="N31" s="9">
        <v>42644</v>
      </c>
      <c r="O31" s="9">
        <v>42887</v>
      </c>
      <c r="P31" s="7" t="s">
        <v>138</v>
      </c>
      <c r="Q31" s="7" t="s">
        <v>165</v>
      </c>
      <c r="R31" s="87">
        <v>0.04</v>
      </c>
      <c r="S31" s="88"/>
      <c r="T31" s="89"/>
      <c r="U31" s="89"/>
      <c r="V31" s="89"/>
      <c r="W31" s="89"/>
      <c r="X31" s="88"/>
      <c r="Y31" s="89"/>
      <c r="Z31" s="89"/>
      <c r="AA31" s="88"/>
      <c r="AB31" s="88">
        <v>1</v>
      </c>
      <c r="AC31" s="88"/>
      <c r="AD31" s="88"/>
      <c r="AE31" s="90"/>
      <c r="AF31" s="88"/>
      <c r="AG31" s="88"/>
      <c r="AH31" s="7"/>
      <c r="AK31" s="99">
        <f t="shared" si="1"/>
        <v>0</v>
      </c>
      <c r="AL31" s="99">
        <f t="shared" si="0"/>
        <v>0</v>
      </c>
    </row>
    <row r="32" spans="2:38" ht="105" x14ac:dyDescent="0.25">
      <c r="B32" s="6" t="s">
        <v>42</v>
      </c>
      <c r="C32" s="6" t="s">
        <v>43</v>
      </c>
      <c r="D32" s="6" t="s">
        <v>44</v>
      </c>
      <c r="E32" s="6" t="s">
        <v>45</v>
      </c>
      <c r="F32" s="6" t="s">
        <v>161</v>
      </c>
      <c r="G32" s="6"/>
      <c r="H32" s="6"/>
      <c r="I32" s="6"/>
      <c r="J32" s="6" t="s">
        <v>166</v>
      </c>
      <c r="K32" s="7" t="s">
        <v>167</v>
      </c>
      <c r="L32" s="7" t="s">
        <v>168</v>
      </c>
      <c r="M32" s="6" t="s">
        <v>60</v>
      </c>
      <c r="N32" s="9">
        <v>42614</v>
      </c>
      <c r="O32" s="9">
        <v>42979</v>
      </c>
      <c r="P32" s="7" t="s">
        <v>138</v>
      </c>
      <c r="Q32" s="7" t="s">
        <v>169</v>
      </c>
      <c r="R32" s="87">
        <v>0.03</v>
      </c>
      <c r="S32" s="88"/>
      <c r="T32" s="89"/>
      <c r="U32" s="89"/>
      <c r="V32" s="89"/>
      <c r="W32" s="89"/>
      <c r="X32" s="88"/>
      <c r="Y32" s="89"/>
      <c r="Z32" s="89"/>
      <c r="AA32" s="88">
        <v>0.14000000000000001</v>
      </c>
      <c r="AB32" s="88">
        <v>0.28999999999999998</v>
      </c>
      <c r="AC32" s="88">
        <v>0.56999999999999995</v>
      </c>
      <c r="AD32" s="88"/>
      <c r="AE32" s="90" t="s">
        <v>388</v>
      </c>
      <c r="AF32" s="88"/>
      <c r="AG32" s="88"/>
      <c r="AH32" s="7" t="s">
        <v>389</v>
      </c>
      <c r="AK32" s="99">
        <f t="shared" si="1"/>
        <v>0.14000000000000001</v>
      </c>
      <c r="AL32" s="99">
        <f t="shared" si="0"/>
        <v>0</v>
      </c>
    </row>
    <row r="33" spans="2:38" ht="90" x14ac:dyDescent="0.25">
      <c r="B33" s="6" t="s">
        <v>42</v>
      </c>
      <c r="C33" s="6" t="s">
        <v>43</v>
      </c>
      <c r="D33" s="6" t="s">
        <v>44</v>
      </c>
      <c r="E33" s="6" t="s">
        <v>45</v>
      </c>
      <c r="F33" s="6" t="s">
        <v>161</v>
      </c>
      <c r="G33" s="6"/>
      <c r="H33" s="6"/>
      <c r="I33" s="6"/>
      <c r="J33" s="6" t="s">
        <v>170</v>
      </c>
      <c r="K33" s="7" t="s">
        <v>171</v>
      </c>
      <c r="L33" s="7" t="s">
        <v>172</v>
      </c>
      <c r="M33" s="6" t="s">
        <v>60</v>
      </c>
      <c r="N33" s="9">
        <v>42644</v>
      </c>
      <c r="O33" s="9">
        <v>42948</v>
      </c>
      <c r="P33" s="7" t="s">
        <v>138</v>
      </c>
      <c r="Q33" s="7" t="s">
        <v>165</v>
      </c>
      <c r="R33" s="87">
        <v>0.03</v>
      </c>
      <c r="S33" s="88"/>
      <c r="T33" s="89"/>
      <c r="U33" s="89"/>
      <c r="V33" s="89"/>
      <c r="W33" s="89"/>
      <c r="X33" s="88"/>
      <c r="Y33" s="89"/>
      <c r="Z33" s="89"/>
      <c r="AA33" s="88"/>
      <c r="AB33" s="88">
        <v>1</v>
      </c>
      <c r="AC33" s="88"/>
      <c r="AD33" s="88"/>
      <c r="AE33" s="90"/>
      <c r="AF33" s="88"/>
      <c r="AG33" s="88"/>
      <c r="AH33" s="7"/>
      <c r="AK33" s="99">
        <f t="shared" si="1"/>
        <v>0</v>
      </c>
      <c r="AL33" s="99">
        <f t="shared" si="0"/>
        <v>0</v>
      </c>
    </row>
    <row r="34" spans="2:38" ht="168.75" customHeight="1" x14ac:dyDescent="0.25">
      <c r="B34" s="6" t="s">
        <v>42</v>
      </c>
      <c r="C34" s="6" t="s">
        <v>43</v>
      </c>
      <c r="D34" s="6" t="s">
        <v>44</v>
      </c>
      <c r="E34" s="6" t="s">
        <v>45</v>
      </c>
      <c r="F34" s="6" t="s">
        <v>161</v>
      </c>
      <c r="G34" s="6"/>
      <c r="H34" s="6"/>
      <c r="I34" s="6"/>
      <c r="J34" s="6" t="s">
        <v>173</v>
      </c>
      <c r="K34" s="7" t="s">
        <v>174</v>
      </c>
      <c r="L34" s="7" t="s">
        <v>175</v>
      </c>
      <c r="M34" s="6" t="s">
        <v>60</v>
      </c>
      <c r="N34" s="9">
        <v>42583</v>
      </c>
      <c r="O34" s="9">
        <v>42735</v>
      </c>
      <c r="P34" s="7" t="s">
        <v>138</v>
      </c>
      <c r="Q34" s="7" t="s">
        <v>176</v>
      </c>
      <c r="R34" s="87">
        <v>0.04</v>
      </c>
      <c r="S34" s="88"/>
      <c r="T34" s="89"/>
      <c r="U34" s="89"/>
      <c r="V34" s="89"/>
      <c r="W34" s="89"/>
      <c r="X34" s="88"/>
      <c r="Y34" s="89"/>
      <c r="Z34" s="89">
        <v>1</v>
      </c>
      <c r="AA34" s="88"/>
      <c r="AB34" s="88"/>
      <c r="AC34" s="88"/>
      <c r="AD34" s="88"/>
      <c r="AE34" s="90" t="s">
        <v>388</v>
      </c>
      <c r="AF34" s="88">
        <v>0.25</v>
      </c>
      <c r="AG34" s="88">
        <f>25%+25%</f>
        <v>0.5</v>
      </c>
      <c r="AH34" s="16" t="s">
        <v>390</v>
      </c>
      <c r="AK34" s="99">
        <f t="shared" si="1"/>
        <v>1</v>
      </c>
      <c r="AL34" s="99">
        <f t="shared" si="0"/>
        <v>0.5</v>
      </c>
    </row>
    <row r="35" spans="2:38" ht="90" x14ac:dyDescent="0.25">
      <c r="B35" s="6" t="s">
        <v>42</v>
      </c>
      <c r="C35" s="6" t="s">
        <v>43</v>
      </c>
      <c r="D35" s="6" t="s">
        <v>44</v>
      </c>
      <c r="E35" s="6" t="s">
        <v>45</v>
      </c>
      <c r="F35" s="6" t="s">
        <v>161</v>
      </c>
      <c r="G35" s="6"/>
      <c r="H35" s="6"/>
      <c r="I35" s="6"/>
      <c r="J35" s="6" t="s">
        <v>173</v>
      </c>
      <c r="K35" s="7" t="s">
        <v>178</v>
      </c>
      <c r="L35" s="7" t="s">
        <v>175</v>
      </c>
      <c r="M35" s="6" t="s">
        <v>60</v>
      </c>
      <c r="N35" s="9">
        <v>42658</v>
      </c>
      <c r="O35" s="9">
        <v>42901</v>
      </c>
      <c r="P35" s="7" t="s">
        <v>138</v>
      </c>
      <c r="Q35" s="7" t="s">
        <v>179</v>
      </c>
      <c r="R35" s="87">
        <v>0.04</v>
      </c>
      <c r="S35" s="88"/>
      <c r="T35" s="89"/>
      <c r="U35" s="89"/>
      <c r="V35" s="89"/>
      <c r="W35" s="89"/>
      <c r="X35" s="88"/>
      <c r="Y35" s="89"/>
      <c r="Z35" s="89"/>
      <c r="AA35" s="88"/>
      <c r="AB35" s="88">
        <v>1</v>
      </c>
      <c r="AC35" s="88"/>
      <c r="AD35" s="88"/>
      <c r="AE35" s="90"/>
      <c r="AF35" s="88"/>
      <c r="AG35" s="88"/>
      <c r="AH35" s="7"/>
      <c r="AK35" s="99">
        <f t="shared" si="1"/>
        <v>0</v>
      </c>
      <c r="AL35" s="99">
        <f t="shared" si="0"/>
        <v>0</v>
      </c>
    </row>
    <row r="36" spans="2:38" ht="105" x14ac:dyDescent="0.25">
      <c r="B36" s="6" t="s">
        <v>42</v>
      </c>
      <c r="C36" s="6" t="s">
        <v>43</v>
      </c>
      <c r="D36" s="6" t="s">
        <v>44</v>
      </c>
      <c r="E36" s="6" t="s">
        <v>45</v>
      </c>
      <c r="F36" s="6" t="s">
        <v>161</v>
      </c>
      <c r="G36" s="6"/>
      <c r="H36" s="6"/>
      <c r="I36" s="6"/>
      <c r="J36" s="6" t="s">
        <v>181</v>
      </c>
      <c r="K36" s="7" t="s">
        <v>182</v>
      </c>
      <c r="L36" s="7" t="s">
        <v>183</v>
      </c>
      <c r="M36" s="6" t="s">
        <v>60</v>
      </c>
      <c r="N36" s="9">
        <v>42522</v>
      </c>
      <c r="O36" s="9">
        <v>42705</v>
      </c>
      <c r="P36" s="7" t="s">
        <v>184</v>
      </c>
      <c r="Q36" s="7" t="s">
        <v>185</v>
      </c>
      <c r="R36" s="87">
        <v>0.03</v>
      </c>
      <c r="S36" s="88"/>
      <c r="T36" s="89"/>
      <c r="U36" s="89"/>
      <c r="V36" s="89"/>
      <c r="W36" s="89"/>
      <c r="X36" s="88"/>
      <c r="Y36" s="89"/>
      <c r="Z36" s="89"/>
      <c r="AA36" s="88"/>
      <c r="AB36" s="88"/>
      <c r="AC36" s="88"/>
      <c r="AD36" s="88">
        <v>1</v>
      </c>
      <c r="AE36" s="90"/>
      <c r="AF36" s="88"/>
      <c r="AG36" s="88"/>
      <c r="AH36" s="7"/>
      <c r="AK36" s="99">
        <f t="shared" si="1"/>
        <v>0</v>
      </c>
      <c r="AL36" s="99">
        <f t="shared" si="0"/>
        <v>0</v>
      </c>
    </row>
    <row r="37" spans="2:38" ht="120" x14ac:dyDescent="0.25">
      <c r="B37" s="6" t="s">
        <v>42</v>
      </c>
      <c r="C37" s="6" t="s">
        <v>186</v>
      </c>
      <c r="D37" s="6" t="s">
        <v>44</v>
      </c>
      <c r="E37" s="6" t="s">
        <v>187</v>
      </c>
      <c r="F37" s="6" t="s">
        <v>188</v>
      </c>
      <c r="G37" s="6"/>
      <c r="H37" s="6"/>
      <c r="I37" s="6"/>
      <c r="J37" s="6" t="s">
        <v>189</v>
      </c>
      <c r="K37" s="7" t="s">
        <v>190</v>
      </c>
      <c r="L37" s="7" t="s">
        <v>191</v>
      </c>
      <c r="M37" s="6" t="s">
        <v>192</v>
      </c>
      <c r="N37" s="9">
        <v>42552</v>
      </c>
      <c r="O37" s="9">
        <v>42735</v>
      </c>
      <c r="P37" s="7" t="s">
        <v>51</v>
      </c>
      <c r="Q37" s="7" t="s">
        <v>193</v>
      </c>
      <c r="R37" s="87">
        <v>0.2</v>
      </c>
      <c r="S37" s="88"/>
      <c r="T37" s="89"/>
      <c r="U37" s="89"/>
      <c r="V37" s="89"/>
      <c r="W37" s="89"/>
      <c r="X37" s="88"/>
      <c r="Y37" s="89">
        <v>0.16</v>
      </c>
      <c r="Z37" s="89">
        <v>0.16</v>
      </c>
      <c r="AA37" s="88">
        <v>0.17</v>
      </c>
      <c r="AB37" s="87">
        <v>0.17</v>
      </c>
      <c r="AC37" s="87">
        <v>0.17</v>
      </c>
      <c r="AD37" s="88">
        <v>0.17</v>
      </c>
      <c r="AE37" s="90" t="s">
        <v>388</v>
      </c>
      <c r="AF37" s="88"/>
      <c r="AG37" s="88">
        <v>0</v>
      </c>
      <c r="AH37" s="7" t="s">
        <v>397</v>
      </c>
      <c r="AK37" s="99">
        <f t="shared" si="1"/>
        <v>0.49</v>
      </c>
      <c r="AL37" s="99">
        <f t="shared" si="0"/>
        <v>0</v>
      </c>
    </row>
    <row r="38" spans="2:38" ht="159.75" customHeight="1" x14ac:dyDescent="0.25">
      <c r="B38" s="6" t="s">
        <v>42</v>
      </c>
      <c r="C38" s="6" t="s">
        <v>186</v>
      </c>
      <c r="D38" s="6" t="s">
        <v>44</v>
      </c>
      <c r="E38" s="6" t="s">
        <v>187</v>
      </c>
      <c r="F38" s="6" t="s">
        <v>188</v>
      </c>
      <c r="G38" s="6"/>
      <c r="H38" s="6"/>
      <c r="I38" s="6"/>
      <c r="J38" s="6" t="s">
        <v>195</v>
      </c>
      <c r="K38" s="7" t="s">
        <v>196</v>
      </c>
      <c r="L38" s="7" t="s">
        <v>197</v>
      </c>
      <c r="M38" s="6" t="s">
        <v>192</v>
      </c>
      <c r="N38" s="9">
        <v>42552</v>
      </c>
      <c r="O38" s="9">
        <v>42735</v>
      </c>
      <c r="P38" s="7" t="s">
        <v>51</v>
      </c>
      <c r="Q38" s="7" t="s">
        <v>198</v>
      </c>
      <c r="R38" s="87">
        <v>0.2</v>
      </c>
      <c r="S38" s="88"/>
      <c r="T38" s="89"/>
      <c r="U38" s="89"/>
      <c r="V38" s="89"/>
      <c r="W38" s="89"/>
      <c r="X38" s="88"/>
      <c r="Y38" s="89">
        <v>0.16</v>
      </c>
      <c r="Z38" s="89">
        <v>0.16</v>
      </c>
      <c r="AA38" s="88">
        <v>0.17</v>
      </c>
      <c r="AB38" s="87">
        <v>0.17</v>
      </c>
      <c r="AC38" s="87">
        <v>0.17</v>
      </c>
      <c r="AD38" s="88">
        <v>0.17</v>
      </c>
      <c r="AE38" s="90" t="s">
        <v>388</v>
      </c>
      <c r="AF38" s="88">
        <v>0.16</v>
      </c>
      <c r="AG38" s="88">
        <f>16%+16%+16%</f>
        <v>0.48</v>
      </c>
      <c r="AH38" s="16" t="s">
        <v>398</v>
      </c>
      <c r="AK38" s="99">
        <f t="shared" si="1"/>
        <v>0.49</v>
      </c>
      <c r="AL38" s="99">
        <f t="shared" si="0"/>
        <v>0.48</v>
      </c>
    </row>
    <row r="39" spans="2:38" ht="120" x14ac:dyDescent="0.25">
      <c r="B39" s="6" t="s">
        <v>42</v>
      </c>
      <c r="C39" s="6" t="s">
        <v>186</v>
      </c>
      <c r="D39" s="6" t="s">
        <v>44</v>
      </c>
      <c r="E39" s="6" t="s">
        <v>187</v>
      </c>
      <c r="F39" s="6" t="s">
        <v>200</v>
      </c>
      <c r="G39" s="6"/>
      <c r="H39" s="6"/>
      <c r="I39" s="6"/>
      <c r="J39" s="6" t="s">
        <v>201</v>
      </c>
      <c r="K39" s="7" t="s">
        <v>202</v>
      </c>
      <c r="L39" s="7" t="s">
        <v>203</v>
      </c>
      <c r="M39" s="6" t="s">
        <v>192</v>
      </c>
      <c r="N39" s="9">
        <v>42552</v>
      </c>
      <c r="O39" s="9">
        <v>42917</v>
      </c>
      <c r="P39" s="7" t="s">
        <v>51</v>
      </c>
      <c r="Q39" s="7" t="s">
        <v>204</v>
      </c>
      <c r="R39" s="87">
        <v>0.2</v>
      </c>
      <c r="S39" s="88"/>
      <c r="T39" s="89"/>
      <c r="U39" s="89"/>
      <c r="V39" s="89"/>
      <c r="W39" s="89"/>
      <c r="X39" s="88"/>
      <c r="Y39" s="89">
        <v>0.1</v>
      </c>
      <c r="Z39" s="89">
        <v>0.3</v>
      </c>
      <c r="AA39" s="88">
        <v>0.15</v>
      </c>
      <c r="AB39" s="87">
        <v>0.15</v>
      </c>
      <c r="AC39" s="87">
        <v>0.15</v>
      </c>
      <c r="AD39" s="88">
        <v>0.15</v>
      </c>
      <c r="AE39" s="90" t="s">
        <v>388</v>
      </c>
      <c r="AF39" s="88">
        <v>0.1</v>
      </c>
      <c r="AG39" s="88">
        <f>10%+10%</f>
        <v>0.2</v>
      </c>
      <c r="AH39" s="7" t="s">
        <v>399</v>
      </c>
      <c r="AK39" s="99">
        <f t="shared" si="1"/>
        <v>0.55000000000000004</v>
      </c>
      <c r="AL39" s="99">
        <f t="shared" ref="AL39:AL70" si="2">+AG39</f>
        <v>0.2</v>
      </c>
    </row>
    <row r="40" spans="2:38" ht="120" x14ac:dyDescent="0.25">
      <c r="B40" s="6" t="s">
        <v>42</v>
      </c>
      <c r="C40" s="6" t="s">
        <v>186</v>
      </c>
      <c r="D40" s="6" t="s">
        <v>44</v>
      </c>
      <c r="E40" s="6" t="s">
        <v>187</v>
      </c>
      <c r="F40" s="6" t="s">
        <v>200</v>
      </c>
      <c r="G40" s="6"/>
      <c r="H40" s="6"/>
      <c r="I40" s="6"/>
      <c r="J40" s="6" t="s">
        <v>206</v>
      </c>
      <c r="K40" s="7" t="s">
        <v>207</v>
      </c>
      <c r="L40" s="7" t="s">
        <v>208</v>
      </c>
      <c r="M40" s="6" t="s">
        <v>192</v>
      </c>
      <c r="N40" s="9">
        <v>42552</v>
      </c>
      <c r="O40" s="9">
        <v>42675</v>
      </c>
      <c r="P40" s="7" t="s">
        <v>51</v>
      </c>
      <c r="Q40" s="7" t="s">
        <v>209</v>
      </c>
      <c r="R40" s="87">
        <v>0.2</v>
      </c>
      <c r="S40" s="88"/>
      <c r="T40" s="89"/>
      <c r="U40" s="89"/>
      <c r="V40" s="89"/>
      <c r="W40" s="89"/>
      <c r="X40" s="88"/>
      <c r="Y40" s="89">
        <v>0.16</v>
      </c>
      <c r="Z40" s="89">
        <v>0.16</v>
      </c>
      <c r="AA40" s="88">
        <v>0.17</v>
      </c>
      <c r="AB40" s="87">
        <v>0.17</v>
      </c>
      <c r="AC40" s="87">
        <v>0.17</v>
      </c>
      <c r="AD40" s="88">
        <v>0.17</v>
      </c>
      <c r="AE40" s="90" t="s">
        <v>388</v>
      </c>
      <c r="AF40" s="88">
        <v>0.3</v>
      </c>
      <c r="AG40" s="88">
        <v>0.3</v>
      </c>
      <c r="AH40" s="16" t="s">
        <v>449</v>
      </c>
      <c r="AK40" s="99">
        <f t="shared" si="1"/>
        <v>0.49</v>
      </c>
      <c r="AL40" s="99">
        <f t="shared" si="2"/>
        <v>0.3</v>
      </c>
    </row>
    <row r="41" spans="2:38" ht="120" x14ac:dyDescent="0.25">
      <c r="B41" s="6" t="s">
        <v>42</v>
      </c>
      <c r="C41" s="6" t="s">
        <v>211</v>
      </c>
      <c r="D41" s="6" t="s">
        <v>44</v>
      </c>
      <c r="E41" s="6" t="s">
        <v>187</v>
      </c>
      <c r="F41" s="6" t="s">
        <v>211</v>
      </c>
      <c r="G41" s="6"/>
      <c r="H41" s="6"/>
      <c r="I41" s="6"/>
      <c r="J41" s="6" t="s">
        <v>212</v>
      </c>
      <c r="K41" s="7" t="s">
        <v>213</v>
      </c>
      <c r="L41" s="7" t="s">
        <v>214</v>
      </c>
      <c r="M41" s="6" t="s">
        <v>192</v>
      </c>
      <c r="N41" s="9">
        <v>42552</v>
      </c>
      <c r="O41" s="9">
        <v>42735</v>
      </c>
      <c r="P41" s="7" t="s">
        <v>51</v>
      </c>
      <c r="Q41" s="7" t="s">
        <v>215</v>
      </c>
      <c r="R41" s="87">
        <v>0.2</v>
      </c>
      <c r="S41" s="88"/>
      <c r="T41" s="89"/>
      <c r="U41" s="89"/>
      <c r="V41" s="89"/>
      <c r="W41" s="89"/>
      <c r="X41" s="88"/>
      <c r="Y41" s="89">
        <v>0.17</v>
      </c>
      <c r="Z41" s="89">
        <v>0.17</v>
      </c>
      <c r="AA41" s="88">
        <v>0.17</v>
      </c>
      <c r="AB41" s="87">
        <v>0.17</v>
      </c>
      <c r="AC41" s="87">
        <v>0.16</v>
      </c>
      <c r="AD41" s="88">
        <v>0.16</v>
      </c>
      <c r="AE41" s="90" t="s">
        <v>388</v>
      </c>
      <c r="AF41" s="88"/>
      <c r="AG41" s="88">
        <f>22%+24%</f>
        <v>0.45999999999999996</v>
      </c>
      <c r="AH41" s="16" t="s">
        <v>400</v>
      </c>
      <c r="AK41" s="99">
        <f t="shared" si="1"/>
        <v>0.51</v>
      </c>
      <c r="AL41" s="99">
        <f t="shared" si="2"/>
        <v>0.45999999999999996</v>
      </c>
    </row>
    <row r="42" spans="2:38" ht="105" x14ac:dyDescent="0.25">
      <c r="B42" s="6" t="s">
        <v>217</v>
      </c>
      <c r="C42" s="6" t="s">
        <v>218</v>
      </c>
      <c r="D42" s="6" t="s">
        <v>219</v>
      </c>
      <c r="E42" s="6" t="s">
        <v>220</v>
      </c>
      <c r="F42" s="6" t="s">
        <v>221</v>
      </c>
      <c r="G42" s="6"/>
      <c r="H42" s="7"/>
      <c r="I42" s="7"/>
      <c r="J42" s="6" t="s">
        <v>222</v>
      </c>
      <c r="K42" s="7" t="s">
        <v>202</v>
      </c>
      <c r="L42" s="7" t="s">
        <v>223</v>
      </c>
      <c r="M42" s="6" t="s">
        <v>192</v>
      </c>
      <c r="N42" s="9">
        <v>42552</v>
      </c>
      <c r="O42" s="9">
        <v>42856</v>
      </c>
      <c r="P42" s="7" t="s">
        <v>51</v>
      </c>
      <c r="Q42" s="7" t="s">
        <v>224</v>
      </c>
      <c r="R42" s="87">
        <v>0.5</v>
      </c>
      <c r="S42" s="88"/>
      <c r="T42" s="89"/>
      <c r="U42" s="89"/>
      <c r="V42" s="89"/>
      <c r="W42" s="89"/>
      <c r="X42" s="88"/>
      <c r="Y42" s="89">
        <v>0.16</v>
      </c>
      <c r="Z42" s="89">
        <v>0.16</v>
      </c>
      <c r="AA42" s="88">
        <v>0.17</v>
      </c>
      <c r="AB42" s="87">
        <v>0.17</v>
      </c>
      <c r="AC42" s="87">
        <v>0.17</v>
      </c>
      <c r="AD42" s="88">
        <v>0.17</v>
      </c>
      <c r="AE42" s="90" t="s">
        <v>388</v>
      </c>
      <c r="AF42" s="88">
        <v>0.17</v>
      </c>
      <c r="AG42" s="88">
        <f>16%+16%+17%</f>
        <v>0.49</v>
      </c>
      <c r="AH42" s="16" t="s">
        <v>401</v>
      </c>
      <c r="AK42" s="99">
        <f t="shared" si="1"/>
        <v>0.49</v>
      </c>
      <c r="AL42" s="99">
        <f>+AG42</f>
        <v>0.49</v>
      </c>
    </row>
    <row r="43" spans="2:38" ht="105" x14ac:dyDescent="0.25">
      <c r="B43" s="6" t="s">
        <v>217</v>
      </c>
      <c r="C43" s="6" t="s">
        <v>218</v>
      </c>
      <c r="D43" s="6" t="s">
        <v>219</v>
      </c>
      <c r="E43" s="6" t="s">
        <v>220</v>
      </c>
      <c r="F43" s="6" t="s">
        <v>221</v>
      </c>
      <c r="G43" s="6"/>
      <c r="H43" s="7"/>
      <c r="I43" s="7"/>
      <c r="J43" s="6" t="s">
        <v>226</v>
      </c>
      <c r="K43" s="7" t="s">
        <v>227</v>
      </c>
      <c r="L43" s="7" t="s">
        <v>228</v>
      </c>
      <c r="M43" s="6" t="s">
        <v>192</v>
      </c>
      <c r="N43" s="9">
        <v>42552</v>
      </c>
      <c r="O43" s="9">
        <v>42735</v>
      </c>
      <c r="P43" s="7" t="s">
        <v>51</v>
      </c>
      <c r="Q43" s="7" t="s">
        <v>229</v>
      </c>
      <c r="R43" s="87">
        <v>0.5</v>
      </c>
      <c r="S43" s="88"/>
      <c r="T43" s="89"/>
      <c r="U43" s="89"/>
      <c r="V43" s="89"/>
      <c r="W43" s="89"/>
      <c r="X43" s="88"/>
      <c r="Y43" s="89">
        <v>0.16</v>
      </c>
      <c r="Z43" s="89">
        <v>0.16</v>
      </c>
      <c r="AA43" s="88">
        <v>0.17</v>
      </c>
      <c r="AB43" s="88">
        <v>0.17</v>
      </c>
      <c r="AC43" s="88">
        <v>0.17</v>
      </c>
      <c r="AD43" s="88">
        <v>0.17</v>
      </c>
      <c r="AE43" s="90" t="s">
        <v>388</v>
      </c>
      <c r="AF43" s="88">
        <v>0.17</v>
      </c>
      <c r="AG43" s="88">
        <f>16%+16%+17%</f>
        <v>0.49</v>
      </c>
      <c r="AH43" s="16" t="s">
        <v>402</v>
      </c>
      <c r="AK43" s="99">
        <f t="shared" si="1"/>
        <v>0.49</v>
      </c>
      <c r="AL43" s="99">
        <f t="shared" si="2"/>
        <v>0.49</v>
      </c>
    </row>
    <row r="44" spans="2:38" ht="409.5" x14ac:dyDescent="0.25">
      <c r="B44" s="6" t="s">
        <v>231</v>
      </c>
      <c r="C44" s="6" t="s">
        <v>232</v>
      </c>
      <c r="D44" s="6" t="s">
        <v>233</v>
      </c>
      <c r="E44" s="6" t="s">
        <v>234</v>
      </c>
      <c r="F44" s="6" t="s">
        <v>235</v>
      </c>
      <c r="G44" s="6"/>
      <c r="H44" s="6"/>
      <c r="I44" s="6"/>
      <c r="J44" s="6" t="s">
        <v>236</v>
      </c>
      <c r="K44" s="7" t="s">
        <v>237</v>
      </c>
      <c r="L44" s="7" t="s">
        <v>238</v>
      </c>
      <c r="M44" s="6" t="s">
        <v>111</v>
      </c>
      <c r="N44" s="9">
        <v>42552</v>
      </c>
      <c r="O44" s="9">
        <v>42735</v>
      </c>
      <c r="P44" s="7" t="s">
        <v>239</v>
      </c>
      <c r="Q44" s="7" t="s">
        <v>52</v>
      </c>
      <c r="R44" s="87">
        <v>0.03</v>
      </c>
      <c r="S44" s="88"/>
      <c r="T44" s="89"/>
      <c r="U44" s="89"/>
      <c r="V44" s="89"/>
      <c r="W44" s="89"/>
      <c r="X44" s="88">
        <v>0.14000000000000001</v>
      </c>
      <c r="Y44" s="89">
        <v>0.14000000000000001</v>
      </c>
      <c r="Z44" s="89">
        <v>0.14000000000000001</v>
      </c>
      <c r="AA44" s="88">
        <v>0.14000000000000001</v>
      </c>
      <c r="AB44" s="88">
        <v>0.14000000000000001</v>
      </c>
      <c r="AC44" s="88">
        <v>0.14000000000000001</v>
      </c>
      <c r="AD44" s="88">
        <v>0.16</v>
      </c>
      <c r="AE44" s="90" t="s">
        <v>388</v>
      </c>
      <c r="AF44" s="88">
        <v>0.14000000000000001</v>
      </c>
      <c r="AG44" s="88">
        <f>14%+14%+14%+14%</f>
        <v>0.56000000000000005</v>
      </c>
      <c r="AH44" s="7" t="s">
        <v>446</v>
      </c>
      <c r="AK44" s="99">
        <f t="shared" si="1"/>
        <v>0.56000000000000005</v>
      </c>
      <c r="AL44" s="99">
        <f t="shared" si="2"/>
        <v>0.56000000000000005</v>
      </c>
    </row>
    <row r="45" spans="2:38" ht="409.5" x14ac:dyDescent="0.25">
      <c r="B45" s="6" t="s">
        <v>231</v>
      </c>
      <c r="C45" s="6" t="s">
        <v>232</v>
      </c>
      <c r="D45" s="6" t="s">
        <v>233</v>
      </c>
      <c r="E45" s="6" t="s">
        <v>234</v>
      </c>
      <c r="F45" s="6" t="s">
        <v>240</v>
      </c>
      <c r="G45" s="6"/>
      <c r="H45" s="6"/>
      <c r="I45" s="6"/>
      <c r="J45" s="6" t="s">
        <v>241</v>
      </c>
      <c r="K45" s="7" t="s">
        <v>242</v>
      </c>
      <c r="L45" s="7" t="s">
        <v>243</v>
      </c>
      <c r="M45" s="6" t="s">
        <v>111</v>
      </c>
      <c r="N45" s="9">
        <v>42552</v>
      </c>
      <c r="O45" s="9">
        <v>42735</v>
      </c>
      <c r="P45" s="7" t="s">
        <v>244</v>
      </c>
      <c r="Q45" s="7" t="s">
        <v>245</v>
      </c>
      <c r="R45" s="87">
        <v>0.03</v>
      </c>
      <c r="S45" s="88"/>
      <c r="T45" s="89"/>
      <c r="U45" s="89"/>
      <c r="V45" s="89"/>
      <c r="W45" s="89"/>
      <c r="X45" s="88">
        <v>0.14000000000000001</v>
      </c>
      <c r="Y45" s="89">
        <v>0.14000000000000001</v>
      </c>
      <c r="Z45" s="89">
        <v>0.14000000000000001</v>
      </c>
      <c r="AA45" s="88">
        <v>0.14000000000000001</v>
      </c>
      <c r="AB45" s="88">
        <v>0.14000000000000001</v>
      </c>
      <c r="AC45" s="88">
        <v>0.14000000000000001</v>
      </c>
      <c r="AD45" s="88">
        <v>0.16</v>
      </c>
      <c r="AE45" s="90" t="s">
        <v>388</v>
      </c>
      <c r="AF45" s="88">
        <v>0.14000000000000001</v>
      </c>
      <c r="AG45" s="88">
        <f>14%+14%+14%+14%</f>
        <v>0.56000000000000005</v>
      </c>
      <c r="AH45" s="7" t="s">
        <v>435</v>
      </c>
      <c r="AK45" s="99">
        <f t="shared" si="1"/>
        <v>0.56000000000000005</v>
      </c>
      <c r="AL45" s="99">
        <f t="shared" si="2"/>
        <v>0.56000000000000005</v>
      </c>
    </row>
    <row r="46" spans="2:38" ht="210" x14ac:dyDescent="0.25">
      <c r="B46" s="6" t="s">
        <v>231</v>
      </c>
      <c r="C46" s="6" t="s">
        <v>232</v>
      </c>
      <c r="D46" s="6" t="s">
        <v>233</v>
      </c>
      <c r="E46" s="6" t="s">
        <v>234</v>
      </c>
      <c r="F46" s="6" t="s">
        <v>235</v>
      </c>
      <c r="G46" s="6"/>
      <c r="H46" s="6"/>
      <c r="I46" s="6"/>
      <c r="J46" s="6" t="s">
        <v>246</v>
      </c>
      <c r="K46" s="7" t="s">
        <v>247</v>
      </c>
      <c r="L46" s="7" t="s">
        <v>248</v>
      </c>
      <c r="M46" s="6" t="s">
        <v>111</v>
      </c>
      <c r="N46" s="9">
        <v>42614</v>
      </c>
      <c r="O46" s="9">
        <v>42705</v>
      </c>
      <c r="P46" s="7" t="s">
        <v>51</v>
      </c>
      <c r="Q46" s="7" t="s">
        <v>52</v>
      </c>
      <c r="R46" s="87">
        <v>0.03</v>
      </c>
      <c r="S46" s="88"/>
      <c r="T46" s="89"/>
      <c r="U46" s="89"/>
      <c r="V46" s="89"/>
      <c r="W46" s="89"/>
      <c r="X46" s="88"/>
      <c r="Y46" s="89"/>
      <c r="Z46" s="89"/>
      <c r="AA46" s="88">
        <v>0.33</v>
      </c>
      <c r="AB46" s="88">
        <v>0.34</v>
      </c>
      <c r="AC46" s="88">
        <v>0.33</v>
      </c>
      <c r="AD46" s="88"/>
      <c r="AE46" s="90" t="s">
        <v>388</v>
      </c>
      <c r="AF46" s="88">
        <v>0.33</v>
      </c>
      <c r="AG46" s="88">
        <v>0.33</v>
      </c>
      <c r="AH46" s="7" t="s">
        <v>436</v>
      </c>
      <c r="AK46" s="99">
        <f t="shared" si="1"/>
        <v>0.33</v>
      </c>
      <c r="AL46" s="99">
        <f t="shared" si="2"/>
        <v>0.33</v>
      </c>
    </row>
    <row r="47" spans="2:38" ht="75" x14ac:dyDescent="0.25">
      <c r="B47" s="6" t="s">
        <v>231</v>
      </c>
      <c r="C47" s="6" t="s">
        <v>232</v>
      </c>
      <c r="D47" s="6" t="s">
        <v>233</v>
      </c>
      <c r="E47" s="6" t="s">
        <v>234</v>
      </c>
      <c r="F47" s="6" t="s">
        <v>235</v>
      </c>
      <c r="G47" s="6"/>
      <c r="H47" s="6"/>
      <c r="I47" s="6"/>
      <c r="J47" s="6" t="s">
        <v>249</v>
      </c>
      <c r="K47" s="7" t="s">
        <v>250</v>
      </c>
      <c r="L47" s="7" t="s">
        <v>251</v>
      </c>
      <c r="M47" s="6" t="s">
        <v>252</v>
      </c>
      <c r="N47" s="9">
        <v>42566</v>
      </c>
      <c r="O47" s="9">
        <v>42643</v>
      </c>
      <c r="P47" s="7" t="s">
        <v>184</v>
      </c>
      <c r="Q47" s="7" t="s">
        <v>52</v>
      </c>
      <c r="R47" s="87">
        <v>0.03</v>
      </c>
      <c r="S47" s="88"/>
      <c r="T47" s="89"/>
      <c r="U47" s="89"/>
      <c r="V47" s="89"/>
      <c r="W47" s="89"/>
      <c r="X47" s="88">
        <v>0.25</v>
      </c>
      <c r="Y47" s="89">
        <v>0.25</v>
      </c>
      <c r="Z47" s="89">
        <v>0.25</v>
      </c>
      <c r="AA47" s="88">
        <v>0.25</v>
      </c>
      <c r="AB47" s="88"/>
      <c r="AC47" s="88"/>
      <c r="AD47" s="88"/>
      <c r="AE47" s="90" t="s">
        <v>388</v>
      </c>
      <c r="AF47" s="88">
        <v>0.25</v>
      </c>
      <c r="AG47" s="88">
        <f>25%+25%+25%+25%</f>
        <v>1</v>
      </c>
      <c r="AH47" s="7" t="s">
        <v>392</v>
      </c>
      <c r="AK47" s="99">
        <f t="shared" si="1"/>
        <v>1</v>
      </c>
      <c r="AL47" s="99">
        <f t="shared" si="2"/>
        <v>1</v>
      </c>
    </row>
    <row r="48" spans="2:38" ht="75" x14ac:dyDescent="0.25">
      <c r="B48" s="6" t="s">
        <v>231</v>
      </c>
      <c r="C48" s="6" t="s">
        <v>232</v>
      </c>
      <c r="D48" s="6" t="s">
        <v>233</v>
      </c>
      <c r="E48" s="6" t="s">
        <v>234</v>
      </c>
      <c r="F48" s="6" t="s">
        <v>235</v>
      </c>
      <c r="G48" s="6"/>
      <c r="H48" s="6"/>
      <c r="I48" s="6"/>
      <c r="J48" s="6" t="s">
        <v>254</v>
      </c>
      <c r="K48" s="7" t="s">
        <v>255</v>
      </c>
      <c r="L48" s="7" t="s">
        <v>256</v>
      </c>
      <c r="M48" s="6" t="s">
        <v>252</v>
      </c>
      <c r="N48" s="9">
        <v>42583</v>
      </c>
      <c r="O48" s="9">
        <v>42735</v>
      </c>
      <c r="P48" s="7" t="s">
        <v>184</v>
      </c>
      <c r="Q48" s="7" t="s">
        <v>52</v>
      </c>
      <c r="R48" s="87">
        <v>0.03</v>
      </c>
      <c r="S48" s="88"/>
      <c r="T48" s="89"/>
      <c r="U48" s="89"/>
      <c r="V48" s="89"/>
      <c r="W48" s="89"/>
      <c r="X48" s="88">
        <v>0.15</v>
      </c>
      <c r="Y48" s="89">
        <v>0.15</v>
      </c>
      <c r="Z48" s="89">
        <v>0.15</v>
      </c>
      <c r="AA48" s="88">
        <v>0.15</v>
      </c>
      <c r="AB48" s="88">
        <v>0.15</v>
      </c>
      <c r="AC48" s="88">
        <v>0.15</v>
      </c>
      <c r="AD48" s="88">
        <v>0.1</v>
      </c>
      <c r="AE48" s="90" t="s">
        <v>388</v>
      </c>
      <c r="AF48" s="88">
        <v>0.15</v>
      </c>
      <c r="AG48" s="88">
        <f>15%+15%+15%+15%</f>
        <v>0.6</v>
      </c>
      <c r="AH48" s="7" t="s">
        <v>393</v>
      </c>
      <c r="AK48" s="99">
        <f t="shared" si="1"/>
        <v>0.6</v>
      </c>
      <c r="AL48" s="99">
        <f t="shared" si="2"/>
        <v>0.6</v>
      </c>
    </row>
    <row r="49" spans="2:38" ht="75" x14ac:dyDescent="0.25">
      <c r="B49" s="6" t="s">
        <v>231</v>
      </c>
      <c r="C49" s="6" t="s">
        <v>232</v>
      </c>
      <c r="D49" s="6" t="s">
        <v>233</v>
      </c>
      <c r="E49" s="6" t="s">
        <v>234</v>
      </c>
      <c r="F49" s="6" t="s">
        <v>235</v>
      </c>
      <c r="G49" s="6"/>
      <c r="H49" s="6"/>
      <c r="I49" s="6"/>
      <c r="J49" s="6" t="s">
        <v>258</v>
      </c>
      <c r="K49" s="7" t="s">
        <v>259</v>
      </c>
      <c r="L49" s="7" t="s">
        <v>260</v>
      </c>
      <c r="M49" s="6" t="s">
        <v>252</v>
      </c>
      <c r="N49" s="9">
        <v>42583</v>
      </c>
      <c r="O49" s="9">
        <v>42735</v>
      </c>
      <c r="P49" s="7" t="s">
        <v>261</v>
      </c>
      <c r="Q49" s="7" t="s">
        <v>52</v>
      </c>
      <c r="R49" s="87">
        <v>0.03</v>
      </c>
      <c r="S49" s="88"/>
      <c r="T49" s="89"/>
      <c r="U49" s="89"/>
      <c r="V49" s="89"/>
      <c r="W49" s="89"/>
      <c r="X49" s="88"/>
      <c r="Y49" s="89"/>
      <c r="Z49" s="89"/>
      <c r="AA49" s="88"/>
      <c r="AB49" s="88">
        <v>0.3</v>
      </c>
      <c r="AC49" s="88">
        <v>0.3</v>
      </c>
      <c r="AD49" s="88">
        <v>0.4</v>
      </c>
      <c r="AE49" s="90"/>
      <c r="AF49" s="88"/>
      <c r="AG49" s="88">
        <v>1</v>
      </c>
      <c r="AH49" s="16"/>
      <c r="AK49" s="99">
        <f t="shared" si="1"/>
        <v>0</v>
      </c>
      <c r="AL49" s="99">
        <f t="shared" si="2"/>
        <v>1</v>
      </c>
    </row>
    <row r="50" spans="2:38" ht="75" x14ac:dyDescent="0.25">
      <c r="B50" s="6" t="s">
        <v>231</v>
      </c>
      <c r="C50" s="6" t="s">
        <v>232</v>
      </c>
      <c r="D50" s="6" t="s">
        <v>233</v>
      </c>
      <c r="E50" s="6" t="s">
        <v>234</v>
      </c>
      <c r="F50" s="6" t="s">
        <v>235</v>
      </c>
      <c r="G50" s="6"/>
      <c r="H50" s="6"/>
      <c r="I50" s="6"/>
      <c r="J50" s="6" t="s">
        <v>263</v>
      </c>
      <c r="K50" s="7" t="s">
        <v>264</v>
      </c>
      <c r="L50" s="7" t="s">
        <v>265</v>
      </c>
      <c r="M50" s="6" t="s">
        <v>252</v>
      </c>
      <c r="N50" s="9">
        <v>42644</v>
      </c>
      <c r="O50" s="9">
        <v>42735</v>
      </c>
      <c r="P50" s="7" t="s">
        <v>52</v>
      </c>
      <c r="Q50" s="7" t="s">
        <v>52</v>
      </c>
      <c r="R50" s="87">
        <v>0.03</v>
      </c>
      <c r="S50" s="88"/>
      <c r="T50" s="89"/>
      <c r="U50" s="89"/>
      <c r="V50" s="89"/>
      <c r="W50" s="89"/>
      <c r="X50" s="88"/>
      <c r="Y50" s="89"/>
      <c r="Z50" s="89"/>
      <c r="AA50" s="88"/>
      <c r="AB50" s="88">
        <v>0.3</v>
      </c>
      <c r="AC50" s="88">
        <v>0.3</v>
      </c>
      <c r="AD50" s="88">
        <v>0.4</v>
      </c>
      <c r="AE50" s="90"/>
      <c r="AF50" s="88"/>
      <c r="AG50" s="88"/>
      <c r="AH50" s="7" t="s">
        <v>266</v>
      </c>
      <c r="AK50" s="99">
        <f t="shared" si="1"/>
        <v>0</v>
      </c>
      <c r="AL50" s="99">
        <f t="shared" si="2"/>
        <v>0</v>
      </c>
    </row>
    <row r="51" spans="2:38" ht="75" x14ac:dyDescent="0.25">
      <c r="B51" s="6" t="s">
        <v>231</v>
      </c>
      <c r="C51" s="6" t="s">
        <v>232</v>
      </c>
      <c r="D51" s="6" t="s">
        <v>233</v>
      </c>
      <c r="E51" s="6" t="s">
        <v>234</v>
      </c>
      <c r="F51" s="6" t="s">
        <v>235</v>
      </c>
      <c r="G51" s="6"/>
      <c r="H51" s="6"/>
      <c r="I51" s="6"/>
      <c r="J51" s="6" t="s">
        <v>263</v>
      </c>
      <c r="K51" s="7" t="s">
        <v>267</v>
      </c>
      <c r="L51" s="7" t="s">
        <v>268</v>
      </c>
      <c r="M51" s="6" t="s">
        <v>252</v>
      </c>
      <c r="N51" s="9">
        <v>42597</v>
      </c>
      <c r="O51" s="9">
        <v>42658</v>
      </c>
      <c r="P51" s="7" t="s">
        <v>52</v>
      </c>
      <c r="Q51" s="7" t="s">
        <v>52</v>
      </c>
      <c r="R51" s="87">
        <v>0.03</v>
      </c>
      <c r="S51" s="88"/>
      <c r="T51" s="89"/>
      <c r="U51" s="89"/>
      <c r="V51" s="89"/>
      <c r="W51" s="89"/>
      <c r="X51" s="88"/>
      <c r="Y51" s="89"/>
      <c r="Z51" s="89">
        <v>0.5</v>
      </c>
      <c r="AA51" s="88">
        <v>0.5</v>
      </c>
      <c r="AB51" s="88"/>
      <c r="AC51" s="88"/>
      <c r="AD51" s="88"/>
      <c r="AE51" s="90" t="s">
        <v>388</v>
      </c>
      <c r="AF51" s="88">
        <v>0</v>
      </c>
      <c r="AG51" s="88">
        <v>0.5</v>
      </c>
      <c r="AH51" s="7"/>
      <c r="AK51" s="99">
        <f t="shared" si="1"/>
        <v>1</v>
      </c>
      <c r="AL51" s="99">
        <f t="shared" si="2"/>
        <v>0.5</v>
      </c>
    </row>
    <row r="52" spans="2:38" ht="75" x14ac:dyDescent="0.25">
      <c r="B52" s="6" t="s">
        <v>231</v>
      </c>
      <c r="C52" s="6" t="s">
        <v>232</v>
      </c>
      <c r="D52" s="6" t="s">
        <v>233</v>
      </c>
      <c r="E52" s="6" t="s">
        <v>234</v>
      </c>
      <c r="F52" s="6" t="s">
        <v>235</v>
      </c>
      <c r="G52" s="6"/>
      <c r="H52" s="6"/>
      <c r="I52" s="6"/>
      <c r="J52" s="6" t="s">
        <v>270</v>
      </c>
      <c r="K52" s="7" t="s">
        <v>271</v>
      </c>
      <c r="L52" s="7" t="s">
        <v>268</v>
      </c>
      <c r="M52" s="6" t="s">
        <v>252</v>
      </c>
      <c r="N52" s="9">
        <v>42583</v>
      </c>
      <c r="O52" s="9">
        <v>42735</v>
      </c>
      <c r="P52" s="7" t="s">
        <v>52</v>
      </c>
      <c r="Q52" s="7" t="s">
        <v>52</v>
      </c>
      <c r="R52" s="87">
        <v>0.03</v>
      </c>
      <c r="S52" s="88"/>
      <c r="T52" s="89"/>
      <c r="U52" s="89"/>
      <c r="V52" s="89"/>
      <c r="W52" s="89"/>
      <c r="X52" s="88"/>
      <c r="Y52" s="89"/>
      <c r="Z52" s="89">
        <v>0.2</v>
      </c>
      <c r="AA52" s="88">
        <v>0.2</v>
      </c>
      <c r="AB52" s="88">
        <v>0.2</v>
      </c>
      <c r="AC52" s="88">
        <v>0.2</v>
      </c>
      <c r="AD52" s="88">
        <v>0.2</v>
      </c>
      <c r="AE52" s="90" t="s">
        <v>388</v>
      </c>
      <c r="AF52" s="88">
        <v>0.2</v>
      </c>
      <c r="AG52" s="88">
        <f>20%+20%</f>
        <v>0.4</v>
      </c>
      <c r="AH52" s="7" t="s">
        <v>394</v>
      </c>
      <c r="AK52" s="99">
        <f t="shared" si="1"/>
        <v>0.4</v>
      </c>
      <c r="AL52" s="99">
        <f t="shared" si="2"/>
        <v>0.4</v>
      </c>
    </row>
    <row r="53" spans="2:38" ht="75" x14ac:dyDescent="0.25">
      <c r="B53" s="6" t="s">
        <v>231</v>
      </c>
      <c r="C53" s="6" t="s">
        <v>232</v>
      </c>
      <c r="D53" s="6" t="s">
        <v>233</v>
      </c>
      <c r="E53" s="6" t="s">
        <v>234</v>
      </c>
      <c r="F53" s="6" t="s">
        <v>235</v>
      </c>
      <c r="G53" s="6"/>
      <c r="H53" s="6"/>
      <c r="I53" s="6"/>
      <c r="J53" s="6" t="s">
        <v>270</v>
      </c>
      <c r="K53" s="7" t="s">
        <v>273</v>
      </c>
      <c r="L53" s="7" t="s">
        <v>268</v>
      </c>
      <c r="M53" s="6" t="s">
        <v>252</v>
      </c>
      <c r="N53" s="9">
        <v>42583</v>
      </c>
      <c r="O53" s="9">
        <v>42735</v>
      </c>
      <c r="P53" s="7" t="s">
        <v>52</v>
      </c>
      <c r="Q53" s="7" t="s">
        <v>52</v>
      </c>
      <c r="R53" s="87">
        <v>0.03</v>
      </c>
      <c r="S53" s="88"/>
      <c r="T53" s="89"/>
      <c r="U53" s="89"/>
      <c r="V53" s="89"/>
      <c r="W53" s="89"/>
      <c r="X53" s="88"/>
      <c r="Y53" s="89"/>
      <c r="Z53" s="89">
        <v>0.2</v>
      </c>
      <c r="AA53" s="88">
        <v>0.2</v>
      </c>
      <c r="AB53" s="88">
        <v>0.2</v>
      </c>
      <c r="AC53" s="88">
        <v>0.2</v>
      </c>
      <c r="AD53" s="88">
        <v>0.2</v>
      </c>
      <c r="AE53" s="90" t="s">
        <v>388</v>
      </c>
      <c r="AF53" s="88">
        <v>0.2</v>
      </c>
      <c r="AG53" s="88">
        <f>20%+20%</f>
        <v>0.4</v>
      </c>
      <c r="AH53" s="7" t="s">
        <v>395</v>
      </c>
      <c r="AK53" s="99">
        <f t="shared" si="1"/>
        <v>0.4</v>
      </c>
      <c r="AL53" s="99">
        <f t="shared" si="2"/>
        <v>0.4</v>
      </c>
    </row>
    <row r="54" spans="2:38" ht="75" x14ac:dyDescent="0.25">
      <c r="B54" s="6" t="s">
        <v>231</v>
      </c>
      <c r="C54" s="6" t="s">
        <v>232</v>
      </c>
      <c r="D54" s="6" t="s">
        <v>233</v>
      </c>
      <c r="E54" s="6" t="s">
        <v>234</v>
      </c>
      <c r="F54" s="6" t="s">
        <v>235</v>
      </c>
      <c r="G54" s="6"/>
      <c r="H54" s="6"/>
      <c r="I54" s="6"/>
      <c r="J54" s="6" t="s">
        <v>270</v>
      </c>
      <c r="K54" s="7" t="s">
        <v>275</v>
      </c>
      <c r="L54" s="7" t="s">
        <v>268</v>
      </c>
      <c r="M54" s="6" t="s">
        <v>252</v>
      </c>
      <c r="N54" s="9">
        <v>42614</v>
      </c>
      <c r="O54" s="9">
        <v>42735</v>
      </c>
      <c r="P54" s="7" t="s">
        <v>52</v>
      </c>
      <c r="Q54" s="7" t="s">
        <v>52</v>
      </c>
      <c r="R54" s="87">
        <v>0.03</v>
      </c>
      <c r="S54" s="88"/>
      <c r="T54" s="89"/>
      <c r="U54" s="89"/>
      <c r="V54" s="89"/>
      <c r="W54" s="89"/>
      <c r="X54" s="88"/>
      <c r="Y54" s="89"/>
      <c r="Z54" s="89"/>
      <c r="AA54" s="88">
        <v>0.25</v>
      </c>
      <c r="AB54" s="87">
        <v>0.25</v>
      </c>
      <c r="AC54" s="87">
        <v>0.25</v>
      </c>
      <c r="AD54" s="88">
        <v>0.25</v>
      </c>
      <c r="AE54" s="90" t="s">
        <v>388</v>
      </c>
      <c r="AF54" s="88">
        <v>0.25</v>
      </c>
      <c r="AG54" s="88">
        <v>0.25</v>
      </c>
      <c r="AH54" s="7" t="s">
        <v>396</v>
      </c>
      <c r="AK54" s="99">
        <f t="shared" si="1"/>
        <v>0.25</v>
      </c>
      <c r="AL54" s="99">
        <f t="shared" si="2"/>
        <v>0.25</v>
      </c>
    </row>
    <row r="55" spans="2:38" ht="213.75" x14ac:dyDescent="0.25">
      <c r="B55" s="6" t="s">
        <v>231</v>
      </c>
      <c r="C55" s="6" t="s">
        <v>232</v>
      </c>
      <c r="D55" s="6" t="s">
        <v>233</v>
      </c>
      <c r="E55" s="6" t="s">
        <v>234</v>
      </c>
      <c r="F55" s="6" t="s">
        <v>382</v>
      </c>
      <c r="G55" s="6"/>
      <c r="H55" s="6"/>
      <c r="I55" s="6"/>
      <c r="J55" s="6" t="s">
        <v>276</v>
      </c>
      <c r="K55" s="7" t="s">
        <v>277</v>
      </c>
      <c r="L55" s="7" t="s">
        <v>278</v>
      </c>
      <c r="M55" s="6" t="s">
        <v>184</v>
      </c>
      <c r="N55" s="9">
        <v>42552</v>
      </c>
      <c r="O55" s="9">
        <v>42735</v>
      </c>
      <c r="P55" s="7" t="s">
        <v>279</v>
      </c>
      <c r="Q55" s="7" t="s">
        <v>280</v>
      </c>
      <c r="R55" s="87">
        <v>0.03</v>
      </c>
      <c r="S55" s="88"/>
      <c r="T55" s="89"/>
      <c r="U55" s="89"/>
      <c r="V55" s="89"/>
      <c r="W55" s="89"/>
      <c r="X55" s="88"/>
      <c r="Y55" s="89">
        <v>0.16</v>
      </c>
      <c r="Z55" s="89">
        <v>0.16</v>
      </c>
      <c r="AA55" s="88">
        <v>0.17</v>
      </c>
      <c r="AB55" s="87">
        <v>0.17</v>
      </c>
      <c r="AC55" s="87">
        <v>0.17</v>
      </c>
      <c r="AD55" s="88">
        <v>0.17</v>
      </c>
      <c r="AE55" s="90" t="s">
        <v>388</v>
      </c>
      <c r="AF55" s="88">
        <v>0.17</v>
      </c>
      <c r="AG55" s="88">
        <f>10%+8%+17%</f>
        <v>0.35</v>
      </c>
      <c r="AH55" s="16" t="s">
        <v>424</v>
      </c>
      <c r="AK55" s="99">
        <f t="shared" si="1"/>
        <v>0.49</v>
      </c>
      <c r="AL55" s="99">
        <f t="shared" si="2"/>
        <v>0.35</v>
      </c>
    </row>
    <row r="56" spans="2:38" ht="144" customHeight="1" x14ac:dyDescent="0.25">
      <c r="B56" s="6" t="s">
        <v>231</v>
      </c>
      <c r="C56" s="6" t="s">
        <v>232</v>
      </c>
      <c r="D56" s="6" t="s">
        <v>233</v>
      </c>
      <c r="E56" s="6" t="s">
        <v>234</v>
      </c>
      <c r="F56" s="6" t="s">
        <v>235</v>
      </c>
      <c r="G56" s="6"/>
      <c r="H56" s="6"/>
      <c r="I56" s="6"/>
      <c r="J56" s="6" t="s">
        <v>282</v>
      </c>
      <c r="K56" s="7" t="s">
        <v>283</v>
      </c>
      <c r="L56" s="7" t="s">
        <v>284</v>
      </c>
      <c r="M56" s="6" t="s">
        <v>184</v>
      </c>
      <c r="N56" s="9">
        <v>42552</v>
      </c>
      <c r="O56" s="9">
        <v>42735</v>
      </c>
      <c r="P56" s="7" t="s">
        <v>111</v>
      </c>
      <c r="Q56" s="7" t="s">
        <v>52</v>
      </c>
      <c r="R56" s="87">
        <v>0.03</v>
      </c>
      <c r="S56" s="88"/>
      <c r="T56" s="89"/>
      <c r="U56" s="89"/>
      <c r="V56" s="89"/>
      <c r="W56" s="89"/>
      <c r="X56" s="88"/>
      <c r="Y56" s="89">
        <v>0.16</v>
      </c>
      <c r="Z56" s="89">
        <v>0.16</v>
      </c>
      <c r="AA56" s="88">
        <v>0.17</v>
      </c>
      <c r="AB56" s="87">
        <v>0.17</v>
      </c>
      <c r="AC56" s="87">
        <v>0.17</v>
      </c>
      <c r="AD56" s="88">
        <v>0.17</v>
      </c>
      <c r="AE56" s="90" t="s">
        <v>388</v>
      </c>
      <c r="AF56" s="88">
        <v>0.1</v>
      </c>
      <c r="AG56" s="88">
        <f>10%+10%+10%</f>
        <v>0.30000000000000004</v>
      </c>
      <c r="AH56" s="16" t="s">
        <v>447</v>
      </c>
      <c r="AK56" s="99">
        <f t="shared" si="1"/>
        <v>0.49</v>
      </c>
      <c r="AL56" s="99">
        <f t="shared" si="2"/>
        <v>0.30000000000000004</v>
      </c>
    </row>
    <row r="57" spans="2:38" ht="156.75" x14ac:dyDescent="0.25">
      <c r="B57" s="6" t="s">
        <v>231</v>
      </c>
      <c r="C57" s="6" t="s">
        <v>232</v>
      </c>
      <c r="D57" s="6" t="s">
        <v>233</v>
      </c>
      <c r="E57" s="6" t="s">
        <v>234</v>
      </c>
      <c r="F57" s="6" t="s">
        <v>235</v>
      </c>
      <c r="G57" s="6"/>
      <c r="H57" s="6"/>
      <c r="I57" s="6"/>
      <c r="J57" s="6" t="s">
        <v>286</v>
      </c>
      <c r="K57" s="7" t="s">
        <v>287</v>
      </c>
      <c r="L57" s="7" t="s">
        <v>288</v>
      </c>
      <c r="M57" s="6" t="s">
        <v>184</v>
      </c>
      <c r="N57" s="9">
        <v>42552</v>
      </c>
      <c r="O57" s="9">
        <v>42735</v>
      </c>
      <c r="P57" s="7" t="s">
        <v>289</v>
      </c>
      <c r="Q57" s="7" t="s">
        <v>52</v>
      </c>
      <c r="R57" s="87">
        <v>0.03</v>
      </c>
      <c r="S57" s="88"/>
      <c r="T57" s="89"/>
      <c r="U57" s="89"/>
      <c r="V57" s="89"/>
      <c r="W57" s="89"/>
      <c r="X57" s="88"/>
      <c r="Y57" s="89">
        <v>0.16</v>
      </c>
      <c r="Z57" s="89">
        <v>0.16</v>
      </c>
      <c r="AA57" s="88">
        <v>0.17</v>
      </c>
      <c r="AB57" s="87">
        <v>0.17</v>
      </c>
      <c r="AC57" s="87">
        <v>0.17</v>
      </c>
      <c r="AD57" s="88">
        <v>0.17</v>
      </c>
      <c r="AE57" s="90" t="s">
        <v>388</v>
      </c>
      <c r="AF57" s="88">
        <v>0.1</v>
      </c>
      <c r="AG57" s="88">
        <f>10%+10%+10%</f>
        <v>0.30000000000000004</v>
      </c>
      <c r="AH57" s="16" t="s">
        <v>448</v>
      </c>
      <c r="AK57" s="99">
        <f t="shared" si="1"/>
        <v>0.49</v>
      </c>
      <c r="AL57" s="99">
        <f t="shared" si="2"/>
        <v>0.30000000000000004</v>
      </c>
    </row>
    <row r="58" spans="2:38" ht="255" x14ac:dyDescent="0.25">
      <c r="B58" s="6" t="s">
        <v>231</v>
      </c>
      <c r="C58" s="6" t="s">
        <v>232</v>
      </c>
      <c r="D58" s="6" t="s">
        <v>233</v>
      </c>
      <c r="E58" s="6" t="s">
        <v>234</v>
      </c>
      <c r="F58" s="6" t="s">
        <v>382</v>
      </c>
      <c r="G58" s="6"/>
      <c r="H58" s="6"/>
      <c r="I58" s="6"/>
      <c r="J58" s="6" t="s">
        <v>290</v>
      </c>
      <c r="K58" s="7" t="s">
        <v>291</v>
      </c>
      <c r="L58" s="7" t="s">
        <v>292</v>
      </c>
      <c r="M58" s="6" t="s">
        <v>184</v>
      </c>
      <c r="N58" s="9">
        <v>42552</v>
      </c>
      <c r="O58" s="9">
        <v>42735</v>
      </c>
      <c r="P58" s="7" t="s">
        <v>52</v>
      </c>
      <c r="Q58" s="7" t="s">
        <v>52</v>
      </c>
      <c r="R58" s="87">
        <v>0.03</v>
      </c>
      <c r="S58" s="88"/>
      <c r="T58" s="89"/>
      <c r="U58" s="89"/>
      <c r="V58" s="89"/>
      <c r="W58" s="89"/>
      <c r="X58" s="88"/>
      <c r="Y58" s="89">
        <v>0.16</v>
      </c>
      <c r="Z58" s="89">
        <v>0.16</v>
      </c>
      <c r="AA58" s="88">
        <v>0.17</v>
      </c>
      <c r="AB58" s="87">
        <v>0.17</v>
      </c>
      <c r="AC58" s="87">
        <v>0.17</v>
      </c>
      <c r="AD58" s="88">
        <v>0.17</v>
      </c>
      <c r="AE58" s="90" t="s">
        <v>388</v>
      </c>
      <c r="AF58" s="88">
        <v>0.17</v>
      </c>
      <c r="AG58" s="88">
        <f>16%+16%+17%</f>
        <v>0.49</v>
      </c>
      <c r="AH58" s="8" t="s">
        <v>425</v>
      </c>
      <c r="AK58" s="99">
        <f>+X58+Y58+Z58+AA58</f>
        <v>0.49</v>
      </c>
      <c r="AL58" s="99">
        <f>+AG58</f>
        <v>0.49</v>
      </c>
    </row>
    <row r="59" spans="2:38" ht="76.5" x14ac:dyDescent="0.25">
      <c r="B59" s="6" t="s">
        <v>231</v>
      </c>
      <c r="C59" s="6" t="s">
        <v>232</v>
      </c>
      <c r="D59" s="6" t="s">
        <v>233</v>
      </c>
      <c r="E59" s="6" t="s">
        <v>234</v>
      </c>
      <c r="F59" s="6" t="s">
        <v>382</v>
      </c>
      <c r="G59" s="6"/>
      <c r="H59" s="6"/>
      <c r="I59" s="6"/>
      <c r="J59" s="6" t="s">
        <v>294</v>
      </c>
      <c r="K59" s="7" t="s">
        <v>295</v>
      </c>
      <c r="L59" s="7" t="s">
        <v>296</v>
      </c>
      <c r="M59" s="6" t="s">
        <v>184</v>
      </c>
      <c r="N59" s="9">
        <v>42552</v>
      </c>
      <c r="O59" s="9">
        <v>42735</v>
      </c>
      <c r="P59" s="7" t="s">
        <v>297</v>
      </c>
      <c r="Q59" s="7" t="s">
        <v>52</v>
      </c>
      <c r="R59" s="87">
        <v>0.03</v>
      </c>
      <c r="S59" s="88"/>
      <c r="T59" s="89"/>
      <c r="U59" s="89"/>
      <c r="V59" s="89"/>
      <c r="W59" s="89"/>
      <c r="X59" s="88"/>
      <c r="Y59" s="89">
        <v>0.16</v>
      </c>
      <c r="Z59" s="89">
        <v>0.16</v>
      </c>
      <c r="AA59" s="88">
        <v>0.17</v>
      </c>
      <c r="AB59" s="87">
        <v>0.17</v>
      </c>
      <c r="AC59" s="87">
        <v>0.17</v>
      </c>
      <c r="AD59" s="88">
        <v>0.17</v>
      </c>
      <c r="AE59" s="90" t="s">
        <v>388</v>
      </c>
      <c r="AF59" s="88">
        <v>0.17</v>
      </c>
      <c r="AG59" s="88">
        <f>3%+16%+17%</f>
        <v>0.36</v>
      </c>
      <c r="AH59" s="8" t="s">
        <v>426</v>
      </c>
      <c r="AK59" s="99">
        <f t="shared" si="1"/>
        <v>0.49</v>
      </c>
      <c r="AL59" s="99">
        <f t="shared" si="2"/>
        <v>0.36</v>
      </c>
    </row>
    <row r="60" spans="2:38" ht="75" x14ac:dyDescent="0.25">
      <c r="B60" s="6" t="s">
        <v>231</v>
      </c>
      <c r="C60" s="6" t="s">
        <v>232</v>
      </c>
      <c r="D60" s="6" t="s">
        <v>233</v>
      </c>
      <c r="E60" s="6" t="s">
        <v>234</v>
      </c>
      <c r="F60" s="6" t="s">
        <v>235</v>
      </c>
      <c r="G60" s="6"/>
      <c r="H60" s="6"/>
      <c r="I60" s="6"/>
      <c r="J60" s="6" t="s">
        <v>299</v>
      </c>
      <c r="K60" s="7" t="s">
        <v>300</v>
      </c>
      <c r="L60" s="7"/>
      <c r="M60" s="6" t="s">
        <v>184</v>
      </c>
      <c r="N60" s="9">
        <v>42552</v>
      </c>
      <c r="O60" s="9">
        <v>42735</v>
      </c>
      <c r="P60" s="7" t="s">
        <v>297</v>
      </c>
      <c r="Q60" s="7" t="s">
        <v>52</v>
      </c>
      <c r="R60" s="87">
        <v>0.03</v>
      </c>
      <c r="S60" s="88"/>
      <c r="T60" s="89"/>
      <c r="U60" s="89"/>
      <c r="V60" s="89"/>
      <c r="W60" s="89"/>
      <c r="X60" s="88"/>
      <c r="Y60" s="89">
        <v>0.16</v>
      </c>
      <c r="Z60" s="89">
        <v>0.16</v>
      </c>
      <c r="AA60" s="88">
        <v>0.17</v>
      </c>
      <c r="AB60" s="87">
        <v>0.17</v>
      </c>
      <c r="AC60" s="87">
        <v>0.17</v>
      </c>
      <c r="AD60" s="88">
        <v>0.17</v>
      </c>
      <c r="AE60" s="90" t="s">
        <v>388</v>
      </c>
      <c r="AF60" s="88">
        <v>0.17</v>
      </c>
      <c r="AG60" s="88">
        <f>16%+16%+17%</f>
        <v>0.49</v>
      </c>
      <c r="AH60" s="7" t="s">
        <v>427</v>
      </c>
      <c r="AK60" s="99">
        <f t="shared" si="1"/>
        <v>0.49</v>
      </c>
      <c r="AL60" s="99">
        <f t="shared" si="2"/>
        <v>0.49</v>
      </c>
    </row>
    <row r="61" spans="2:38" ht="375" x14ac:dyDescent="0.25">
      <c r="B61" s="6" t="s">
        <v>231</v>
      </c>
      <c r="C61" s="6" t="s">
        <v>232</v>
      </c>
      <c r="D61" s="6" t="s">
        <v>233</v>
      </c>
      <c r="E61" s="6" t="s">
        <v>234</v>
      </c>
      <c r="F61" s="6" t="s">
        <v>302</v>
      </c>
      <c r="G61" s="6"/>
      <c r="H61" s="6"/>
      <c r="I61" s="6"/>
      <c r="J61" s="6" t="s">
        <v>303</v>
      </c>
      <c r="K61" s="7" t="s">
        <v>304</v>
      </c>
      <c r="L61" s="7" t="s">
        <v>305</v>
      </c>
      <c r="M61" s="6" t="s">
        <v>184</v>
      </c>
      <c r="N61" s="9">
        <v>42552</v>
      </c>
      <c r="O61" s="9">
        <v>42735</v>
      </c>
      <c r="P61" s="7" t="s">
        <v>289</v>
      </c>
      <c r="Q61" s="7" t="s">
        <v>52</v>
      </c>
      <c r="R61" s="87">
        <v>0.03</v>
      </c>
      <c r="S61" s="88"/>
      <c r="T61" s="89"/>
      <c r="U61" s="89"/>
      <c r="V61" s="89"/>
      <c r="W61" s="89"/>
      <c r="X61" s="88"/>
      <c r="Y61" s="89">
        <v>0.16</v>
      </c>
      <c r="Z61" s="89">
        <v>0.16</v>
      </c>
      <c r="AA61" s="88">
        <v>0.17</v>
      </c>
      <c r="AB61" s="87">
        <v>0.17</v>
      </c>
      <c r="AC61" s="87">
        <v>0.17</v>
      </c>
      <c r="AD61" s="88">
        <v>0.17</v>
      </c>
      <c r="AE61" s="90" t="s">
        <v>388</v>
      </c>
      <c r="AF61" s="88">
        <v>0.17</v>
      </c>
      <c r="AG61" s="88">
        <f>16%+16%+17%</f>
        <v>0.49</v>
      </c>
      <c r="AH61" s="7" t="s">
        <v>428</v>
      </c>
      <c r="AK61" s="99">
        <f t="shared" si="1"/>
        <v>0.49</v>
      </c>
      <c r="AL61" s="99">
        <f t="shared" si="2"/>
        <v>0.49</v>
      </c>
    </row>
    <row r="62" spans="2:38" ht="90" x14ac:dyDescent="0.25">
      <c r="B62" s="6" t="s">
        <v>231</v>
      </c>
      <c r="C62" s="6" t="s">
        <v>232</v>
      </c>
      <c r="D62" s="6" t="s">
        <v>233</v>
      </c>
      <c r="E62" s="6" t="s">
        <v>234</v>
      </c>
      <c r="F62" s="6" t="s">
        <v>307</v>
      </c>
      <c r="G62" s="6"/>
      <c r="H62" s="6"/>
      <c r="I62" s="6"/>
      <c r="J62" s="6" t="s">
        <v>308</v>
      </c>
      <c r="K62" s="7" t="s">
        <v>309</v>
      </c>
      <c r="L62" s="7" t="s">
        <v>310</v>
      </c>
      <c r="M62" s="6" t="s">
        <v>184</v>
      </c>
      <c r="N62" s="9">
        <v>42552</v>
      </c>
      <c r="O62" s="9">
        <v>42735</v>
      </c>
      <c r="P62" s="7" t="s">
        <v>289</v>
      </c>
      <c r="Q62" s="7" t="s">
        <v>52</v>
      </c>
      <c r="R62" s="87">
        <v>0.03</v>
      </c>
      <c r="S62" s="88"/>
      <c r="T62" s="89"/>
      <c r="U62" s="89"/>
      <c r="V62" s="89"/>
      <c r="W62" s="89"/>
      <c r="X62" s="88"/>
      <c r="Y62" s="89">
        <v>0.16</v>
      </c>
      <c r="Z62" s="89">
        <v>0.16</v>
      </c>
      <c r="AA62" s="88">
        <v>0.17</v>
      </c>
      <c r="AB62" s="87">
        <v>0.17</v>
      </c>
      <c r="AC62" s="87">
        <v>0.17</v>
      </c>
      <c r="AD62" s="88">
        <v>0.17</v>
      </c>
      <c r="AE62" s="90" t="s">
        <v>388</v>
      </c>
      <c r="AF62" s="88">
        <v>0.17</v>
      </c>
      <c r="AG62" s="88">
        <f>16%+16%+17%</f>
        <v>0.49</v>
      </c>
      <c r="AH62" s="7" t="s">
        <v>429</v>
      </c>
      <c r="AK62" s="99">
        <f t="shared" si="1"/>
        <v>0.49</v>
      </c>
      <c r="AL62" s="99">
        <f t="shared" si="2"/>
        <v>0.49</v>
      </c>
    </row>
    <row r="63" spans="2:38" ht="128.25" customHeight="1" x14ac:dyDescent="0.25">
      <c r="B63" s="6" t="s">
        <v>231</v>
      </c>
      <c r="C63" s="6" t="s">
        <v>232</v>
      </c>
      <c r="D63" s="6" t="s">
        <v>233</v>
      </c>
      <c r="E63" s="6" t="s">
        <v>234</v>
      </c>
      <c r="F63" s="6" t="s">
        <v>307</v>
      </c>
      <c r="G63" s="6"/>
      <c r="H63" s="6"/>
      <c r="I63" s="6"/>
      <c r="J63" s="6" t="s">
        <v>312</v>
      </c>
      <c r="K63" s="7" t="s">
        <v>313</v>
      </c>
      <c r="L63" s="7" t="s">
        <v>314</v>
      </c>
      <c r="M63" s="6" t="s">
        <v>184</v>
      </c>
      <c r="N63" s="9">
        <v>42552</v>
      </c>
      <c r="O63" s="9">
        <v>42735</v>
      </c>
      <c r="P63" s="7" t="s">
        <v>315</v>
      </c>
      <c r="Q63" s="7" t="s">
        <v>316</v>
      </c>
      <c r="R63" s="87">
        <v>0.03</v>
      </c>
      <c r="S63" s="88"/>
      <c r="T63" s="89"/>
      <c r="U63" s="89"/>
      <c r="V63" s="89"/>
      <c r="W63" s="89"/>
      <c r="X63" s="88"/>
      <c r="Y63" s="89">
        <v>0.16</v>
      </c>
      <c r="Z63" s="89">
        <v>0.16</v>
      </c>
      <c r="AA63" s="88">
        <v>0.17</v>
      </c>
      <c r="AB63" s="87">
        <v>0.17</v>
      </c>
      <c r="AC63" s="87">
        <v>0.17</v>
      </c>
      <c r="AD63" s="88">
        <v>0.17</v>
      </c>
      <c r="AE63" s="90" t="s">
        <v>388</v>
      </c>
      <c r="AF63" s="88">
        <v>0.17</v>
      </c>
      <c r="AG63" s="88">
        <f>16%+16%+17%</f>
        <v>0.49</v>
      </c>
      <c r="AH63" s="16" t="s">
        <v>430</v>
      </c>
      <c r="AK63" s="99">
        <f t="shared" si="1"/>
        <v>0.49</v>
      </c>
      <c r="AL63" s="99">
        <f t="shared" si="2"/>
        <v>0.49</v>
      </c>
    </row>
    <row r="64" spans="2:38" ht="75" x14ac:dyDescent="0.25">
      <c r="B64" s="6" t="s">
        <v>231</v>
      </c>
      <c r="C64" s="6" t="s">
        <v>232</v>
      </c>
      <c r="D64" s="6" t="s">
        <v>233</v>
      </c>
      <c r="E64" s="6" t="s">
        <v>234</v>
      </c>
      <c r="F64" s="6" t="s">
        <v>235</v>
      </c>
      <c r="G64" s="6"/>
      <c r="H64" s="6"/>
      <c r="I64" s="6"/>
      <c r="J64" s="6" t="s">
        <v>317</v>
      </c>
      <c r="K64" s="7" t="s">
        <v>318</v>
      </c>
      <c r="L64" s="7" t="s">
        <v>319</v>
      </c>
      <c r="M64" s="6" t="s">
        <v>184</v>
      </c>
      <c r="N64" s="9">
        <v>42552</v>
      </c>
      <c r="O64" s="9">
        <v>42735</v>
      </c>
      <c r="P64" s="7" t="s">
        <v>52</v>
      </c>
      <c r="Q64" s="7" t="s">
        <v>52</v>
      </c>
      <c r="R64" s="87">
        <v>0.03</v>
      </c>
      <c r="S64" s="88"/>
      <c r="T64" s="89"/>
      <c r="U64" s="89"/>
      <c r="V64" s="89"/>
      <c r="W64" s="89"/>
      <c r="X64" s="88"/>
      <c r="Y64" s="89">
        <v>0.16</v>
      </c>
      <c r="Z64" s="89">
        <v>0.16</v>
      </c>
      <c r="AA64" s="88">
        <v>0.17</v>
      </c>
      <c r="AB64" s="87">
        <v>0.17</v>
      </c>
      <c r="AC64" s="87">
        <v>0.17</v>
      </c>
      <c r="AD64" s="88">
        <v>0.17</v>
      </c>
      <c r="AE64" s="90" t="s">
        <v>388</v>
      </c>
      <c r="AF64" s="88">
        <v>0.17</v>
      </c>
      <c r="AG64" s="88">
        <f>30%+20%+17%</f>
        <v>0.67</v>
      </c>
      <c r="AH64" s="16" t="s">
        <v>431</v>
      </c>
      <c r="AK64" s="99">
        <f t="shared" si="1"/>
        <v>0.49</v>
      </c>
      <c r="AL64" s="99">
        <f t="shared" si="2"/>
        <v>0.67</v>
      </c>
    </row>
    <row r="65" spans="2:38" ht="75" x14ac:dyDescent="0.25">
      <c r="B65" s="6" t="s">
        <v>231</v>
      </c>
      <c r="C65" s="6" t="s">
        <v>232</v>
      </c>
      <c r="D65" s="6" t="s">
        <v>233</v>
      </c>
      <c r="E65" s="6" t="s">
        <v>234</v>
      </c>
      <c r="F65" s="6" t="s">
        <v>235</v>
      </c>
      <c r="G65" s="6"/>
      <c r="H65" s="6"/>
      <c r="I65" s="6"/>
      <c r="J65" s="6" t="s">
        <v>320</v>
      </c>
      <c r="K65" s="7" t="s">
        <v>321</v>
      </c>
      <c r="L65" s="7" t="s">
        <v>322</v>
      </c>
      <c r="M65" s="6" t="s">
        <v>184</v>
      </c>
      <c r="N65" s="9">
        <v>42552</v>
      </c>
      <c r="O65" s="9">
        <v>42735</v>
      </c>
      <c r="P65" s="7" t="s">
        <v>52</v>
      </c>
      <c r="Q65" s="7" t="s">
        <v>52</v>
      </c>
      <c r="R65" s="87">
        <v>0.03</v>
      </c>
      <c r="S65" s="88"/>
      <c r="T65" s="89"/>
      <c r="U65" s="89"/>
      <c r="V65" s="89"/>
      <c r="W65" s="89"/>
      <c r="X65" s="88"/>
      <c r="Y65" s="89">
        <v>0.16</v>
      </c>
      <c r="Z65" s="89">
        <v>0.16</v>
      </c>
      <c r="AA65" s="88">
        <v>0.17</v>
      </c>
      <c r="AB65" s="87">
        <v>0.17</v>
      </c>
      <c r="AC65" s="87">
        <v>0.17</v>
      </c>
      <c r="AD65" s="88">
        <v>0.17</v>
      </c>
      <c r="AE65" s="90" t="s">
        <v>388</v>
      </c>
      <c r="AF65" s="88">
        <v>1</v>
      </c>
      <c r="AG65" s="88">
        <f>80%+10%+10%</f>
        <v>1</v>
      </c>
      <c r="AH65" s="16" t="s">
        <v>432</v>
      </c>
      <c r="AK65" s="99">
        <f t="shared" si="1"/>
        <v>0.49</v>
      </c>
      <c r="AL65" s="99">
        <f t="shared" si="2"/>
        <v>1</v>
      </c>
    </row>
    <row r="66" spans="2:38" ht="75" x14ac:dyDescent="0.25">
      <c r="B66" s="6" t="s">
        <v>231</v>
      </c>
      <c r="C66" s="6" t="s">
        <v>232</v>
      </c>
      <c r="D66" s="6" t="s">
        <v>233</v>
      </c>
      <c r="E66" s="6" t="s">
        <v>234</v>
      </c>
      <c r="F66" s="6" t="s">
        <v>235</v>
      </c>
      <c r="G66" s="6"/>
      <c r="H66" s="6"/>
      <c r="I66" s="6"/>
      <c r="J66" s="6" t="s">
        <v>323</v>
      </c>
      <c r="K66" s="7" t="s">
        <v>324</v>
      </c>
      <c r="L66" s="7" t="s">
        <v>325</v>
      </c>
      <c r="M66" s="6" t="s">
        <v>184</v>
      </c>
      <c r="N66" s="9">
        <v>42552</v>
      </c>
      <c r="O66" s="9">
        <v>42735</v>
      </c>
      <c r="P66" s="7" t="s">
        <v>326</v>
      </c>
      <c r="Q66" s="7" t="s">
        <v>52</v>
      </c>
      <c r="R66" s="87">
        <v>0.03</v>
      </c>
      <c r="S66" s="88"/>
      <c r="T66" s="89"/>
      <c r="U66" s="89"/>
      <c r="V66" s="89"/>
      <c r="W66" s="89"/>
      <c r="X66" s="88"/>
      <c r="Y66" s="89">
        <v>0.16</v>
      </c>
      <c r="Z66" s="89">
        <v>0.16</v>
      </c>
      <c r="AA66" s="88">
        <v>0.17</v>
      </c>
      <c r="AB66" s="87">
        <v>0.17</v>
      </c>
      <c r="AC66" s="87">
        <v>0.17</v>
      </c>
      <c r="AD66" s="88">
        <v>0.17</v>
      </c>
      <c r="AE66" s="90" t="s">
        <v>388</v>
      </c>
      <c r="AF66" s="88">
        <v>0.17</v>
      </c>
      <c r="AG66" s="88">
        <f>16%+16%+17%</f>
        <v>0.49</v>
      </c>
      <c r="AH66" s="16" t="s">
        <v>433</v>
      </c>
      <c r="AK66" s="99">
        <f t="shared" si="1"/>
        <v>0.49</v>
      </c>
      <c r="AL66" s="99">
        <f t="shared" si="2"/>
        <v>0.49</v>
      </c>
    </row>
    <row r="67" spans="2:38" ht="75" x14ac:dyDescent="0.25">
      <c r="B67" s="6" t="s">
        <v>231</v>
      </c>
      <c r="C67" s="6" t="s">
        <v>232</v>
      </c>
      <c r="D67" s="6" t="s">
        <v>233</v>
      </c>
      <c r="E67" s="6" t="s">
        <v>234</v>
      </c>
      <c r="F67" s="6" t="s">
        <v>382</v>
      </c>
      <c r="G67" s="6"/>
      <c r="H67" s="6"/>
      <c r="I67" s="6"/>
      <c r="J67" s="6" t="s">
        <v>327</v>
      </c>
      <c r="K67" s="7" t="s">
        <v>328</v>
      </c>
      <c r="L67" s="7" t="s">
        <v>329</v>
      </c>
      <c r="M67" s="6" t="s">
        <v>184</v>
      </c>
      <c r="N67" s="9">
        <v>42552</v>
      </c>
      <c r="O67" s="9">
        <v>42735</v>
      </c>
      <c r="P67" s="7" t="s">
        <v>297</v>
      </c>
      <c r="Q67" s="7" t="s">
        <v>52</v>
      </c>
      <c r="R67" s="87">
        <v>0.03</v>
      </c>
      <c r="S67" s="88"/>
      <c r="T67" s="89"/>
      <c r="U67" s="89"/>
      <c r="V67" s="89"/>
      <c r="W67" s="89"/>
      <c r="X67" s="88"/>
      <c r="Y67" s="89">
        <v>0.16</v>
      </c>
      <c r="Z67" s="89">
        <v>0.16</v>
      </c>
      <c r="AA67" s="88">
        <v>0.17</v>
      </c>
      <c r="AB67" s="87">
        <v>0.17</v>
      </c>
      <c r="AC67" s="87">
        <v>0.17</v>
      </c>
      <c r="AD67" s="88">
        <v>0.17</v>
      </c>
      <c r="AE67" s="90" t="s">
        <v>388</v>
      </c>
      <c r="AF67" s="88">
        <v>0.17</v>
      </c>
      <c r="AG67" s="88">
        <f>16%+16%+17%</f>
        <v>0.49</v>
      </c>
      <c r="AH67" s="94" t="s">
        <v>434</v>
      </c>
      <c r="AK67" s="99">
        <f t="shared" si="1"/>
        <v>0.49</v>
      </c>
      <c r="AL67" s="99">
        <f t="shared" si="2"/>
        <v>0.49</v>
      </c>
    </row>
    <row r="68" spans="2:38" ht="108" x14ac:dyDescent="0.25">
      <c r="B68" s="6" t="s">
        <v>231</v>
      </c>
      <c r="C68" s="6" t="s">
        <v>232</v>
      </c>
      <c r="D68" s="6" t="s">
        <v>233</v>
      </c>
      <c r="E68" s="6" t="s">
        <v>234</v>
      </c>
      <c r="F68" s="6" t="s">
        <v>235</v>
      </c>
      <c r="G68" s="6"/>
      <c r="H68" s="6"/>
      <c r="I68" s="6"/>
      <c r="J68" s="6" t="s">
        <v>331</v>
      </c>
      <c r="K68" s="7" t="s">
        <v>332</v>
      </c>
      <c r="L68" s="7" t="s">
        <v>333</v>
      </c>
      <c r="M68" s="6" t="s">
        <v>51</v>
      </c>
      <c r="N68" s="9">
        <v>42522</v>
      </c>
      <c r="O68" s="9">
        <v>42704</v>
      </c>
      <c r="P68" s="7" t="s">
        <v>297</v>
      </c>
      <c r="Q68" s="7" t="s">
        <v>52</v>
      </c>
      <c r="R68" s="87">
        <v>0.03</v>
      </c>
      <c r="S68" s="88"/>
      <c r="T68" s="89"/>
      <c r="U68" s="89"/>
      <c r="V68" s="89"/>
      <c r="W68" s="89"/>
      <c r="X68" s="88">
        <v>0.15</v>
      </c>
      <c r="Y68" s="89">
        <v>0.15</v>
      </c>
      <c r="Z68" s="89">
        <v>0.15</v>
      </c>
      <c r="AA68" s="88">
        <v>0.15</v>
      </c>
      <c r="AB68" s="87">
        <v>0.2</v>
      </c>
      <c r="AC68" s="87">
        <v>0.2</v>
      </c>
      <c r="AD68" s="88"/>
      <c r="AE68" s="90" t="s">
        <v>388</v>
      </c>
      <c r="AF68" s="88">
        <v>0.15</v>
      </c>
      <c r="AG68" s="88">
        <f>45%+15%</f>
        <v>0.6</v>
      </c>
      <c r="AH68" s="95" t="s">
        <v>391</v>
      </c>
      <c r="AK68" s="99">
        <f t="shared" si="1"/>
        <v>0.6</v>
      </c>
      <c r="AL68" s="99">
        <f t="shared" si="2"/>
        <v>0.6</v>
      </c>
    </row>
    <row r="69" spans="2:38" ht="356.25" x14ac:dyDescent="0.25">
      <c r="B69" s="6" t="s">
        <v>231</v>
      </c>
      <c r="C69" s="6" t="s">
        <v>232</v>
      </c>
      <c r="D69" s="6" t="s">
        <v>233</v>
      </c>
      <c r="E69" s="6" t="s">
        <v>234</v>
      </c>
      <c r="F69" s="6" t="s">
        <v>382</v>
      </c>
      <c r="G69" s="6"/>
      <c r="H69" s="6"/>
      <c r="I69" s="6"/>
      <c r="J69" s="6" t="s">
        <v>335</v>
      </c>
      <c r="K69" s="7" t="s">
        <v>336</v>
      </c>
      <c r="L69" s="7" t="s">
        <v>337</v>
      </c>
      <c r="M69" s="6" t="s">
        <v>297</v>
      </c>
      <c r="N69" s="9">
        <v>42552</v>
      </c>
      <c r="O69" s="9">
        <v>42735</v>
      </c>
      <c r="P69" s="7" t="s">
        <v>338</v>
      </c>
      <c r="Q69" s="7" t="s">
        <v>52</v>
      </c>
      <c r="R69" s="87">
        <v>0.04</v>
      </c>
      <c r="S69" s="88"/>
      <c r="T69" s="89"/>
      <c r="U69" s="89"/>
      <c r="V69" s="89"/>
      <c r="W69" s="89"/>
      <c r="X69" s="88"/>
      <c r="Y69" s="89">
        <v>0.1</v>
      </c>
      <c r="Z69" s="89">
        <v>0.1</v>
      </c>
      <c r="AA69" s="88">
        <v>0.2</v>
      </c>
      <c r="AB69" s="87">
        <v>0.2</v>
      </c>
      <c r="AC69" s="87">
        <v>0.3</v>
      </c>
      <c r="AD69" s="88">
        <v>0.1</v>
      </c>
      <c r="AE69" s="90" t="s">
        <v>388</v>
      </c>
      <c r="AF69" s="88">
        <v>0.2</v>
      </c>
      <c r="AG69" s="88">
        <f>8%+10%+20%</f>
        <v>0.38</v>
      </c>
      <c r="AH69" s="16" t="s">
        <v>420</v>
      </c>
      <c r="AK69" s="99">
        <f t="shared" si="1"/>
        <v>0.4</v>
      </c>
      <c r="AL69" s="99">
        <f t="shared" si="2"/>
        <v>0.38</v>
      </c>
    </row>
    <row r="70" spans="2:38" ht="75" x14ac:dyDescent="0.25">
      <c r="B70" s="6" t="s">
        <v>231</v>
      </c>
      <c r="C70" s="6" t="s">
        <v>232</v>
      </c>
      <c r="D70" s="6" t="s">
        <v>233</v>
      </c>
      <c r="E70" s="6" t="s">
        <v>234</v>
      </c>
      <c r="F70" s="6" t="s">
        <v>235</v>
      </c>
      <c r="G70" s="6"/>
      <c r="H70" s="6"/>
      <c r="I70" s="6"/>
      <c r="J70" s="6" t="s">
        <v>339</v>
      </c>
      <c r="K70" s="7" t="s">
        <v>340</v>
      </c>
      <c r="L70" s="7" t="s">
        <v>341</v>
      </c>
      <c r="M70" s="6" t="s">
        <v>297</v>
      </c>
      <c r="N70" s="9">
        <v>42552</v>
      </c>
      <c r="O70" s="9">
        <v>42735</v>
      </c>
      <c r="P70" s="7" t="s">
        <v>342</v>
      </c>
      <c r="Q70" s="7" t="s">
        <v>52</v>
      </c>
      <c r="R70" s="87">
        <v>0.04</v>
      </c>
      <c r="S70" s="88"/>
      <c r="T70" s="89"/>
      <c r="U70" s="89"/>
      <c r="V70" s="89"/>
      <c r="W70" s="89"/>
      <c r="X70" s="88"/>
      <c r="Y70" s="89">
        <v>0.4</v>
      </c>
      <c r="Z70" s="89">
        <v>0.4</v>
      </c>
      <c r="AA70" s="88">
        <v>0.2</v>
      </c>
      <c r="AB70" s="87"/>
      <c r="AC70" s="87"/>
      <c r="AD70" s="88"/>
      <c r="AE70" s="90" t="s">
        <v>388</v>
      </c>
      <c r="AF70" s="88">
        <v>0.15</v>
      </c>
      <c r="AG70" s="88">
        <f>30%+30%+15%</f>
        <v>0.75</v>
      </c>
      <c r="AH70" s="16" t="s">
        <v>421</v>
      </c>
      <c r="AK70" s="99">
        <f t="shared" si="1"/>
        <v>1</v>
      </c>
      <c r="AL70" s="99">
        <f t="shared" si="2"/>
        <v>0.75</v>
      </c>
    </row>
    <row r="71" spans="2:38" ht="75" x14ac:dyDescent="0.25">
      <c r="B71" s="6" t="s">
        <v>231</v>
      </c>
      <c r="C71" s="6" t="s">
        <v>232</v>
      </c>
      <c r="D71" s="6" t="s">
        <v>233</v>
      </c>
      <c r="E71" s="6" t="s">
        <v>234</v>
      </c>
      <c r="F71" s="6" t="s">
        <v>235</v>
      </c>
      <c r="G71" s="6"/>
      <c r="H71" s="6"/>
      <c r="I71" s="6"/>
      <c r="J71" s="6" t="s">
        <v>343</v>
      </c>
      <c r="K71" s="7" t="s">
        <v>344</v>
      </c>
      <c r="L71" s="7" t="s">
        <v>345</v>
      </c>
      <c r="M71" s="6" t="s">
        <v>297</v>
      </c>
      <c r="N71" s="9">
        <v>42594</v>
      </c>
      <c r="O71" s="9">
        <v>42735</v>
      </c>
      <c r="P71" s="7" t="s">
        <v>346</v>
      </c>
      <c r="Q71" s="7" t="s">
        <v>52</v>
      </c>
      <c r="R71" s="87">
        <v>0.04</v>
      </c>
      <c r="S71" s="88"/>
      <c r="T71" s="89"/>
      <c r="U71" s="89"/>
      <c r="V71" s="89"/>
      <c r="W71" s="89"/>
      <c r="X71" s="88"/>
      <c r="Y71" s="89">
        <v>0.1</v>
      </c>
      <c r="Z71" s="89">
        <v>0.25</v>
      </c>
      <c r="AA71" s="88">
        <v>0.1</v>
      </c>
      <c r="AB71" s="87">
        <v>0.15</v>
      </c>
      <c r="AC71" s="87">
        <v>0.1</v>
      </c>
      <c r="AD71" s="88">
        <v>0.3</v>
      </c>
      <c r="AE71" s="90" t="s">
        <v>388</v>
      </c>
      <c r="AF71" s="88">
        <v>0.1</v>
      </c>
      <c r="AG71" s="88">
        <f>10%+20%+10%</f>
        <v>0.4</v>
      </c>
      <c r="AH71" s="7" t="s">
        <v>422</v>
      </c>
      <c r="AK71" s="99">
        <f t="shared" si="1"/>
        <v>0.44999999999999996</v>
      </c>
      <c r="AL71" s="99">
        <f t="shared" ref="AL71:AL76" si="3">+AG71</f>
        <v>0.4</v>
      </c>
    </row>
    <row r="72" spans="2:38" ht="99.75" x14ac:dyDescent="0.25">
      <c r="B72" s="6" t="s">
        <v>231</v>
      </c>
      <c r="C72" s="6" t="s">
        <v>232</v>
      </c>
      <c r="D72" s="6" t="s">
        <v>233</v>
      </c>
      <c r="E72" s="6" t="s">
        <v>234</v>
      </c>
      <c r="F72" s="6" t="s">
        <v>382</v>
      </c>
      <c r="G72" s="6"/>
      <c r="H72" s="6"/>
      <c r="I72" s="6"/>
      <c r="J72" s="6" t="s">
        <v>347</v>
      </c>
      <c r="K72" s="7" t="s">
        <v>348</v>
      </c>
      <c r="L72" s="7" t="s">
        <v>349</v>
      </c>
      <c r="M72" s="6" t="s">
        <v>297</v>
      </c>
      <c r="N72" s="9">
        <v>42552</v>
      </c>
      <c r="O72" s="9">
        <v>42674</v>
      </c>
      <c r="P72" s="7" t="s">
        <v>350</v>
      </c>
      <c r="Q72" s="7" t="s">
        <v>149</v>
      </c>
      <c r="R72" s="87">
        <v>0.04</v>
      </c>
      <c r="S72" s="88"/>
      <c r="T72" s="89"/>
      <c r="U72" s="89"/>
      <c r="V72" s="89"/>
      <c r="W72" s="89"/>
      <c r="X72" s="88"/>
      <c r="Y72" s="89"/>
      <c r="Z72" s="89">
        <v>0.5</v>
      </c>
      <c r="AA72" s="88">
        <v>0.5</v>
      </c>
      <c r="AB72" s="87"/>
      <c r="AC72" s="87"/>
      <c r="AD72" s="88"/>
      <c r="AE72" s="90" t="s">
        <v>388</v>
      </c>
      <c r="AF72" s="88"/>
      <c r="AG72" s="88">
        <f>15%+20%</f>
        <v>0.35</v>
      </c>
      <c r="AH72" s="16" t="s">
        <v>423</v>
      </c>
      <c r="AK72" s="99">
        <f t="shared" ref="AK72:AK76" si="4">+X72+Y72+Z72+AA72</f>
        <v>1</v>
      </c>
      <c r="AL72" s="99">
        <f t="shared" si="3"/>
        <v>0.35</v>
      </c>
    </row>
    <row r="73" spans="2:38" ht="105" x14ac:dyDescent="0.25">
      <c r="B73" s="6" t="s">
        <v>231</v>
      </c>
      <c r="C73" s="6" t="s">
        <v>232</v>
      </c>
      <c r="D73" s="6" t="s">
        <v>233</v>
      </c>
      <c r="E73" s="6" t="s">
        <v>234</v>
      </c>
      <c r="F73" s="6" t="s">
        <v>235</v>
      </c>
      <c r="G73" s="6"/>
      <c r="H73" s="6"/>
      <c r="I73" s="6"/>
      <c r="J73" s="6" t="s">
        <v>351</v>
      </c>
      <c r="K73" s="8" t="s">
        <v>352</v>
      </c>
      <c r="L73" s="7"/>
      <c r="M73" s="6" t="s">
        <v>353</v>
      </c>
      <c r="N73" s="9">
        <v>42552</v>
      </c>
      <c r="O73" s="9">
        <v>42735</v>
      </c>
      <c r="P73" s="7" t="s">
        <v>354</v>
      </c>
      <c r="Q73" s="6" t="s">
        <v>52</v>
      </c>
      <c r="R73" s="87">
        <v>0.02</v>
      </c>
      <c r="S73" s="88"/>
      <c r="T73" s="89"/>
      <c r="U73" s="89"/>
      <c r="V73" s="89"/>
      <c r="W73" s="89"/>
      <c r="X73" s="88"/>
      <c r="Y73" s="89"/>
      <c r="Z73" s="89">
        <v>0.5</v>
      </c>
      <c r="AA73" s="88"/>
      <c r="AB73" s="87"/>
      <c r="AC73" s="87"/>
      <c r="AD73" s="88">
        <v>0.5</v>
      </c>
      <c r="AE73" s="90"/>
      <c r="AF73" s="88"/>
      <c r="AG73" s="88">
        <v>0.5</v>
      </c>
      <c r="AH73" s="16"/>
      <c r="AK73" s="99">
        <f t="shared" si="4"/>
        <v>0.5</v>
      </c>
      <c r="AL73" s="99">
        <f t="shared" si="3"/>
        <v>0.5</v>
      </c>
    </row>
    <row r="74" spans="2:38" ht="128.25" x14ac:dyDescent="0.25">
      <c r="B74" s="6" t="s">
        <v>231</v>
      </c>
      <c r="C74" s="6" t="s">
        <v>232</v>
      </c>
      <c r="D74" s="6" t="s">
        <v>233</v>
      </c>
      <c r="E74" s="6" t="s">
        <v>234</v>
      </c>
      <c r="F74" s="6" t="s">
        <v>235</v>
      </c>
      <c r="G74" s="6"/>
      <c r="H74" s="6"/>
      <c r="I74" s="6"/>
      <c r="J74" s="6" t="s">
        <v>356</v>
      </c>
      <c r="K74" s="8" t="s">
        <v>357</v>
      </c>
      <c r="L74" s="7"/>
      <c r="M74" s="6" t="s">
        <v>353</v>
      </c>
      <c r="N74" s="9">
        <v>42552</v>
      </c>
      <c r="O74" s="9">
        <v>42735</v>
      </c>
      <c r="P74" s="7" t="s">
        <v>289</v>
      </c>
      <c r="Q74" s="6" t="s">
        <v>52</v>
      </c>
      <c r="R74" s="87">
        <v>0.02</v>
      </c>
      <c r="S74" s="88"/>
      <c r="T74" s="89"/>
      <c r="U74" s="89"/>
      <c r="V74" s="89"/>
      <c r="W74" s="89"/>
      <c r="X74" s="88"/>
      <c r="Y74" s="89">
        <v>0.16</v>
      </c>
      <c r="Z74" s="89">
        <v>0.16</v>
      </c>
      <c r="AA74" s="88">
        <v>0.16</v>
      </c>
      <c r="AB74" s="87">
        <v>0.16</v>
      </c>
      <c r="AC74" s="87">
        <v>0.18</v>
      </c>
      <c r="AD74" s="88">
        <v>0.18</v>
      </c>
      <c r="AE74" s="90" t="s">
        <v>388</v>
      </c>
      <c r="AF74" s="88">
        <v>0.16</v>
      </c>
      <c r="AG74" s="88">
        <f>16%+16%+16%</f>
        <v>0.48</v>
      </c>
      <c r="AH74" s="16" t="s">
        <v>405</v>
      </c>
      <c r="AK74" s="99">
        <f t="shared" si="4"/>
        <v>0.48</v>
      </c>
      <c r="AL74" s="99">
        <f t="shared" si="3"/>
        <v>0.48</v>
      </c>
    </row>
    <row r="75" spans="2:38" ht="89.25" x14ac:dyDescent="0.25">
      <c r="B75" s="6" t="s">
        <v>231</v>
      </c>
      <c r="C75" s="6" t="s">
        <v>232</v>
      </c>
      <c r="D75" s="6" t="s">
        <v>233</v>
      </c>
      <c r="E75" s="6" t="s">
        <v>234</v>
      </c>
      <c r="F75" s="6" t="s">
        <v>382</v>
      </c>
      <c r="G75" s="6"/>
      <c r="H75" s="6"/>
      <c r="I75" s="6"/>
      <c r="J75" s="6" t="s">
        <v>358</v>
      </c>
      <c r="K75" s="8" t="s">
        <v>359</v>
      </c>
      <c r="L75" s="7"/>
      <c r="M75" s="6" t="s">
        <v>353</v>
      </c>
      <c r="N75" s="9">
        <v>42552</v>
      </c>
      <c r="O75" s="9">
        <v>42735</v>
      </c>
      <c r="P75" s="7" t="s">
        <v>289</v>
      </c>
      <c r="Q75" s="6" t="s">
        <v>52</v>
      </c>
      <c r="R75" s="87">
        <v>0.03</v>
      </c>
      <c r="S75" s="88"/>
      <c r="T75" s="89"/>
      <c r="U75" s="89"/>
      <c r="V75" s="89"/>
      <c r="W75" s="89"/>
      <c r="X75" s="88"/>
      <c r="Y75" s="89">
        <v>0.14000000000000001</v>
      </c>
      <c r="Z75" s="89">
        <v>0.22</v>
      </c>
      <c r="AA75" s="88">
        <v>0.14000000000000001</v>
      </c>
      <c r="AB75" s="87">
        <v>0.14000000000000001</v>
      </c>
      <c r="AC75" s="87">
        <v>0.22</v>
      </c>
      <c r="AD75" s="88">
        <v>0.14000000000000001</v>
      </c>
      <c r="AE75" s="90" t="s">
        <v>388</v>
      </c>
      <c r="AF75" s="88">
        <v>0.14000000000000001</v>
      </c>
      <c r="AG75" s="88">
        <f>14%+22%+14%</f>
        <v>0.5</v>
      </c>
      <c r="AH75" s="7" t="s">
        <v>406</v>
      </c>
      <c r="AK75" s="99">
        <f t="shared" si="4"/>
        <v>0.5</v>
      </c>
      <c r="AL75" s="99">
        <f>+AG75</f>
        <v>0.5</v>
      </c>
    </row>
    <row r="76" spans="2:38" ht="102.75" customHeight="1" x14ac:dyDescent="0.25">
      <c r="B76" s="6" t="s">
        <v>231</v>
      </c>
      <c r="C76" s="6" t="s">
        <v>232</v>
      </c>
      <c r="D76" s="6" t="s">
        <v>233</v>
      </c>
      <c r="E76" s="6" t="s">
        <v>234</v>
      </c>
      <c r="F76" s="6" t="s">
        <v>235</v>
      </c>
      <c r="G76" s="6"/>
      <c r="H76" s="6"/>
      <c r="I76" s="6"/>
      <c r="J76" s="6" t="s">
        <v>361</v>
      </c>
      <c r="K76" s="7" t="s">
        <v>362</v>
      </c>
      <c r="L76" s="7"/>
      <c r="M76" s="6" t="s">
        <v>353</v>
      </c>
      <c r="N76" s="9">
        <v>42552</v>
      </c>
      <c r="O76" s="9">
        <v>42735</v>
      </c>
      <c r="P76" s="7" t="s">
        <v>289</v>
      </c>
      <c r="Q76" s="8" t="s">
        <v>363</v>
      </c>
      <c r="R76" s="87">
        <v>0.02</v>
      </c>
      <c r="S76" s="88"/>
      <c r="T76" s="89"/>
      <c r="U76" s="89"/>
      <c r="V76" s="89"/>
      <c r="W76" s="89"/>
      <c r="X76" s="88"/>
      <c r="Y76" s="89">
        <v>0.5</v>
      </c>
      <c r="Z76" s="89">
        <v>0.08</v>
      </c>
      <c r="AA76" s="88">
        <v>0.17</v>
      </c>
      <c r="AB76" s="87">
        <v>0.08</v>
      </c>
      <c r="AC76" s="87">
        <v>0.08</v>
      </c>
      <c r="AD76" s="88">
        <v>0.09</v>
      </c>
      <c r="AE76" s="90" t="s">
        <v>388</v>
      </c>
      <c r="AF76" s="88">
        <v>0.17</v>
      </c>
      <c r="AG76" s="88">
        <f>50%+8%+17%</f>
        <v>0.75</v>
      </c>
      <c r="AH76" s="16" t="s">
        <v>407</v>
      </c>
      <c r="AK76" s="99">
        <f t="shared" si="4"/>
        <v>0.75</v>
      </c>
      <c r="AL76" s="99">
        <f t="shared" si="3"/>
        <v>0.75</v>
      </c>
    </row>
  </sheetData>
  <autoFilter ref="B6:AH76"/>
  <mergeCells count="8">
    <mergeCell ref="B1:C2"/>
    <mergeCell ref="D1:AH1"/>
    <mergeCell ref="D2:AH2"/>
    <mergeCell ref="B5:F5"/>
    <mergeCell ref="G5:I5"/>
    <mergeCell ref="J5:R5"/>
    <mergeCell ref="S5:AD5"/>
    <mergeCell ref="AE5:AH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P76"/>
  <sheetViews>
    <sheetView topLeftCell="T1" zoomScale="80" zoomScaleNormal="80" workbookViewId="0">
      <pane ySplit="6" topLeftCell="A7" activePane="bottomLeft" state="frozen"/>
      <selection activeCell="AF30" sqref="AF30"/>
      <selection pane="bottomLeft" activeCell="AI1" sqref="AI1:AO1048576"/>
    </sheetView>
  </sheetViews>
  <sheetFormatPr baseColWidth="10" defaultRowHeight="15" x14ac:dyDescent="0.25"/>
  <cols>
    <col min="1" max="1" width="1.7109375" style="1" customWidth="1"/>
    <col min="2" max="2" width="17.28515625" style="2" customWidth="1"/>
    <col min="3" max="3" width="32.7109375" style="2" customWidth="1"/>
    <col min="4" max="4" width="20" style="1" customWidth="1"/>
    <col min="5" max="5" width="23.85546875" style="1" customWidth="1"/>
    <col min="6" max="6" width="30.5703125" style="1" customWidth="1"/>
    <col min="7" max="7" width="26.5703125" style="1" hidden="1" customWidth="1"/>
    <col min="8" max="8" width="27.5703125" style="1" hidden="1" customWidth="1"/>
    <col min="9" max="9" width="26.28515625" style="1" hidden="1" customWidth="1"/>
    <col min="10" max="10" width="33" style="1" customWidth="1"/>
    <col min="11" max="11" width="44.85546875" style="1" customWidth="1"/>
    <col min="12" max="12" width="46.42578125" style="1" customWidth="1"/>
    <col min="13" max="13" width="22" style="1" customWidth="1"/>
    <col min="14" max="14" width="15.85546875" style="1" customWidth="1"/>
    <col min="15" max="15" width="15.140625" style="1" customWidth="1"/>
    <col min="16" max="17" width="24.7109375" style="1" customWidth="1"/>
    <col min="18" max="18" width="15.7109375" style="1" customWidth="1"/>
    <col min="19" max="19" width="6.140625" style="1" customWidth="1"/>
    <col min="20" max="20" width="6" style="1" customWidth="1"/>
    <col min="21" max="21" width="6.42578125" style="1" customWidth="1"/>
    <col min="22" max="23" width="6.28515625" style="1" customWidth="1"/>
    <col min="24" max="24" width="6.7109375" style="1" customWidth="1"/>
    <col min="25" max="25" width="5.85546875" style="1" customWidth="1"/>
    <col min="26" max="26" width="6.42578125" style="1" customWidth="1"/>
    <col min="27" max="29" width="5.85546875" style="1" customWidth="1"/>
    <col min="30" max="30" width="6.28515625" style="1" customWidth="1"/>
    <col min="31" max="32" width="14.28515625" style="1" customWidth="1"/>
    <col min="33" max="33" width="17.85546875" style="1" customWidth="1"/>
    <col min="34" max="34" width="58.7109375" style="1" customWidth="1"/>
    <col min="35" max="36" width="11.42578125" style="42"/>
    <col min="37" max="37" width="15.42578125" style="42" customWidth="1"/>
    <col min="38" max="38" width="15" style="42" customWidth="1"/>
    <col min="39" max="41" width="11.42578125" style="42"/>
    <col min="42" max="16384" width="11.42578125" style="1"/>
  </cols>
  <sheetData>
    <row r="1" spans="2:42" ht="58.5" customHeight="1" x14ac:dyDescent="0.25">
      <c r="B1" s="66"/>
      <c r="C1" s="66"/>
      <c r="D1" s="67" t="s">
        <v>0</v>
      </c>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9"/>
    </row>
    <row r="2" spans="2:42" ht="51.75" customHeight="1" x14ac:dyDescent="0.25">
      <c r="B2" s="66"/>
      <c r="C2" s="66"/>
      <c r="D2" s="67" t="s">
        <v>1</v>
      </c>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9"/>
    </row>
    <row r="3" spans="2:42" x14ac:dyDescent="0.25">
      <c r="AJ3" s="42">
        <v>500</v>
      </c>
      <c r="AK3" s="42">
        <v>100</v>
      </c>
      <c r="AM3" s="42">
        <v>6300</v>
      </c>
      <c r="AN3" s="42">
        <v>100</v>
      </c>
      <c r="AP3" s="59"/>
    </row>
    <row r="4" spans="2:42" x14ac:dyDescent="0.25">
      <c r="AJ4" s="42">
        <v>122</v>
      </c>
      <c r="AK4" s="42">
        <f>+(AJ4*AK3)/AJ3</f>
        <v>24.4</v>
      </c>
      <c r="AM4" s="42">
        <v>1073</v>
      </c>
      <c r="AN4" s="42">
        <f>+(AM4*AN3)/AM3</f>
        <v>17.031746031746032</v>
      </c>
      <c r="AP4" s="59"/>
    </row>
    <row r="5" spans="2:42" ht="34.5" customHeight="1" x14ac:dyDescent="0.25">
      <c r="B5" s="70" t="s">
        <v>2</v>
      </c>
      <c r="C5" s="71"/>
      <c r="D5" s="71"/>
      <c r="E5" s="71"/>
      <c r="F5" s="72"/>
      <c r="G5" s="73" t="s">
        <v>3</v>
      </c>
      <c r="H5" s="74"/>
      <c r="I5" s="75"/>
      <c r="J5" s="76" t="s">
        <v>4</v>
      </c>
      <c r="K5" s="76"/>
      <c r="L5" s="76"/>
      <c r="M5" s="76"/>
      <c r="N5" s="76"/>
      <c r="O5" s="76"/>
      <c r="P5" s="76"/>
      <c r="Q5" s="76"/>
      <c r="R5" s="76"/>
      <c r="S5" s="77" t="s">
        <v>5</v>
      </c>
      <c r="T5" s="78"/>
      <c r="U5" s="78"/>
      <c r="V5" s="78"/>
      <c r="W5" s="78"/>
      <c r="X5" s="78"/>
      <c r="Y5" s="78"/>
      <c r="Z5" s="78"/>
      <c r="AA5" s="78"/>
      <c r="AB5" s="78"/>
      <c r="AC5" s="78"/>
      <c r="AD5" s="79"/>
      <c r="AE5" s="70" t="s">
        <v>6</v>
      </c>
      <c r="AF5" s="71"/>
      <c r="AG5" s="71"/>
      <c r="AH5" s="72"/>
      <c r="AP5" s="59"/>
    </row>
    <row r="6" spans="2:42" ht="78.75" x14ac:dyDescent="0.25">
      <c r="B6" s="3" t="s">
        <v>7</v>
      </c>
      <c r="C6" s="3" t="s">
        <v>8</v>
      </c>
      <c r="D6" s="3" t="s">
        <v>9</v>
      </c>
      <c r="E6" s="3" t="s">
        <v>10</v>
      </c>
      <c r="F6" s="3" t="s">
        <v>11</v>
      </c>
      <c r="G6" s="3" t="s">
        <v>12</v>
      </c>
      <c r="H6" s="3" t="s">
        <v>13</v>
      </c>
      <c r="I6" s="3" t="s">
        <v>14</v>
      </c>
      <c r="J6" s="3" t="s">
        <v>15</v>
      </c>
      <c r="K6" s="4" t="s">
        <v>16</v>
      </c>
      <c r="L6" s="3" t="s">
        <v>17</v>
      </c>
      <c r="M6" s="3" t="s">
        <v>18</v>
      </c>
      <c r="N6" s="3" t="s">
        <v>19</v>
      </c>
      <c r="O6" s="3" t="s">
        <v>20</v>
      </c>
      <c r="P6" s="3" t="s">
        <v>21</v>
      </c>
      <c r="Q6" s="3" t="s">
        <v>22</v>
      </c>
      <c r="R6" s="3" t="s">
        <v>23</v>
      </c>
      <c r="S6" s="3" t="s">
        <v>24</v>
      </c>
      <c r="T6" s="3" t="s">
        <v>25</v>
      </c>
      <c r="U6" s="3" t="s">
        <v>26</v>
      </c>
      <c r="V6" s="3" t="s">
        <v>27</v>
      </c>
      <c r="W6" s="3" t="s">
        <v>28</v>
      </c>
      <c r="X6" s="3" t="s">
        <v>29</v>
      </c>
      <c r="Y6" s="3" t="s">
        <v>30</v>
      </c>
      <c r="Z6" s="3" t="s">
        <v>31</v>
      </c>
      <c r="AA6" s="3" t="s">
        <v>32</v>
      </c>
      <c r="AB6" s="3" t="s">
        <v>33</v>
      </c>
      <c r="AC6" s="3" t="s">
        <v>34</v>
      </c>
      <c r="AD6" s="3" t="s">
        <v>35</v>
      </c>
      <c r="AE6" s="3" t="s">
        <v>36</v>
      </c>
      <c r="AF6" s="3" t="s">
        <v>37</v>
      </c>
      <c r="AG6" s="3" t="s">
        <v>38</v>
      </c>
      <c r="AH6" s="3" t="s">
        <v>39</v>
      </c>
      <c r="AK6" s="98" t="s">
        <v>40</v>
      </c>
      <c r="AL6" s="98" t="s">
        <v>41</v>
      </c>
    </row>
    <row r="7" spans="2:42" ht="138" customHeight="1" x14ac:dyDescent="0.25">
      <c r="B7" s="6" t="s">
        <v>42</v>
      </c>
      <c r="C7" s="6" t="s">
        <v>43</v>
      </c>
      <c r="D7" s="6" t="s">
        <v>44</v>
      </c>
      <c r="E7" s="6" t="s">
        <v>45</v>
      </c>
      <c r="F7" s="6" t="s">
        <v>46</v>
      </c>
      <c r="G7" s="6"/>
      <c r="H7" s="6"/>
      <c r="I7" s="6"/>
      <c r="J7" s="6" t="s">
        <v>47</v>
      </c>
      <c r="K7" s="7" t="s">
        <v>48</v>
      </c>
      <c r="L7" s="8" t="s">
        <v>49</v>
      </c>
      <c r="M7" s="6" t="s">
        <v>50</v>
      </c>
      <c r="N7" s="9">
        <v>42583</v>
      </c>
      <c r="O7" s="9">
        <v>42705</v>
      </c>
      <c r="P7" s="6" t="s">
        <v>51</v>
      </c>
      <c r="Q7" s="6" t="s">
        <v>52</v>
      </c>
      <c r="R7" s="87">
        <v>0.03</v>
      </c>
      <c r="S7" s="88"/>
      <c r="T7" s="89"/>
      <c r="U7" s="89"/>
      <c r="V7" s="89"/>
      <c r="W7" s="89"/>
      <c r="X7" s="88"/>
      <c r="Y7" s="89"/>
      <c r="Z7" s="89">
        <v>0.25</v>
      </c>
      <c r="AA7" s="88">
        <v>0.25</v>
      </c>
      <c r="AB7" s="88">
        <v>0.25</v>
      </c>
      <c r="AC7" s="88">
        <v>0.25</v>
      </c>
      <c r="AD7" s="88"/>
      <c r="AE7" s="90" t="s">
        <v>450</v>
      </c>
      <c r="AF7" s="88">
        <v>0.25</v>
      </c>
      <c r="AG7" s="88">
        <f>25%+25%</f>
        <v>0.5</v>
      </c>
      <c r="AH7" s="7" t="s">
        <v>451</v>
      </c>
      <c r="AK7" s="99">
        <f>+X7+Y7+Z7+AA7+AB7</f>
        <v>0.75</v>
      </c>
      <c r="AL7" s="99">
        <f>+AG7</f>
        <v>0.5</v>
      </c>
      <c r="AM7" s="99">
        <f>+AL7/AK7</f>
        <v>0.66666666666666663</v>
      </c>
    </row>
    <row r="8" spans="2:42" ht="90" x14ac:dyDescent="0.25">
      <c r="B8" s="6" t="s">
        <v>42</v>
      </c>
      <c r="C8" s="6" t="s">
        <v>43</v>
      </c>
      <c r="D8" s="6" t="s">
        <v>44</v>
      </c>
      <c r="E8" s="6" t="s">
        <v>45</v>
      </c>
      <c r="F8" s="6" t="s">
        <v>46</v>
      </c>
      <c r="G8" s="6"/>
      <c r="H8" s="6"/>
      <c r="I8" s="6"/>
      <c r="J8" s="6" t="s">
        <v>55</v>
      </c>
      <c r="K8" s="7" t="s">
        <v>56</v>
      </c>
      <c r="L8" s="7"/>
      <c r="M8" s="6" t="s">
        <v>50</v>
      </c>
      <c r="N8" s="9">
        <v>42614</v>
      </c>
      <c r="O8" s="9">
        <v>42644</v>
      </c>
      <c r="P8" s="6" t="s">
        <v>52</v>
      </c>
      <c r="Q8" s="6" t="s">
        <v>52</v>
      </c>
      <c r="R8" s="87">
        <v>0.03</v>
      </c>
      <c r="S8" s="88"/>
      <c r="T8" s="89"/>
      <c r="U8" s="89"/>
      <c r="V8" s="89"/>
      <c r="W8" s="89"/>
      <c r="X8" s="88"/>
      <c r="Y8" s="89"/>
      <c r="Z8" s="89"/>
      <c r="AA8" s="88">
        <v>1</v>
      </c>
      <c r="AB8" s="88"/>
      <c r="AC8" s="88"/>
      <c r="AD8" s="88"/>
      <c r="AE8" s="90" t="s">
        <v>450</v>
      </c>
      <c r="AF8" s="90"/>
      <c r="AG8" s="88">
        <v>1</v>
      </c>
      <c r="AH8" s="7" t="s">
        <v>452</v>
      </c>
      <c r="AK8" s="99">
        <f t="shared" ref="AK8:AK45" si="0">+X8+Y8+Z8+AA8+AB8</f>
        <v>1</v>
      </c>
      <c r="AL8" s="99">
        <f t="shared" ref="AL8:AL45" si="1">+AG8</f>
        <v>1</v>
      </c>
      <c r="AM8" s="99">
        <f t="shared" ref="AM8:AM71" si="2">+AL8/AK8</f>
        <v>1</v>
      </c>
    </row>
    <row r="9" spans="2:42" ht="90" x14ac:dyDescent="0.25">
      <c r="B9" s="6" t="s">
        <v>42</v>
      </c>
      <c r="C9" s="6" t="s">
        <v>43</v>
      </c>
      <c r="D9" s="6" t="s">
        <v>44</v>
      </c>
      <c r="E9" s="6" t="s">
        <v>45</v>
      </c>
      <c r="F9" s="6" t="s">
        <v>46</v>
      </c>
      <c r="G9" s="6"/>
      <c r="H9" s="6"/>
      <c r="I9" s="6"/>
      <c r="J9" s="6" t="s">
        <v>57</v>
      </c>
      <c r="K9" s="7" t="s">
        <v>58</v>
      </c>
      <c r="L9" s="7" t="s">
        <v>59</v>
      </c>
      <c r="M9" s="6" t="s">
        <v>50</v>
      </c>
      <c r="N9" s="9">
        <v>42552</v>
      </c>
      <c r="O9" s="9">
        <v>42735</v>
      </c>
      <c r="P9" s="6" t="s">
        <v>60</v>
      </c>
      <c r="Q9" s="6" t="s">
        <v>52</v>
      </c>
      <c r="R9" s="87">
        <v>0.03</v>
      </c>
      <c r="S9" s="88"/>
      <c r="T9" s="89"/>
      <c r="U9" s="89"/>
      <c r="V9" s="89"/>
      <c r="W9" s="89"/>
      <c r="X9" s="88">
        <v>0.14000000000000001</v>
      </c>
      <c r="Y9" s="89">
        <v>0.14000000000000001</v>
      </c>
      <c r="Z9" s="89">
        <v>0.14000000000000001</v>
      </c>
      <c r="AA9" s="88">
        <v>0.14000000000000001</v>
      </c>
      <c r="AB9" s="88">
        <v>0.14000000000000001</v>
      </c>
      <c r="AC9" s="88">
        <v>0.15</v>
      </c>
      <c r="AD9" s="88">
        <v>0.15</v>
      </c>
      <c r="AE9" s="90" t="s">
        <v>450</v>
      </c>
      <c r="AF9" s="88">
        <v>0.28000000000000003</v>
      </c>
      <c r="AG9" s="88">
        <f>14%+28%</f>
        <v>0.42000000000000004</v>
      </c>
      <c r="AH9" s="7" t="s">
        <v>453</v>
      </c>
      <c r="AK9" s="99">
        <f t="shared" si="0"/>
        <v>0.70000000000000007</v>
      </c>
      <c r="AL9" s="99">
        <f t="shared" si="1"/>
        <v>0.42000000000000004</v>
      </c>
      <c r="AM9" s="99">
        <f t="shared" si="2"/>
        <v>0.6</v>
      </c>
    </row>
    <row r="10" spans="2:42" ht="120" x14ac:dyDescent="0.25">
      <c r="B10" s="6" t="s">
        <v>42</v>
      </c>
      <c r="C10" s="6" t="s">
        <v>43</v>
      </c>
      <c r="D10" s="6" t="s">
        <v>44</v>
      </c>
      <c r="E10" s="6" t="s">
        <v>45</v>
      </c>
      <c r="F10" s="6" t="s">
        <v>46</v>
      </c>
      <c r="G10" s="6"/>
      <c r="H10" s="6"/>
      <c r="I10" s="6"/>
      <c r="J10" s="6" t="s">
        <v>62</v>
      </c>
      <c r="K10" s="7" t="s">
        <v>63</v>
      </c>
      <c r="L10" s="7" t="s">
        <v>64</v>
      </c>
      <c r="M10" s="6" t="s">
        <v>50</v>
      </c>
      <c r="N10" s="9">
        <v>42552</v>
      </c>
      <c r="O10" s="9">
        <v>42734</v>
      </c>
      <c r="P10" s="6" t="s">
        <v>52</v>
      </c>
      <c r="Q10" s="6" t="s">
        <v>52</v>
      </c>
      <c r="R10" s="87">
        <v>0.04</v>
      </c>
      <c r="S10" s="88"/>
      <c r="T10" s="89"/>
      <c r="U10" s="89"/>
      <c r="V10" s="89"/>
      <c r="W10" s="89"/>
      <c r="X10" s="88">
        <v>0.14000000000000001</v>
      </c>
      <c r="Y10" s="89">
        <v>0.14000000000000001</v>
      </c>
      <c r="Z10" s="89">
        <v>0.14000000000000001</v>
      </c>
      <c r="AA10" s="88">
        <v>0.14000000000000001</v>
      </c>
      <c r="AB10" s="88">
        <v>0.14000000000000001</v>
      </c>
      <c r="AC10" s="88">
        <v>0.15</v>
      </c>
      <c r="AD10" s="88">
        <v>0.15</v>
      </c>
      <c r="AE10" s="90" t="s">
        <v>450</v>
      </c>
      <c r="AF10" s="88">
        <v>0.14000000000000001</v>
      </c>
      <c r="AG10" s="88">
        <f>14%+14%+14%+14%+14%</f>
        <v>0.70000000000000007</v>
      </c>
      <c r="AH10" s="7" t="s">
        <v>454</v>
      </c>
      <c r="AK10" s="99">
        <f t="shared" si="0"/>
        <v>0.70000000000000007</v>
      </c>
      <c r="AL10" s="99">
        <f t="shared" si="1"/>
        <v>0.70000000000000007</v>
      </c>
      <c r="AM10" s="99">
        <f t="shared" si="2"/>
        <v>1</v>
      </c>
    </row>
    <row r="11" spans="2:42" ht="127.5" x14ac:dyDescent="0.25">
      <c r="B11" s="6" t="s">
        <v>42</v>
      </c>
      <c r="C11" s="6" t="s">
        <v>43</v>
      </c>
      <c r="D11" s="6" t="s">
        <v>44</v>
      </c>
      <c r="E11" s="6" t="s">
        <v>45</v>
      </c>
      <c r="F11" s="6" t="s">
        <v>46</v>
      </c>
      <c r="G11" s="6"/>
      <c r="H11" s="6"/>
      <c r="I11" s="6"/>
      <c r="J11" s="6" t="s">
        <v>66</v>
      </c>
      <c r="K11" s="7" t="s">
        <v>48</v>
      </c>
      <c r="L11" s="8" t="s">
        <v>67</v>
      </c>
      <c r="M11" s="6" t="s">
        <v>50</v>
      </c>
      <c r="N11" s="9">
        <v>42583</v>
      </c>
      <c r="O11" s="9">
        <v>42705</v>
      </c>
      <c r="P11" s="6" t="s">
        <v>51</v>
      </c>
      <c r="Q11" s="6" t="s">
        <v>52</v>
      </c>
      <c r="R11" s="87">
        <v>0.03</v>
      </c>
      <c r="S11" s="88"/>
      <c r="T11" s="89"/>
      <c r="U11" s="89"/>
      <c r="V11" s="89"/>
      <c r="W11" s="89"/>
      <c r="X11" s="88"/>
      <c r="Y11" s="89"/>
      <c r="Z11" s="89">
        <v>0.25</v>
      </c>
      <c r="AA11" s="88">
        <v>0.25</v>
      </c>
      <c r="AB11" s="88">
        <v>0.25</v>
      </c>
      <c r="AC11" s="88">
        <v>0.25</v>
      </c>
      <c r="AD11" s="88"/>
      <c r="AE11" s="90" t="s">
        <v>450</v>
      </c>
      <c r="AF11" s="88">
        <v>0.16</v>
      </c>
      <c r="AG11" s="88">
        <f>25%+25%+16%</f>
        <v>0.66</v>
      </c>
      <c r="AH11" s="7" t="s">
        <v>455</v>
      </c>
      <c r="AK11" s="99">
        <f t="shared" si="0"/>
        <v>0.75</v>
      </c>
      <c r="AL11" s="99">
        <f t="shared" si="1"/>
        <v>0.66</v>
      </c>
      <c r="AM11" s="99">
        <f t="shared" si="2"/>
        <v>0.88</v>
      </c>
    </row>
    <row r="12" spans="2:42" ht="90" x14ac:dyDescent="0.25">
      <c r="B12" s="6" t="s">
        <v>42</v>
      </c>
      <c r="C12" s="6" t="s">
        <v>43</v>
      </c>
      <c r="D12" s="6" t="s">
        <v>44</v>
      </c>
      <c r="E12" s="6" t="s">
        <v>45</v>
      </c>
      <c r="F12" s="6" t="s">
        <v>46</v>
      </c>
      <c r="G12" s="6"/>
      <c r="H12" s="6"/>
      <c r="I12" s="6"/>
      <c r="J12" s="6" t="s">
        <v>69</v>
      </c>
      <c r="K12" s="7" t="s">
        <v>70</v>
      </c>
      <c r="L12" s="7"/>
      <c r="M12" s="6" t="s">
        <v>50</v>
      </c>
      <c r="N12" s="9">
        <v>42614</v>
      </c>
      <c r="O12" s="9">
        <v>42644</v>
      </c>
      <c r="P12" s="6" t="s">
        <v>52</v>
      </c>
      <c r="Q12" s="6" t="s">
        <v>52</v>
      </c>
      <c r="R12" s="87">
        <v>0.03</v>
      </c>
      <c r="S12" s="88"/>
      <c r="T12" s="89"/>
      <c r="U12" s="89"/>
      <c r="V12" s="89"/>
      <c r="W12" s="89"/>
      <c r="X12" s="88"/>
      <c r="Y12" s="89"/>
      <c r="Z12" s="89"/>
      <c r="AA12" s="88">
        <v>1</v>
      </c>
      <c r="AB12" s="88"/>
      <c r="AC12" s="88"/>
      <c r="AD12" s="88"/>
      <c r="AE12" s="90" t="s">
        <v>450</v>
      </c>
      <c r="AF12" s="88"/>
      <c r="AG12" s="88">
        <v>1</v>
      </c>
      <c r="AH12" s="7" t="s">
        <v>456</v>
      </c>
      <c r="AK12" s="99">
        <f t="shared" si="0"/>
        <v>1</v>
      </c>
      <c r="AL12" s="99">
        <f t="shared" si="1"/>
        <v>1</v>
      </c>
      <c r="AM12" s="99">
        <f t="shared" si="2"/>
        <v>1</v>
      </c>
    </row>
    <row r="13" spans="2:42" ht="90" x14ac:dyDescent="0.25">
      <c r="B13" s="6" t="s">
        <v>42</v>
      </c>
      <c r="C13" s="6" t="s">
        <v>43</v>
      </c>
      <c r="D13" s="6" t="s">
        <v>44</v>
      </c>
      <c r="E13" s="6" t="s">
        <v>45</v>
      </c>
      <c r="F13" s="6" t="s">
        <v>46</v>
      </c>
      <c r="G13" s="6"/>
      <c r="H13" s="6"/>
      <c r="I13" s="6"/>
      <c r="J13" s="6" t="s">
        <v>71</v>
      </c>
      <c r="K13" s="7" t="s">
        <v>72</v>
      </c>
      <c r="L13" s="7" t="s">
        <v>59</v>
      </c>
      <c r="M13" s="6" t="s">
        <v>50</v>
      </c>
      <c r="N13" s="9">
        <v>42583</v>
      </c>
      <c r="O13" s="9">
        <v>42705</v>
      </c>
      <c r="P13" s="6" t="s">
        <v>51</v>
      </c>
      <c r="Q13" s="6" t="s">
        <v>52</v>
      </c>
      <c r="R13" s="87">
        <v>0.03</v>
      </c>
      <c r="S13" s="88"/>
      <c r="T13" s="89"/>
      <c r="U13" s="89"/>
      <c r="V13" s="89"/>
      <c r="W13" s="89"/>
      <c r="X13" s="88"/>
      <c r="Y13" s="89"/>
      <c r="Z13" s="89">
        <v>0.25</v>
      </c>
      <c r="AA13" s="88">
        <v>0.25</v>
      </c>
      <c r="AB13" s="88">
        <v>0.25</v>
      </c>
      <c r="AC13" s="88">
        <v>0.25</v>
      </c>
      <c r="AD13" s="88"/>
      <c r="AE13" s="90" t="s">
        <v>450</v>
      </c>
      <c r="AF13" s="88"/>
      <c r="AG13" s="88">
        <v>0</v>
      </c>
      <c r="AH13" s="7" t="s">
        <v>457</v>
      </c>
      <c r="AK13" s="99">
        <f t="shared" si="0"/>
        <v>0.75</v>
      </c>
      <c r="AL13" s="99">
        <f t="shared" si="1"/>
        <v>0</v>
      </c>
      <c r="AM13" s="99">
        <f t="shared" si="2"/>
        <v>0</v>
      </c>
    </row>
    <row r="14" spans="2:42" ht="120" x14ac:dyDescent="0.25">
      <c r="B14" s="6" t="s">
        <v>42</v>
      </c>
      <c r="C14" s="6" t="s">
        <v>43</v>
      </c>
      <c r="D14" s="6" t="s">
        <v>44</v>
      </c>
      <c r="E14" s="6" t="s">
        <v>45</v>
      </c>
      <c r="F14" s="6" t="s">
        <v>46</v>
      </c>
      <c r="G14" s="6"/>
      <c r="H14" s="6"/>
      <c r="I14" s="6"/>
      <c r="J14" s="6" t="s">
        <v>73</v>
      </c>
      <c r="K14" s="7" t="s">
        <v>74</v>
      </c>
      <c r="L14" s="7" t="s">
        <v>75</v>
      </c>
      <c r="M14" s="6" t="s">
        <v>50</v>
      </c>
      <c r="N14" s="9">
        <v>42522</v>
      </c>
      <c r="O14" s="9">
        <v>42887</v>
      </c>
      <c r="P14" s="6" t="s">
        <v>76</v>
      </c>
      <c r="Q14" s="6" t="s">
        <v>77</v>
      </c>
      <c r="R14" s="87">
        <v>0.03</v>
      </c>
      <c r="S14" s="88"/>
      <c r="T14" s="89"/>
      <c r="U14" s="89"/>
      <c r="V14" s="89"/>
      <c r="W14" s="89"/>
      <c r="X14" s="88">
        <v>0.14000000000000001</v>
      </c>
      <c r="Y14" s="89">
        <v>0.14000000000000001</v>
      </c>
      <c r="Z14" s="89">
        <v>0.14000000000000001</v>
      </c>
      <c r="AA14" s="88">
        <v>0.14000000000000001</v>
      </c>
      <c r="AB14" s="88">
        <v>0.14000000000000001</v>
      </c>
      <c r="AC14" s="88">
        <v>0.15</v>
      </c>
      <c r="AD14" s="88">
        <v>0.15</v>
      </c>
      <c r="AE14" s="90" t="s">
        <v>450</v>
      </c>
      <c r="AF14" s="88">
        <v>0.14000000000000001</v>
      </c>
      <c r="AG14" s="88">
        <f>14%+14%+14%+14%+14%</f>
        <v>0.70000000000000007</v>
      </c>
      <c r="AH14" s="7" t="s">
        <v>458</v>
      </c>
      <c r="AK14" s="99">
        <f t="shared" si="0"/>
        <v>0.70000000000000007</v>
      </c>
      <c r="AL14" s="99">
        <f t="shared" si="1"/>
        <v>0.70000000000000007</v>
      </c>
      <c r="AM14" s="99">
        <f t="shared" si="2"/>
        <v>1</v>
      </c>
    </row>
    <row r="15" spans="2:42" ht="195" x14ac:dyDescent="0.25">
      <c r="B15" s="6" t="s">
        <v>42</v>
      </c>
      <c r="C15" s="6" t="s">
        <v>43</v>
      </c>
      <c r="D15" s="6" t="s">
        <v>44</v>
      </c>
      <c r="E15" s="6" t="s">
        <v>45</v>
      </c>
      <c r="F15" s="6" t="s">
        <v>46</v>
      </c>
      <c r="G15" s="6"/>
      <c r="H15" s="6"/>
      <c r="I15" s="6"/>
      <c r="J15" s="6" t="s">
        <v>79</v>
      </c>
      <c r="K15" s="7" t="s">
        <v>80</v>
      </c>
      <c r="L15" s="7" t="s">
        <v>81</v>
      </c>
      <c r="M15" s="6" t="s">
        <v>50</v>
      </c>
      <c r="N15" s="9">
        <v>42566</v>
      </c>
      <c r="O15" s="9">
        <v>42597</v>
      </c>
      <c r="P15" s="6" t="s">
        <v>82</v>
      </c>
      <c r="Q15" s="6" t="s">
        <v>83</v>
      </c>
      <c r="R15" s="87">
        <v>0.04</v>
      </c>
      <c r="S15" s="88"/>
      <c r="T15" s="89"/>
      <c r="U15" s="89"/>
      <c r="V15" s="89"/>
      <c r="W15" s="89"/>
      <c r="X15" s="88"/>
      <c r="Y15" s="89">
        <v>0.5</v>
      </c>
      <c r="Z15" s="89">
        <v>0.5</v>
      </c>
      <c r="AA15" s="88"/>
      <c r="AB15" s="88"/>
      <c r="AC15" s="88"/>
      <c r="AD15" s="88"/>
      <c r="AE15" s="90" t="s">
        <v>450</v>
      </c>
      <c r="AF15" s="88"/>
      <c r="AG15" s="88">
        <f>50%+50%</f>
        <v>1</v>
      </c>
      <c r="AH15" s="7" t="s">
        <v>459</v>
      </c>
      <c r="AK15" s="99">
        <f t="shared" si="0"/>
        <v>1</v>
      </c>
      <c r="AL15" s="99">
        <f t="shared" si="1"/>
        <v>1</v>
      </c>
      <c r="AM15" s="99">
        <f t="shared" si="2"/>
        <v>1</v>
      </c>
    </row>
    <row r="16" spans="2:42" ht="90" x14ac:dyDescent="0.25">
      <c r="B16" s="6" t="s">
        <v>42</v>
      </c>
      <c r="C16" s="6" t="s">
        <v>43</v>
      </c>
      <c r="D16" s="6" t="s">
        <v>44</v>
      </c>
      <c r="E16" s="6" t="s">
        <v>45</v>
      </c>
      <c r="F16" s="6" t="s">
        <v>46</v>
      </c>
      <c r="G16" s="6"/>
      <c r="H16" s="6"/>
      <c r="I16" s="6"/>
      <c r="J16" s="6" t="s">
        <v>85</v>
      </c>
      <c r="K16" s="7" t="s">
        <v>86</v>
      </c>
      <c r="L16" s="7" t="s">
        <v>87</v>
      </c>
      <c r="M16" s="6" t="s">
        <v>50</v>
      </c>
      <c r="N16" s="9">
        <v>42552</v>
      </c>
      <c r="O16" s="9">
        <v>42705</v>
      </c>
      <c r="P16" s="6" t="s">
        <v>88</v>
      </c>
      <c r="Q16" s="6" t="s">
        <v>52</v>
      </c>
      <c r="R16" s="87">
        <v>0.04</v>
      </c>
      <c r="S16" s="88"/>
      <c r="T16" s="89"/>
      <c r="U16" s="89"/>
      <c r="V16" s="89"/>
      <c r="W16" s="89"/>
      <c r="X16" s="88"/>
      <c r="Y16" s="89">
        <v>0.2</v>
      </c>
      <c r="Z16" s="89">
        <v>0.2</v>
      </c>
      <c r="AA16" s="88">
        <v>0.2</v>
      </c>
      <c r="AB16" s="88">
        <v>0.2</v>
      </c>
      <c r="AC16" s="88">
        <v>0.2</v>
      </c>
      <c r="AD16" s="88"/>
      <c r="AE16" s="90" t="s">
        <v>450</v>
      </c>
      <c r="AF16" s="88"/>
      <c r="AG16" s="88">
        <f>20%+20%+20%</f>
        <v>0.60000000000000009</v>
      </c>
      <c r="AH16" s="7" t="s">
        <v>460</v>
      </c>
      <c r="AK16" s="99">
        <f t="shared" si="0"/>
        <v>0.8</v>
      </c>
      <c r="AL16" s="99">
        <f t="shared" si="1"/>
        <v>0.60000000000000009</v>
      </c>
      <c r="AM16" s="99">
        <f t="shared" si="2"/>
        <v>0.75000000000000011</v>
      </c>
    </row>
    <row r="17" spans="2:39" ht="105" x14ac:dyDescent="0.25">
      <c r="B17" s="6" t="s">
        <v>42</v>
      </c>
      <c r="C17" s="6" t="s">
        <v>43</v>
      </c>
      <c r="D17" s="6" t="s">
        <v>44</v>
      </c>
      <c r="E17" s="6" t="s">
        <v>45</v>
      </c>
      <c r="F17" s="6" t="s">
        <v>46</v>
      </c>
      <c r="G17" s="6"/>
      <c r="H17" s="6"/>
      <c r="I17" s="6"/>
      <c r="J17" s="6" t="s">
        <v>90</v>
      </c>
      <c r="K17" s="7" t="s">
        <v>91</v>
      </c>
      <c r="L17" s="7" t="s">
        <v>92</v>
      </c>
      <c r="M17" s="6" t="s">
        <v>50</v>
      </c>
      <c r="N17" s="9">
        <v>42552</v>
      </c>
      <c r="O17" s="9">
        <v>42767</v>
      </c>
      <c r="P17" s="6" t="s">
        <v>93</v>
      </c>
      <c r="Q17" s="6" t="s">
        <v>94</v>
      </c>
      <c r="R17" s="87">
        <v>0.03</v>
      </c>
      <c r="S17" s="88"/>
      <c r="T17" s="89"/>
      <c r="U17" s="89"/>
      <c r="V17" s="89"/>
      <c r="W17" s="89"/>
      <c r="X17" s="88">
        <v>0.14000000000000001</v>
      </c>
      <c r="Y17" s="89">
        <v>0.14000000000000001</v>
      </c>
      <c r="Z17" s="89">
        <v>0.14000000000000001</v>
      </c>
      <c r="AA17" s="88">
        <v>0.14000000000000001</v>
      </c>
      <c r="AB17" s="88">
        <v>0.14000000000000001</v>
      </c>
      <c r="AC17" s="88">
        <v>0.15</v>
      </c>
      <c r="AD17" s="88">
        <v>0.15</v>
      </c>
      <c r="AE17" s="90" t="s">
        <v>450</v>
      </c>
      <c r="AF17" s="88">
        <v>0.14000000000000001</v>
      </c>
      <c r="AG17" s="88">
        <f>14%+14%+14%+14%+14%</f>
        <v>0.70000000000000007</v>
      </c>
      <c r="AH17" s="7" t="s">
        <v>461</v>
      </c>
      <c r="AK17" s="99">
        <f t="shared" si="0"/>
        <v>0.70000000000000007</v>
      </c>
      <c r="AL17" s="99">
        <f t="shared" si="1"/>
        <v>0.70000000000000007</v>
      </c>
      <c r="AM17" s="99">
        <f t="shared" si="2"/>
        <v>1</v>
      </c>
    </row>
    <row r="18" spans="2:39" ht="120" x14ac:dyDescent="0.25">
      <c r="B18" s="6" t="s">
        <v>42</v>
      </c>
      <c r="C18" s="6" t="s">
        <v>43</v>
      </c>
      <c r="D18" s="6" t="s">
        <v>44</v>
      </c>
      <c r="E18" s="6" t="s">
        <v>45</v>
      </c>
      <c r="F18" s="6" t="s">
        <v>96</v>
      </c>
      <c r="G18" s="6"/>
      <c r="H18" s="6"/>
      <c r="I18" s="6"/>
      <c r="J18" s="6" t="s">
        <v>97</v>
      </c>
      <c r="K18" s="7" t="s">
        <v>98</v>
      </c>
      <c r="L18" s="7" t="s">
        <v>99</v>
      </c>
      <c r="M18" s="6" t="s">
        <v>100</v>
      </c>
      <c r="N18" s="9">
        <v>42618</v>
      </c>
      <c r="O18" s="9">
        <v>42983</v>
      </c>
      <c r="P18" s="7" t="s">
        <v>101</v>
      </c>
      <c r="Q18" s="6" t="s">
        <v>102</v>
      </c>
      <c r="R18" s="87">
        <v>0.03</v>
      </c>
      <c r="S18" s="88"/>
      <c r="T18" s="89"/>
      <c r="U18" s="89"/>
      <c r="V18" s="89"/>
      <c r="W18" s="89"/>
      <c r="X18" s="88"/>
      <c r="Y18" s="89"/>
      <c r="Z18" s="89"/>
      <c r="AA18" s="88"/>
      <c r="AB18" s="88"/>
      <c r="AC18" s="88"/>
      <c r="AD18" s="88">
        <v>1</v>
      </c>
      <c r="AE18" s="90" t="s">
        <v>450</v>
      </c>
      <c r="AF18" s="88"/>
      <c r="AG18" s="88">
        <f>25%+25%</f>
        <v>0.5</v>
      </c>
      <c r="AH18" s="16" t="s">
        <v>463</v>
      </c>
      <c r="AK18" s="99">
        <f t="shared" si="0"/>
        <v>0</v>
      </c>
      <c r="AL18" s="99">
        <f t="shared" si="1"/>
        <v>0.5</v>
      </c>
      <c r="AM18" s="99" t="e">
        <f t="shared" si="2"/>
        <v>#DIV/0!</v>
      </c>
    </row>
    <row r="19" spans="2:39" ht="120" customHeight="1" x14ac:dyDescent="0.25">
      <c r="B19" s="6" t="s">
        <v>42</v>
      </c>
      <c r="C19" s="6" t="s">
        <v>43</v>
      </c>
      <c r="D19" s="6" t="s">
        <v>44</v>
      </c>
      <c r="E19" s="6" t="s">
        <v>45</v>
      </c>
      <c r="F19" s="6" t="s">
        <v>96</v>
      </c>
      <c r="G19" s="6"/>
      <c r="H19" s="6"/>
      <c r="I19" s="6"/>
      <c r="J19" s="6" t="s">
        <v>104</v>
      </c>
      <c r="K19" s="7" t="s">
        <v>105</v>
      </c>
      <c r="L19" s="7" t="s">
        <v>106</v>
      </c>
      <c r="M19" s="6" t="s">
        <v>100</v>
      </c>
      <c r="N19" s="9">
        <v>42583</v>
      </c>
      <c r="O19" s="9">
        <v>42735</v>
      </c>
      <c r="P19" s="7" t="s">
        <v>101</v>
      </c>
      <c r="Q19" s="6" t="s">
        <v>107</v>
      </c>
      <c r="R19" s="87">
        <v>0.04</v>
      </c>
      <c r="S19" s="88"/>
      <c r="T19" s="89"/>
      <c r="U19" s="89"/>
      <c r="V19" s="89"/>
      <c r="W19" s="89"/>
      <c r="X19" s="88"/>
      <c r="Y19" s="89"/>
      <c r="Z19" s="89">
        <v>0.1</v>
      </c>
      <c r="AA19" s="88">
        <v>0.2</v>
      </c>
      <c r="AB19" s="88">
        <v>0.2</v>
      </c>
      <c r="AC19" s="88">
        <v>0.3</v>
      </c>
      <c r="AD19" s="88">
        <v>0.2</v>
      </c>
      <c r="AE19" s="90" t="s">
        <v>450</v>
      </c>
      <c r="AF19" s="88"/>
      <c r="AG19" s="88">
        <f>+'PAI-BMPT-Sept'!AG19</f>
        <v>0.56000000000000005</v>
      </c>
      <c r="AH19" s="16" t="s">
        <v>495</v>
      </c>
      <c r="AK19" s="99">
        <f t="shared" si="0"/>
        <v>0.5</v>
      </c>
      <c r="AL19" s="99">
        <f t="shared" si="1"/>
        <v>0.56000000000000005</v>
      </c>
      <c r="AM19" s="99">
        <f t="shared" si="2"/>
        <v>1.1200000000000001</v>
      </c>
    </row>
    <row r="20" spans="2:39" ht="240" x14ac:dyDescent="0.25">
      <c r="B20" s="6" t="s">
        <v>42</v>
      </c>
      <c r="C20" s="6" t="s">
        <v>43</v>
      </c>
      <c r="D20" s="6" t="s">
        <v>44</v>
      </c>
      <c r="E20" s="6" t="s">
        <v>45</v>
      </c>
      <c r="F20" s="6" t="s">
        <v>96</v>
      </c>
      <c r="G20" s="6"/>
      <c r="H20" s="6"/>
      <c r="I20" s="6"/>
      <c r="J20" s="6" t="s">
        <v>108</v>
      </c>
      <c r="K20" s="7" t="s">
        <v>109</v>
      </c>
      <c r="L20" s="7" t="s">
        <v>110</v>
      </c>
      <c r="M20" s="6" t="s">
        <v>100</v>
      </c>
      <c r="N20" s="9">
        <v>42614</v>
      </c>
      <c r="O20" s="9">
        <v>42735</v>
      </c>
      <c r="P20" s="7" t="s">
        <v>111</v>
      </c>
      <c r="Q20" s="6" t="s">
        <v>52</v>
      </c>
      <c r="R20" s="87">
        <v>0.03</v>
      </c>
      <c r="S20" s="90"/>
      <c r="T20" s="91"/>
      <c r="U20" s="91"/>
      <c r="V20" s="91"/>
      <c r="W20" s="91"/>
      <c r="X20" s="90"/>
      <c r="Y20" s="91"/>
      <c r="Z20" s="89">
        <v>0.05</v>
      </c>
      <c r="AA20" s="88">
        <v>0.15</v>
      </c>
      <c r="AB20" s="88">
        <v>0.25</v>
      </c>
      <c r="AC20" s="88">
        <v>0.5</v>
      </c>
      <c r="AD20" s="88">
        <v>0.05</v>
      </c>
      <c r="AE20" s="90" t="s">
        <v>450</v>
      </c>
      <c r="AF20" s="88">
        <v>0.9</v>
      </c>
      <c r="AG20" s="88">
        <f>5%+5%+90%</f>
        <v>1</v>
      </c>
      <c r="AH20" s="7" t="s">
        <v>464</v>
      </c>
      <c r="AK20" s="99">
        <f t="shared" si="0"/>
        <v>0.45</v>
      </c>
      <c r="AL20" s="99">
        <f t="shared" si="1"/>
        <v>1</v>
      </c>
      <c r="AM20" s="99">
        <f t="shared" si="2"/>
        <v>2.2222222222222223</v>
      </c>
    </row>
    <row r="21" spans="2:39" ht="135" x14ac:dyDescent="0.25">
      <c r="B21" s="6" t="s">
        <v>42</v>
      </c>
      <c r="C21" s="6" t="s">
        <v>43</v>
      </c>
      <c r="D21" s="6" t="s">
        <v>44</v>
      </c>
      <c r="E21" s="6" t="s">
        <v>45</v>
      </c>
      <c r="F21" s="6" t="s">
        <v>113</v>
      </c>
      <c r="G21" s="6"/>
      <c r="H21" s="6"/>
      <c r="I21" s="6"/>
      <c r="J21" s="6" t="s">
        <v>114</v>
      </c>
      <c r="K21" s="7" t="s">
        <v>115</v>
      </c>
      <c r="L21" s="7" t="s">
        <v>116</v>
      </c>
      <c r="M21" s="6" t="s">
        <v>100</v>
      </c>
      <c r="N21" s="9">
        <v>42614</v>
      </c>
      <c r="O21" s="9">
        <v>42826</v>
      </c>
      <c r="P21" s="7"/>
      <c r="Q21" s="6"/>
      <c r="R21" s="87">
        <v>0.04</v>
      </c>
      <c r="S21" s="88"/>
      <c r="T21" s="89"/>
      <c r="U21" s="89"/>
      <c r="V21" s="89"/>
      <c r="W21" s="89"/>
      <c r="X21" s="88"/>
      <c r="Y21" s="89"/>
      <c r="Z21" s="89"/>
      <c r="AA21" s="88">
        <v>0.25</v>
      </c>
      <c r="AB21" s="88">
        <v>0.25</v>
      </c>
      <c r="AC21" s="88">
        <v>0.25</v>
      </c>
      <c r="AD21" s="88">
        <v>0.25</v>
      </c>
      <c r="AE21" s="90" t="s">
        <v>450</v>
      </c>
      <c r="AF21" s="88">
        <v>0.05</v>
      </c>
      <c r="AG21" s="88">
        <f>10%+5%</f>
        <v>0.15000000000000002</v>
      </c>
      <c r="AH21" s="7" t="s">
        <v>465</v>
      </c>
      <c r="AK21" s="99">
        <f t="shared" si="0"/>
        <v>0.5</v>
      </c>
      <c r="AL21" s="99">
        <f t="shared" si="1"/>
        <v>0.15000000000000002</v>
      </c>
      <c r="AM21" s="99">
        <f t="shared" si="2"/>
        <v>0.30000000000000004</v>
      </c>
    </row>
    <row r="22" spans="2:39" ht="255" x14ac:dyDescent="0.25">
      <c r="B22" s="6" t="s">
        <v>42</v>
      </c>
      <c r="C22" s="6" t="s">
        <v>43</v>
      </c>
      <c r="D22" s="6" t="s">
        <v>44</v>
      </c>
      <c r="E22" s="6" t="s">
        <v>45</v>
      </c>
      <c r="F22" s="6" t="s">
        <v>113</v>
      </c>
      <c r="G22" s="6"/>
      <c r="H22" s="6"/>
      <c r="I22" s="6"/>
      <c r="J22" s="6" t="s">
        <v>117</v>
      </c>
      <c r="K22" s="7" t="s">
        <v>118</v>
      </c>
      <c r="L22" s="7" t="s">
        <v>119</v>
      </c>
      <c r="M22" s="6" t="s">
        <v>100</v>
      </c>
      <c r="N22" s="9">
        <v>42614</v>
      </c>
      <c r="O22" s="9">
        <v>42735</v>
      </c>
      <c r="P22" s="7" t="s">
        <v>120</v>
      </c>
      <c r="Q22" s="6" t="s">
        <v>121</v>
      </c>
      <c r="R22" s="87">
        <v>0.04</v>
      </c>
      <c r="S22" s="88"/>
      <c r="T22" s="89"/>
      <c r="U22" s="89"/>
      <c r="V22" s="89"/>
      <c r="W22" s="89"/>
      <c r="X22" s="88"/>
      <c r="Y22" s="89"/>
      <c r="Z22" s="89"/>
      <c r="AA22" s="88">
        <v>0.25</v>
      </c>
      <c r="AB22" s="88">
        <v>0.25</v>
      </c>
      <c r="AC22" s="88">
        <v>0.25</v>
      </c>
      <c r="AD22" s="88">
        <v>0.25</v>
      </c>
      <c r="AE22" s="90" t="s">
        <v>450</v>
      </c>
      <c r="AF22" s="88">
        <v>0.25</v>
      </c>
      <c r="AG22" s="88">
        <f>25%+25%</f>
        <v>0.5</v>
      </c>
      <c r="AH22" s="7" t="s">
        <v>466</v>
      </c>
      <c r="AK22" s="99">
        <f t="shared" si="0"/>
        <v>0.5</v>
      </c>
      <c r="AL22" s="99">
        <f t="shared" si="1"/>
        <v>0.5</v>
      </c>
      <c r="AM22" s="99">
        <f t="shared" si="2"/>
        <v>1</v>
      </c>
    </row>
    <row r="23" spans="2:39" ht="90" x14ac:dyDescent="0.25">
      <c r="B23" s="6" t="s">
        <v>42</v>
      </c>
      <c r="C23" s="6" t="s">
        <v>43</v>
      </c>
      <c r="D23" s="6" t="s">
        <v>44</v>
      </c>
      <c r="E23" s="6" t="s">
        <v>45</v>
      </c>
      <c r="F23" s="6" t="s">
        <v>113</v>
      </c>
      <c r="G23" s="6"/>
      <c r="H23" s="6"/>
      <c r="I23" s="6"/>
      <c r="J23" s="6" t="s">
        <v>122</v>
      </c>
      <c r="K23" s="7" t="s">
        <v>123</v>
      </c>
      <c r="L23" s="7" t="s">
        <v>124</v>
      </c>
      <c r="M23" s="6" t="s">
        <v>100</v>
      </c>
      <c r="N23" s="9">
        <v>42583</v>
      </c>
      <c r="O23" s="9">
        <v>42735</v>
      </c>
      <c r="P23" s="7" t="s">
        <v>51</v>
      </c>
      <c r="Q23" s="6"/>
      <c r="R23" s="87">
        <v>0.03</v>
      </c>
      <c r="S23" s="88"/>
      <c r="T23" s="89"/>
      <c r="U23" s="89"/>
      <c r="V23" s="89"/>
      <c r="W23" s="89"/>
      <c r="X23" s="88"/>
      <c r="Y23" s="89"/>
      <c r="Z23" s="89">
        <v>0.2</v>
      </c>
      <c r="AA23" s="88">
        <v>0.2</v>
      </c>
      <c r="AB23" s="88">
        <v>0.2</v>
      </c>
      <c r="AC23" s="88">
        <v>0.2</v>
      </c>
      <c r="AD23" s="88">
        <v>0.2</v>
      </c>
      <c r="AE23" s="90" t="s">
        <v>450</v>
      </c>
      <c r="AF23" s="88">
        <v>0.2</v>
      </c>
      <c r="AG23" s="88">
        <f>20%+20%+20%</f>
        <v>0.60000000000000009</v>
      </c>
      <c r="AH23" s="16" t="s">
        <v>467</v>
      </c>
      <c r="AK23" s="99">
        <f t="shared" si="0"/>
        <v>0.60000000000000009</v>
      </c>
      <c r="AL23" s="99">
        <f t="shared" si="1"/>
        <v>0.60000000000000009</v>
      </c>
      <c r="AM23" s="99">
        <f t="shared" si="2"/>
        <v>1</v>
      </c>
    </row>
    <row r="24" spans="2:39" ht="90" x14ac:dyDescent="0.25">
      <c r="B24" s="6" t="s">
        <v>42</v>
      </c>
      <c r="C24" s="6" t="s">
        <v>43</v>
      </c>
      <c r="D24" s="6" t="s">
        <v>44</v>
      </c>
      <c r="E24" s="6" t="s">
        <v>45</v>
      </c>
      <c r="F24" s="6" t="s">
        <v>113</v>
      </c>
      <c r="G24" s="6"/>
      <c r="H24" s="6"/>
      <c r="I24" s="6"/>
      <c r="J24" s="6" t="s">
        <v>126</v>
      </c>
      <c r="K24" s="7" t="s">
        <v>127</v>
      </c>
      <c r="L24" s="7" t="s">
        <v>128</v>
      </c>
      <c r="M24" s="6" t="s">
        <v>100</v>
      </c>
      <c r="N24" s="9">
        <v>42614</v>
      </c>
      <c r="O24" s="9">
        <v>42767</v>
      </c>
      <c r="P24" s="7" t="s">
        <v>129</v>
      </c>
      <c r="Q24" s="6" t="s">
        <v>130</v>
      </c>
      <c r="R24" s="87">
        <v>0.04</v>
      </c>
      <c r="S24" s="88"/>
      <c r="T24" s="89"/>
      <c r="U24" s="89"/>
      <c r="V24" s="89"/>
      <c r="W24" s="89"/>
      <c r="X24" s="88"/>
      <c r="Y24" s="89"/>
      <c r="Z24" s="89"/>
      <c r="AA24" s="88">
        <v>0.25</v>
      </c>
      <c r="AB24" s="88">
        <v>0.25</v>
      </c>
      <c r="AC24" s="88">
        <v>0.25</v>
      </c>
      <c r="AD24" s="88">
        <v>0.25</v>
      </c>
      <c r="AE24" s="90" t="s">
        <v>450</v>
      </c>
      <c r="AF24" s="88">
        <v>0.25</v>
      </c>
      <c r="AG24" s="88">
        <f>25%+25%</f>
        <v>0.5</v>
      </c>
      <c r="AH24" s="7" t="s">
        <v>468</v>
      </c>
      <c r="AK24" s="99">
        <f t="shared" si="0"/>
        <v>0.5</v>
      </c>
      <c r="AL24" s="99">
        <f t="shared" si="1"/>
        <v>0.5</v>
      </c>
      <c r="AM24" s="99">
        <f t="shared" si="2"/>
        <v>1</v>
      </c>
    </row>
    <row r="25" spans="2:39" ht="150" x14ac:dyDescent="0.25">
      <c r="B25" s="6" t="s">
        <v>42</v>
      </c>
      <c r="C25" s="6" t="s">
        <v>43</v>
      </c>
      <c r="D25" s="6" t="s">
        <v>44</v>
      </c>
      <c r="E25" s="6" t="s">
        <v>45</v>
      </c>
      <c r="F25" s="6" t="s">
        <v>113</v>
      </c>
      <c r="G25" s="6"/>
      <c r="H25" s="6"/>
      <c r="I25" s="6"/>
      <c r="J25" s="6" t="s">
        <v>131</v>
      </c>
      <c r="K25" s="7" t="s">
        <v>132</v>
      </c>
      <c r="L25" s="7" t="s">
        <v>133</v>
      </c>
      <c r="M25" s="6" t="s">
        <v>100</v>
      </c>
      <c r="N25" s="9">
        <v>42614</v>
      </c>
      <c r="O25" s="9">
        <v>42735</v>
      </c>
      <c r="P25" s="7" t="s">
        <v>111</v>
      </c>
      <c r="Q25" s="6" t="s">
        <v>134</v>
      </c>
      <c r="R25" s="87">
        <v>0.03</v>
      </c>
      <c r="S25" s="88"/>
      <c r="T25" s="89"/>
      <c r="U25" s="89"/>
      <c r="V25" s="89"/>
      <c r="W25" s="89"/>
      <c r="X25" s="88"/>
      <c r="Y25" s="89"/>
      <c r="Z25" s="89"/>
      <c r="AA25" s="88"/>
      <c r="AB25" s="88">
        <v>0.3</v>
      </c>
      <c r="AC25" s="88">
        <v>0.6</v>
      </c>
      <c r="AD25" s="88">
        <v>0.1</v>
      </c>
      <c r="AE25" s="90" t="s">
        <v>450</v>
      </c>
      <c r="AF25" s="88">
        <v>0.2</v>
      </c>
      <c r="AG25" s="88">
        <f>10%+20%</f>
        <v>0.30000000000000004</v>
      </c>
      <c r="AH25" s="7" t="s">
        <v>469</v>
      </c>
      <c r="AK25" s="99">
        <f t="shared" si="0"/>
        <v>0.3</v>
      </c>
      <c r="AL25" s="99">
        <f t="shared" si="1"/>
        <v>0.30000000000000004</v>
      </c>
      <c r="AM25" s="99">
        <f t="shared" si="2"/>
        <v>1.0000000000000002</v>
      </c>
    </row>
    <row r="26" spans="2:39" ht="185.25" customHeight="1" x14ac:dyDescent="0.25">
      <c r="B26" s="6" t="s">
        <v>42</v>
      </c>
      <c r="C26" s="6" t="s">
        <v>43</v>
      </c>
      <c r="D26" s="6" t="s">
        <v>44</v>
      </c>
      <c r="E26" s="6" t="s">
        <v>45</v>
      </c>
      <c r="F26" s="6" t="s">
        <v>113</v>
      </c>
      <c r="G26" s="6"/>
      <c r="H26" s="6"/>
      <c r="I26" s="6"/>
      <c r="J26" s="6" t="s">
        <v>135</v>
      </c>
      <c r="K26" s="7" t="s">
        <v>136</v>
      </c>
      <c r="L26" s="7" t="s">
        <v>137</v>
      </c>
      <c r="M26" s="6" t="s">
        <v>100</v>
      </c>
      <c r="N26" s="9">
        <v>42597</v>
      </c>
      <c r="O26" s="9">
        <v>42809</v>
      </c>
      <c r="P26" s="7" t="s">
        <v>138</v>
      </c>
      <c r="Q26" s="6" t="s">
        <v>139</v>
      </c>
      <c r="R26" s="87">
        <v>0.03</v>
      </c>
      <c r="S26" s="88"/>
      <c r="T26" s="89"/>
      <c r="U26" s="89"/>
      <c r="V26" s="89"/>
      <c r="W26" s="89"/>
      <c r="X26" s="88"/>
      <c r="Y26" s="89"/>
      <c r="Z26" s="89">
        <v>0.2</v>
      </c>
      <c r="AA26" s="88">
        <v>0.2</v>
      </c>
      <c r="AB26" s="88">
        <v>0.2</v>
      </c>
      <c r="AC26" s="88">
        <v>0.2</v>
      </c>
      <c r="AD26" s="88">
        <v>0.2</v>
      </c>
      <c r="AE26" s="90" t="s">
        <v>450</v>
      </c>
      <c r="AF26" s="88"/>
      <c r="AG26" s="88">
        <f>7%+10%</f>
        <v>0.17</v>
      </c>
      <c r="AH26" s="16" t="s">
        <v>470</v>
      </c>
      <c r="AK26" s="99">
        <f t="shared" si="0"/>
        <v>0.60000000000000009</v>
      </c>
      <c r="AL26" s="99">
        <f t="shared" si="1"/>
        <v>0.17</v>
      </c>
      <c r="AM26" s="99">
        <f t="shared" si="2"/>
        <v>0.28333333333333333</v>
      </c>
    </row>
    <row r="27" spans="2:39" ht="195" x14ac:dyDescent="0.25">
      <c r="B27" s="6" t="s">
        <v>42</v>
      </c>
      <c r="C27" s="6" t="s">
        <v>43</v>
      </c>
      <c r="D27" s="6" t="s">
        <v>44</v>
      </c>
      <c r="E27" s="6" t="s">
        <v>45</v>
      </c>
      <c r="F27" s="6" t="s">
        <v>113</v>
      </c>
      <c r="G27" s="6"/>
      <c r="H27" s="6"/>
      <c r="I27" s="6"/>
      <c r="J27" s="6" t="s">
        <v>141</v>
      </c>
      <c r="K27" s="7" t="s">
        <v>142</v>
      </c>
      <c r="L27" s="7" t="s">
        <v>143</v>
      </c>
      <c r="M27" s="6" t="s">
        <v>100</v>
      </c>
      <c r="N27" s="9">
        <v>42614</v>
      </c>
      <c r="O27" s="9">
        <v>42704</v>
      </c>
      <c r="P27" s="7" t="s">
        <v>144</v>
      </c>
      <c r="Q27" s="6" t="s">
        <v>145</v>
      </c>
      <c r="R27" s="87">
        <v>0.03</v>
      </c>
      <c r="S27" s="88"/>
      <c r="T27" s="89"/>
      <c r="U27" s="89"/>
      <c r="V27" s="89"/>
      <c r="W27" s="89"/>
      <c r="X27" s="88"/>
      <c r="Y27" s="89"/>
      <c r="Z27" s="89"/>
      <c r="AA27" s="88">
        <v>0.33</v>
      </c>
      <c r="AB27" s="88">
        <v>0.34</v>
      </c>
      <c r="AC27" s="88">
        <v>0.33</v>
      </c>
      <c r="AD27" s="88"/>
      <c r="AE27" s="90" t="s">
        <v>450</v>
      </c>
      <c r="AF27" s="88">
        <v>0.34</v>
      </c>
      <c r="AG27" s="88">
        <f>33%+34%</f>
        <v>0.67</v>
      </c>
      <c r="AH27" s="7" t="s">
        <v>491</v>
      </c>
      <c r="AK27" s="99">
        <f t="shared" si="0"/>
        <v>0.67</v>
      </c>
      <c r="AL27" s="99">
        <f t="shared" si="1"/>
        <v>0.67</v>
      </c>
      <c r="AM27" s="99">
        <f t="shared" si="2"/>
        <v>1</v>
      </c>
    </row>
    <row r="28" spans="2:39" ht="195" x14ac:dyDescent="0.25">
      <c r="B28" s="6" t="s">
        <v>42</v>
      </c>
      <c r="C28" s="6" t="s">
        <v>43</v>
      </c>
      <c r="D28" s="6" t="s">
        <v>44</v>
      </c>
      <c r="E28" s="6" t="s">
        <v>45</v>
      </c>
      <c r="F28" s="6" t="s">
        <v>113</v>
      </c>
      <c r="G28" s="6"/>
      <c r="H28" s="6"/>
      <c r="I28" s="6"/>
      <c r="J28" s="6" t="s">
        <v>146</v>
      </c>
      <c r="K28" s="7" t="s">
        <v>147</v>
      </c>
      <c r="L28" s="7" t="s">
        <v>148</v>
      </c>
      <c r="M28" s="6" t="s">
        <v>100</v>
      </c>
      <c r="N28" s="9">
        <v>42614</v>
      </c>
      <c r="O28" s="9">
        <v>42735</v>
      </c>
      <c r="P28" s="7" t="s">
        <v>144</v>
      </c>
      <c r="Q28" s="6" t="s">
        <v>149</v>
      </c>
      <c r="R28" s="87">
        <v>0.03</v>
      </c>
      <c r="S28" s="88"/>
      <c r="T28" s="89"/>
      <c r="U28" s="89"/>
      <c r="V28" s="89"/>
      <c r="W28" s="89"/>
      <c r="X28" s="88"/>
      <c r="Y28" s="89"/>
      <c r="Z28" s="89"/>
      <c r="AA28" s="88">
        <v>0.25</v>
      </c>
      <c r="AB28" s="88">
        <v>0.25</v>
      </c>
      <c r="AC28" s="88">
        <v>0.25</v>
      </c>
      <c r="AD28" s="88">
        <v>0.25</v>
      </c>
      <c r="AE28" s="90" t="s">
        <v>450</v>
      </c>
      <c r="AF28" s="88">
        <v>0.05</v>
      </c>
      <c r="AG28" s="88">
        <f>7%+20%+5%</f>
        <v>0.32</v>
      </c>
      <c r="AH28" s="16" t="s">
        <v>471</v>
      </c>
      <c r="AK28" s="99">
        <f t="shared" si="0"/>
        <v>0.5</v>
      </c>
      <c r="AL28" s="99">
        <f t="shared" si="1"/>
        <v>0.32</v>
      </c>
      <c r="AM28" s="99">
        <f t="shared" si="2"/>
        <v>0.64</v>
      </c>
    </row>
    <row r="29" spans="2:39" ht="120" x14ac:dyDescent="0.25">
      <c r="B29" s="6" t="s">
        <v>42</v>
      </c>
      <c r="C29" s="6" t="s">
        <v>43</v>
      </c>
      <c r="D29" s="6" t="s">
        <v>44</v>
      </c>
      <c r="E29" s="6" t="s">
        <v>45</v>
      </c>
      <c r="F29" s="6" t="s">
        <v>96</v>
      </c>
      <c r="G29" s="6"/>
      <c r="H29" s="6"/>
      <c r="I29" s="6"/>
      <c r="J29" s="6" t="s">
        <v>151</v>
      </c>
      <c r="K29" s="7" t="s">
        <v>152</v>
      </c>
      <c r="L29" s="7" t="s">
        <v>153</v>
      </c>
      <c r="M29" s="6" t="s">
        <v>100</v>
      </c>
      <c r="N29" s="9">
        <v>42628</v>
      </c>
      <c r="O29" s="9">
        <v>42689</v>
      </c>
      <c r="P29" s="7" t="s">
        <v>154</v>
      </c>
      <c r="Q29" s="6" t="s">
        <v>155</v>
      </c>
      <c r="R29" s="87">
        <v>0.03</v>
      </c>
      <c r="S29" s="88"/>
      <c r="T29" s="89"/>
      <c r="U29" s="89"/>
      <c r="V29" s="89"/>
      <c r="W29" s="89"/>
      <c r="X29" s="88"/>
      <c r="Y29" s="89"/>
      <c r="Z29" s="89"/>
      <c r="AA29" s="88">
        <v>0.33</v>
      </c>
      <c r="AB29" s="88">
        <v>0.34</v>
      </c>
      <c r="AC29" s="88">
        <v>0.33</v>
      </c>
      <c r="AD29" s="88"/>
      <c r="AE29" s="90" t="s">
        <v>450</v>
      </c>
      <c r="AF29" s="88"/>
      <c r="AG29" s="88">
        <v>0</v>
      </c>
      <c r="AH29" s="7" t="s">
        <v>472</v>
      </c>
      <c r="AK29" s="99">
        <f t="shared" si="0"/>
        <v>0.67</v>
      </c>
      <c r="AL29" s="99">
        <f t="shared" si="1"/>
        <v>0</v>
      </c>
      <c r="AM29" s="99">
        <f t="shared" si="2"/>
        <v>0</v>
      </c>
    </row>
    <row r="30" spans="2:39" ht="105" x14ac:dyDescent="0.25">
      <c r="B30" s="6" t="s">
        <v>42</v>
      </c>
      <c r="C30" s="6" t="s">
        <v>43</v>
      </c>
      <c r="D30" s="6" t="s">
        <v>44</v>
      </c>
      <c r="E30" s="6" t="s">
        <v>45</v>
      </c>
      <c r="F30" s="6" t="s">
        <v>150</v>
      </c>
      <c r="G30" s="6"/>
      <c r="H30" s="6"/>
      <c r="I30" s="6"/>
      <c r="J30" s="6" t="s">
        <v>156</v>
      </c>
      <c r="K30" s="7" t="s">
        <v>157</v>
      </c>
      <c r="L30" s="7" t="s">
        <v>158</v>
      </c>
      <c r="M30" s="6" t="s">
        <v>100</v>
      </c>
      <c r="N30" s="9">
        <v>42614</v>
      </c>
      <c r="O30" s="9">
        <v>42735</v>
      </c>
      <c r="P30" s="7" t="s">
        <v>159</v>
      </c>
      <c r="Q30" s="6" t="s">
        <v>160</v>
      </c>
      <c r="R30" s="87">
        <v>0.03</v>
      </c>
      <c r="S30" s="88"/>
      <c r="T30" s="89"/>
      <c r="U30" s="89"/>
      <c r="V30" s="89"/>
      <c r="W30" s="89"/>
      <c r="X30" s="88"/>
      <c r="Y30" s="89"/>
      <c r="Z30" s="89"/>
      <c r="AA30" s="88">
        <v>0.25</v>
      </c>
      <c r="AB30" s="88">
        <v>0.25</v>
      </c>
      <c r="AC30" s="88">
        <v>0.25</v>
      </c>
      <c r="AD30" s="88">
        <v>0.25</v>
      </c>
      <c r="AE30" s="90" t="s">
        <v>450</v>
      </c>
      <c r="AF30" s="88"/>
      <c r="AG30" s="88">
        <v>0.1</v>
      </c>
      <c r="AH30" s="7" t="s">
        <v>473</v>
      </c>
      <c r="AK30" s="99">
        <f t="shared" si="0"/>
        <v>0.5</v>
      </c>
      <c r="AL30" s="99">
        <f t="shared" si="1"/>
        <v>0.1</v>
      </c>
      <c r="AM30" s="99">
        <f t="shared" si="2"/>
        <v>0.2</v>
      </c>
    </row>
    <row r="31" spans="2:39" ht="105" x14ac:dyDescent="0.25">
      <c r="B31" s="6" t="s">
        <v>42</v>
      </c>
      <c r="C31" s="6" t="s">
        <v>43</v>
      </c>
      <c r="D31" s="6" t="s">
        <v>44</v>
      </c>
      <c r="E31" s="6" t="s">
        <v>45</v>
      </c>
      <c r="F31" s="6" t="s">
        <v>161</v>
      </c>
      <c r="G31" s="6"/>
      <c r="H31" s="6"/>
      <c r="I31" s="6"/>
      <c r="J31" s="6" t="s">
        <v>162</v>
      </c>
      <c r="K31" s="7" t="s">
        <v>163</v>
      </c>
      <c r="L31" s="7" t="s">
        <v>164</v>
      </c>
      <c r="M31" s="6" t="s">
        <v>60</v>
      </c>
      <c r="N31" s="9">
        <v>42644</v>
      </c>
      <c r="O31" s="9">
        <v>42887</v>
      </c>
      <c r="P31" s="7" t="s">
        <v>138</v>
      </c>
      <c r="Q31" s="7" t="s">
        <v>165</v>
      </c>
      <c r="R31" s="87">
        <v>0.04</v>
      </c>
      <c r="S31" s="88"/>
      <c r="T31" s="89"/>
      <c r="U31" s="89"/>
      <c r="V31" s="89"/>
      <c r="W31" s="89"/>
      <c r="X31" s="88"/>
      <c r="Y31" s="89"/>
      <c r="Z31" s="89"/>
      <c r="AA31" s="88"/>
      <c r="AB31" s="88">
        <v>1</v>
      </c>
      <c r="AC31" s="88"/>
      <c r="AD31" s="88"/>
      <c r="AE31" s="90" t="s">
        <v>450</v>
      </c>
      <c r="AF31" s="88"/>
      <c r="AG31" s="88">
        <v>0</v>
      </c>
      <c r="AH31" s="7" t="s">
        <v>486</v>
      </c>
      <c r="AK31" s="99">
        <f t="shared" si="0"/>
        <v>1</v>
      </c>
      <c r="AL31" s="99">
        <f t="shared" si="1"/>
        <v>0</v>
      </c>
      <c r="AM31" s="99">
        <f t="shared" si="2"/>
        <v>0</v>
      </c>
    </row>
    <row r="32" spans="2:39" ht="120" x14ac:dyDescent="0.25">
      <c r="B32" s="6" t="s">
        <v>42</v>
      </c>
      <c r="C32" s="6" t="s">
        <v>43</v>
      </c>
      <c r="D32" s="6" t="s">
        <v>44</v>
      </c>
      <c r="E32" s="6" t="s">
        <v>45</v>
      </c>
      <c r="F32" s="6" t="s">
        <v>161</v>
      </c>
      <c r="G32" s="6"/>
      <c r="H32" s="6"/>
      <c r="I32" s="6"/>
      <c r="J32" s="6" t="s">
        <v>166</v>
      </c>
      <c r="K32" s="7" t="s">
        <v>167</v>
      </c>
      <c r="L32" s="7" t="s">
        <v>168</v>
      </c>
      <c r="M32" s="6" t="s">
        <v>60</v>
      </c>
      <c r="N32" s="9">
        <v>42614</v>
      </c>
      <c r="O32" s="9">
        <v>42979</v>
      </c>
      <c r="P32" s="7" t="s">
        <v>138</v>
      </c>
      <c r="Q32" s="7" t="s">
        <v>169</v>
      </c>
      <c r="R32" s="87">
        <v>0.03</v>
      </c>
      <c r="S32" s="88"/>
      <c r="T32" s="89"/>
      <c r="U32" s="89"/>
      <c r="V32" s="89"/>
      <c r="W32" s="89"/>
      <c r="X32" s="88"/>
      <c r="Y32" s="89"/>
      <c r="Z32" s="89"/>
      <c r="AA32" s="88">
        <v>0.14000000000000001</v>
      </c>
      <c r="AB32" s="88">
        <v>0.28999999999999998</v>
      </c>
      <c r="AC32" s="88">
        <v>0.56999999999999995</v>
      </c>
      <c r="AD32" s="88"/>
      <c r="AE32" s="90" t="s">
        <v>450</v>
      </c>
      <c r="AF32" s="88"/>
      <c r="AG32" s="88">
        <v>0</v>
      </c>
      <c r="AH32" s="7" t="s">
        <v>487</v>
      </c>
      <c r="AK32" s="99">
        <f t="shared" si="0"/>
        <v>0.43</v>
      </c>
      <c r="AL32" s="99">
        <f t="shared" si="1"/>
        <v>0</v>
      </c>
      <c r="AM32" s="99">
        <f t="shared" si="2"/>
        <v>0</v>
      </c>
    </row>
    <row r="33" spans="2:39" ht="90" x14ac:dyDescent="0.25">
      <c r="B33" s="6" t="s">
        <v>42</v>
      </c>
      <c r="C33" s="6" t="s">
        <v>43</v>
      </c>
      <c r="D33" s="6" t="s">
        <v>44</v>
      </c>
      <c r="E33" s="6" t="s">
        <v>45</v>
      </c>
      <c r="F33" s="6" t="s">
        <v>161</v>
      </c>
      <c r="G33" s="6"/>
      <c r="H33" s="6"/>
      <c r="I33" s="6"/>
      <c r="J33" s="6" t="s">
        <v>170</v>
      </c>
      <c r="K33" s="7" t="s">
        <v>171</v>
      </c>
      <c r="L33" s="7" t="s">
        <v>172</v>
      </c>
      <c r="M33" s="6" t="s">
        <v>60</v>
      </c>
      <c r="N33" s="9">
        <v>42644</v>
      </c>
      <c r="O33" s="9">
        <v>42948</v>
      </c>
      <c r="P33" s="7" t="s">
        <v>138</v>
      </c>
      <c r="Q33" s="7" t="s">
        <v>165</v>
      </c>
      <c r="R33" s="87">
        <v>0.03</v>
      </c>
      <c r="S33" s="88"/>
      <c r="T33" s="89"/>
      <c r="U33" s="89"/>
      <c r="V33" s="89"/>
      <c r="W33" s="89"/>
      <c r="X33" s="88"/>
      <c r="Y33" s="89"/>
      <c r="Z33" s="89"/>
      <c r="AA33" s="88"/>
      <c r="AB33" s="88">
        <v>1</v>
      </c>
      <c r="AC33" s="88"/>
      <c r="AD33" s="88"/>
      <c r="AE33" s="90" t="s">
        <v>450</v>
      </c>
      <c r="AF33" s="88">
        <v>1</v>
      </c>
      <c r="AG33" s="88">
        <v>1</v>
      </c>
      <c r="AH33" s="7" t="s">
        <v>488</v>
      </c>
      <c r="AK33" s="99">
        <f t="shared" si="0"/>
        <v>1</v>
      </c>
      <c r="AL33" s="99">
        <f t="shared" si="1"/>
        <v>1</v>
      </c>
      <c r="AM33" s="99">
        <f t="shared" si="2"/>
        <v>1</v>
      </c>
    </row>
    <row r="34" spans="2:39" ht="168.75" customHeight="1" x14ac:dyDescent="0.25">
      <c r="B34" s="6" t="s">
        <v>42</v>
      </c>
      <c r="C34" s="6" t="s">
        <v>43</v>
      </c>
      <c r="D34" s="6" t="s">
        <v>44</v>
      </c>
      <c r="E34" s="6" t="s">
        <v>45</v>
      </c>
      <c r="F34" s="6" t="s">
        <v>161</v>
      </c>
      <c r="G34" s="6"/>
      <c r="H34" s="6"/>
      <c r="I34" s="6"/>
      <c r="J34" s="6" t="s">
        <v>173</v>
      </c>
      <c r="K34" s="7" t="s">
        <v>174</v>
      </c>
      <c r="L34" s="7" t="s">
        <v>175</v>
      </c>
      <c r="M34" s="6" t="s">
        <v>60</v>
      </c>
      <c r="N34" s="9">
        <v>42583</v>
      </c>
      <c r="O34" s="9">
        <v>42735</v>
      </c>
      <c r="P34" s="7" t="s">
        <v>138</v>
      </c>
      <c r="Q34" s="7" t="s">
        <v>176</v>
      </c>
      <c r="R34" s="87">
        <v>0.04</v>
      </c>
      <c r="S34" s="88"/>
      <c r="T34" s="89"/>
      <c r="U34" s="89"/>
      <c r="V34" s="89"/>
      <c r="W34" s="89"/>
      <c r="X34" s="88"/>
      <c r="Y34" s="89"/>
      <c r="Z34" s="89">
        <v>1</v>
      </c>
      <c r="AA34" s="88"/>
      <c r="AB34" s="88"/>
      <c r="AC34" s="88"/>
      <c r="AD34" s="88"/>
      <c r="AE34" s="90" t="s">
        <v>450</v>
      </c>
      <c r="AF34" s="88"/>
      <c r="AG34" s="88">
        <f>25%+25%</f>
        <v>0.5</v>
      </c>
      <c r="AH34" s="16" t="s">
        <v>489</v>
      </c>
      <c r="AK34" s="99">
        <f t="shared" si="0"/>
        <v>1</v>
      </c>
      <c r="AL34" s="99">
        <f t="shared" si="1"/>
        <v>0.5</v>
      </c>
      <c r="AM34" s="99">
        <f t="shared" si="2"/>
        <v>0.5</v>
      </c>
    </row>
    <row r="35" spans="2:39" ht="90" x14ac:dyDescent="0.25">
      <c r="B35" s="6" t="s">
        <v>42</v>
      </c>
      <c r="C35" s="6" t="s">
        <v>43</v>
      </c>
      <c r="D35" s="6" t="s">
        <v>44</v>
      </c>
      <c r="E35" s="6" t="s">
        <v>45</v>
      </c>
      <c r="F35" s="6" t="s">
        <v>161</v>
      </c>
      <c r="G35" s="6"/>
      <c r="H35" s="6"/>
      <c r="I35" s="6"/>
      <c r="J35" s="6" t="s">
        <v>173</v>
      </c>
      <c r="K35" s="7" t="s">
        <v>178</v>
      </c>
      <c r="L35" s="7" t="s">
        <v>175</v>
      </c>
      <c r="M35" s="6" t="s">
        <v>60</v>
      </c>
      <c r="N35" s="9">
        <v>42658</v>
      </c>
      <c r="O35" s="9">
        <v>42901</v>
      </c>
      <c r="P35" s="7" t="s">
        <v>138</v>
      </c>
      <c r="Q35" s="7" t="s">
        <v>179</v>
      </c>
      <c r="R35" s="87">
        <v>0.04</v>
      </c>
      <c r="S35" s="88"/>
      <c r="T35" s="89"/>
      <c r="U35" s="89"/>
      <c r="V35" s="89"/>
      <c r="W35" s="89"/>
      <c r="X35" s="88"/>
      <c r="Y35" s="89"/>
      <c r="Z35" s="89"/>
      <c r="AA35" s="88"/>
      <c r="AB35" s="88">
        <v>1</v>
      </c>
      <c r="AC35" s="88"/>
      <c r="AD35" s="88"/>
      <c r="AE35" s="90" t="s">
        <v>450</v>
      </c>
      <c r="AF35" s="88"/>
      <c r="AG35" s="88">
        <v>0</v>
      </c>
      <c r="AH35" s="7" t="s">
        <v>490</v>
      </c>
      <c r="AK35" s="99">
        <f t="shared" si="0"/>
        <v>1</v>
      </c>
      <c r="AL35" s="99">
        <f t="shared" si="1"/>
        <v>0</v>
      </c>
      <c r="AM35" s="99">
        <f t="shared" si="2"/>
        <v>0</v>
      </c>
    </row>
    <row r="36" spans="2:39" ht="105" x14ac:dyDescent="0.25">
      <c r="B36" s="6" t="s">
        <v>42</v>
      </c>
      <c r="C36" s="6" t="s">
        <v>43</v>
      </c>
      <c r="D36" s="6" t="s">
        <v>44</v>
      </c>
      <c r="E36" s="6" t="s">
        <v>45</v>
      </c>
      <c r="F36" s="6" t="s">
        <v>161</v>
      </c>
      <c r="G36" s="6"/>
      <c r="H36" s="6"/>
      <c r="I36" s="6"/>
      <c r="J36" s="6" t="s">
        <v>181</v>
      </c>
      <c r="K36" s="7" t="s">
        <v>182</v>
      </c>
      <c r="L36" s="7" t="s">
        <v>183</v>
      </c>
      <c r="M36" s="6" t="s">
        <v>60</v>
      </c>
      <c r="N36" s="9">
        <v>42522</v>
      </c>
      <c r="O36" s="9">
        <v>42705</v>
      </c>
      <c r="P36" s="7" t="s">
        <v>184</v>
      </c>
      <c r="Q36" s="7" t="s">
        <v>185</v>
      </c>
      <c r="R36" s="87">
        <v>0.03</v>
      </c>
      <c r="S36" s="88"/>
      <c r="T36" s="89"/>
      <c r="U36" s="89"/>
      <c r="V36" s="89"/>
      <c r="W36" s="89"/>
      <c r="X36" s="88"/>
      <c r="Y36" s="89"/>
      <c r="Z36" s="89"/>
      <c r="AA36" s="88"/>
      <c r="AB36" s="88"/>
      <c r="AC36" s="88"/>
      <c r="AD36" s="88">
        <v>1</v>
      </c>
      <c r="AE36" s="90" t="s">
        <v>450</v>
      </c>
      <c r="AF36" s="88"/>
      <c r="AG36" s="88"/>
      <c r="AH36" s="7"/>
      <c r="AK36" s="99">
        <f t="shared" si="0"/>
        <v>0</v>
      </c>
      <c r="AL36" s="99">
        <f t="shared" si="1"/>
        <v>0</v>
      </c>
      <c r="AM36" s="99" t="e">
        <f t="shared" si="2"/>
        <v>#DIV/0!</v>
      </c>
    </row>
    <row r="37" spans="2:39" ht="120" x14ac:dyDescent="0.25">
      <c r="B37" s="6" t="s">
        <v>42</v>
      </c>
      <c r="C37" s="6" t="s">
        <v>186</v>
      </c>
      <c r="D37" s="6" t="s">
        <v>44</v>
      </c>
      <c r="E37" s="6" t="s">
        <v>187</v>
      </c>
      <c r="F37" s="6" t="s">
        <v>188</v>
      </c>
      <c r="G37" s="6"/>
      <c r="H37" s="6"/>
      <c r="I37" s="6"/>
      <c r="J37" s="6" t="s">
        <v>189</v>
      </c>
      <c r="K37" s="7" t="s">
        <v>190</v>
      </c>
      <c r="L37" s="7" t="s">
        <v>191</v>
      </c>
      <c r="M37" s="6" t="s">
        <v>192</v>
      </c>
      <c r="N37" s="9">
        <v>42552</v>
      </c>
      <c r="O37" s="9">
        <v>42735</v>
      </c>
      <c r="P37" s="7" t="s">
        <v>51</v>
      </c>
      <c r="Q37" s="7" t="s">
        <v>193</v>
      </c>
      <c r="R37" s="87">
        <v>0.2</v>
      </c>
      <c r="S37" s="88"/>
      <c r="T37" s="89"/>
      <c r="U37" s="89"/>
      <c r="V37" s="89"/>
      <c r="W37" s="89"/>
      <c r="X37" s="88"/>
      <c r="Y37" s="89">
        <v>0.16</v>
      </c>
      <c r="Z37" s="89">
        <v>0.16</v>
      </c>
      <c r="AA37" s="88">
        <v>0.17</v>
      </c>
      <c r="AB37" s="87">
        <v>0.17</v>
      </c>
      <c r="AC37" s="87">
        <v>0.17</v>
      </c>
      <c r="AD37" s="88">
        <v>0.17</v>
      </c>
      <c r="AE37" s="90" t="s">
        <v>450</v>
      </c>
      <c r="AF37" s="88">
        <v>0.5</v>
      </c>
      <c r="AG37" s="88">
        <v>0.5</v>
      </c>
      <c r="AH37" s="7" t="s">
        <v>512</v>
      </c>
      <c r="AK37" s="99">
        <f t="shared" si="0"/>
        <v>0.66</v>
      </c>
      <c r="AL37" s="99">
        <f t="shared" si="1"/>
        <v>0.5</v>
      </c>
      <c r="AM37" s="99">
        <f t="shared" si="2"/>
        <v>0.75757575757575757</v>
      </c>
    </row>
    <row r="38" spans="2:39" ht="159.75" customHeight="1" x14ac:dyDescent="0.25">
      <c r="B38" s="6" t="s">
        <v>42</v>
      </c>
      <c r="C38" s="6" t="s">
        <v>186</v>
      </c>
      <c r="D38" s="6" t="s">
        <v>44</v>
      </c>
      <c r="E38" s="6" t="s">
        <v>187</v>
      </c>
      <c r="F38" s="6" t="s">
        <v>188</v>
      </c>
      <c r="G38" s="6"/>
      <c r="H38" s="6"/>
      <c r="I38" s="6"/>
      <c r="J38" s="6" t="s">
        <v>195</v>
      </c>
      <c r="K38" s="7" t="s">
        <v>196</v>
      </c>
      <c r="L38" s="7" t="s">
        <v>197</v>
      </c>
      <c r="M38" s="6" t="s">
        <v>192</v>
      </c>
      <c r="N38" s="9">
        <v>42552</v>
      </c>
      <c r="O38" s="9">
        <v>42735</v>
      </c>
      <c r="P38" s="7" t="s">
        <v>51</v>
      </c>
      <c r="Q38" s="7" t="s">
        <v>198</v>
      </c>
      <c r="R38" s="87">
        <v>0.2</v>
      </c>
      <c r="S38" s="88"/>
      <c r="T38" s="89"/>
      <c r="U38" s="89"/>
      <c r="V38" s="89"/>
      <c r="W38" s="89"/>
      <c r="X38" s="88"/>
      <c r="Y38" s="89">
        <v>0.16</v>
      </c>
      <c r="Z38" s="89">
        <v>0.16</v>
      </c>
      <c r="AA38" s="88">
        <v>0.17</v>
      </c>
      <c r="AB38" s="87">
        <v>0.17</v>
      </c>
      <c r="AC38" s="87">
        <v>0.17</v>
      </c>
      <c r="AD38" s="88">
        <v>0.17</v>
      </c>
      <c r="AE38" s="90" t="s">
        <v>450</v>
      </c>
      <c r="AF38" s="88">
        <v>0.17</v>
      </c>
      <c r="AG38" s="88">
        <f>16%+16%+16%+17%</f>
        <v>0.65</v>
      </c>
      <c r="AH38" s="16" t="s">
        <v>496</v>
      </c>
      <c r="AK38" s="99">
        <f t="shared" si="0"/>
        <v>0.66</v>
      </c>
      <c r="AL38" s="99">
        <f t="shared" si="1"/>
        <v>0.65</v>
      </c>
      <c r="AM38" s="99">
        <f t="shared" si="2"/>
        <v>0.98484848484848486</v>
      </c>
    </row>
    <row r="39" spans="2:39" ht="120" x14ac:dyDescent="0.25">
      <c r="B39" s="6" t="s">
        <v>42</v>
      </c>
      <c r="C39" s="6" t="s">
        <v>186</v>
      </c>
      <c r="D39" s="6" t="s">
        <v>44</v>
      </c>
      <c r="E39" s="6" t="s">
        <v>187</v>
      </c>
      <c r="F39" s="6" t="s">
        <v>200</v>
      </c>
      <c r="G39" s="6"/>
      <c r="H39" s="6"/>
      <c r="I39" s="6"/>
      <c r="J39" s="6" t="s">
        <v>201</v>
      </c>
      <c r="K39" s="7" t="s">
        <v>202</v>
      </c>
      <c r="L39" s="7" t="s">
        <v>203</v>
      </c>
      <c r="M39" s="6" t="s">
        <v>192</v>
      </c>
      <c r="N39" s="9">
        <v>42552</v>
      </c>
      <c r="O39" s="9">
        <v>42917</v>
      </c>
      <c r="P39" s="7" t="s">
        <v>51</v>
      </c>
      <c r="Q39" s="7" t="s">
        <v>204</v>
      </c>
      <c r="R39" s="87">
        <v>0.2</v>
      </c>
      <c r="S39" s="88"/>
      <c r="T39" s="89"/>
      <c r="U39" s="89"/>
      <c r="V39" s="89"/>
      <c r="W39" s="89"/>
      <c r="X39" s="88"/>
      <c r="Y39" s="89">
        <v>0.1</v>
      </c>
      <c r="Z39" s="89">
        <v>0.3</v>
      </c>
      <c r="AA39" s="88">
        <v>0.15</v>
      </c>
      <c r="AB39" s="87">
        <v>0.15</v>
      </c>
      <c r="AC39" s="87">
        <v>0.15</v>
      </c>
      <c r="AD39" s="88">
        <v>0.15</v>
      </c>
      <c r="AE39" s="90" t="s">
        <v>450</v>
      </c>
      <c r="AF39" s="88">
        <v>0.15</v>
      </c>
      <c r="AG39" s="88">
        <f>10%+10%+15%</f>
        <v>0.35</v>
      </c>
      <c r="AH39" s="7" t="s">
        <v>497</v>
      </c>
      <c r="AK39" s="99">
        <f t="shared" si="0"/>
        <v>0.70000000000000007</v>
      </c>
      <c r="AL39" s="99">
        <f t="shared" si="1"/>
        <v>0.35</v>
      </c>
      <c r="AM39" s="99">
        <f t="shared" si="2"/>
        <v>0.49999999999999994</v>
      </c>
    </row>
    <row r="40" spans="2:39" ht="120" x14ac:dyDescent="0.25">
      <c r="B40" s="6" t="s">
        <v>42</v>
      </c>
      <c r="C40" s="6" t="s">
        <v>186</v>
      </c>
      <c r="D40" s="6" t="s">
        <v>44</v>
      </c>
      <c r="E40" s="6" t="s">
        <v>187</v>
      </c>
      <c r="F40" s="6" t="s">
        <v>200</v>
      </c>
      <c r="G40" s="6"/>
      <c r="H40" s="6"/>
      <c r="I40" s="6"/>
      <c r="J40" s="6" t="s">
        <v>206</v>
      </c>
      <c r="K40" s="7" t="s">
        <v>207</v>
      </c>
      <c r="L40" s="7" t="s">
        <v>208</v>
      </c>
      <c r="M40" s="6" t="s">
        <v>192</v>
      </c>
      <c r="N40" s="9">
        <v>42552</v>
      </c>
      <c r="O40" s="9">
        <v>42675</v>
      </c>
      <c r="P40" s="7" t="s">
        <v>51</v>
      </c>
      <c r="Q40" s="7" t="s">
        <v>209</v>
      </c>
      <c r="R40" s="87">
        <v>0.2</v>
      </c>
      <c r="S40" s="88"/>
      <c r="T40" s="89"/>
      <c r="U40" s="89"/>
      <c r="V40" s="89"/>
      <c r="W40" s="89"/>
      <c r="X40" s="88"/>
      <c r="Y40" s="89">
        <v>0.16</v>
      </c>
      <c r="Z40" s="89">
        <v>0.16</v>
      </c>
      <c r="AA40" s="88">
        <v>0.17</v>
      </c>
      <c r="AB40" s="87">
        <v>0.17</v>
      </c>
      <c r="AC40" s="87">
        <v>0.17</v>
      </c>
      <c r="AD40" s="88">
        <v>0.17</v>
      </c>
      <c r="AE40" s="90" t="s">
        <v>450</v>
      </c>
      <c r="AF40" s="88">
        <v>0.17</v>
      </c>
      <c r="AG40" s="88">
        <f>30%+17%</f>
        <v>0.47</v>
      </c>
      <c r="AH40" s="16" t="s">
        <v>498</v>
      </c>
      <c r="AK40" s="99">
        <f t="shared" si="0"/>
        <v>0.66</v>
      </c>
      <c r="AL40" s="99">
        <f t="shared" si="1"/>
        <v>0.47</v>
      </c>
      <c r="AM40" s="99">
        <f t="shared" si="2"/>
        <v>0.71212121212121204</v>
      </c>
    </row>
    <row r="41" spans="2:39" ht="120" x14ac:dyDescent="0.25">
      <c r="B41" s="6" t="s">
        <v>42</v>
      </c>
      <c r="C41" s="6" t="s">
        <v>211</v>
      </c>
      <c r="D41" s="6" t="s">
        <v>44</v>
      </c>
      <c r="E41" s="6" t="s">
        <v>187</v>
      </c>
      <c r="F41" s="6" t="s">
        <v>211</v>
      </c>
      <c r="G41" s="6"/>
      <c r="H41" s="6"/>
      <c r="I41" s="6"/>
      <c r="J41" s="6" t="s">
        <v>212</v>
      </c>
      <c r="K41" s="7" t="s">
        <v>213</v>
      </c>
      <c r="L41" s="7" t="s">
        <v>214</v>
      </c>
      <c r="M41" s="6" t="s">
        <v>192</v>
      </c>
      <c r="N41" s="9">
        <v>42552</v>
      </c>
      <c r="O41" s="9">
        <v>42735</v>
      </c>
      <c r="P41" s="7" t="s">
        <v>51</v>
      </c>
      <c r="Q41" s="7" t="s">
        <v>215</v>
      </c>
      <c r="R41" s="87">
        <v>0.2</v>
      </c>
      <c r="S41" s="88"/>
      <c r="T41" s="89"/>
      <c r="U41" s="89"/>
      <c r="V41" s="89"/>
      <c r="W41" s="89"/>
      <c r="X41" s="88"/>
      <c r="Y41" s="89">
        <v>0.17</v>
      </c>
      <c r="Z41" s="89">
        <v>0.17</v>
      </c>
      <c r="AA41" s="88">
        <v>0.17</v>
      </c>
      <c r="AB41" s="87">
        <v>0.17</v>
      </c>
      <c r="AC41" s="87">
        <v>0.16</v>
      </c>
      <c r="AD41" s="88">
        <v>0.16</v>
      </c>
      <c r="AE41" s="90" t="s">
        <v>450</v>
      </c>
      <c r="AF41" s="88">
        <v>0.42</v>
      </c>
      <c r="AG41" s="88">
        <f>22%+24%+42%</f>
        <v>0.87999999999999989</v>
      </c>
      <c r="AH41" s="16" t="s">
        <v>499</v>
      </c>
      <c r="AK41" s="99">
        <f t="shared" si="0"/>
        <v>0.68</v>
      </c>
      <c r="AL41" s="99">
        <f t="shared" si="1"/>
        <v>0.87999999999999989</v>
      </c>
      <c r="AM41" s="99">
        <f t="shared" si="2"/>
        <v>1.2941176470588234</v>
      </c>
    </row>
    <row r="42" spans="2:39" ht="105" x14ac:dyDescent="0.25">
      <c r="B42" s="6" t="s">
        <v>217</v>
      </c>
      <c r="C42" s="6" t="s">
        <v>218</v>
      </c>
      <c r="D42" s="6" t="s">
        <v>219</v>
      </c>
      <c r="E42" s="6" t="s">
        <v>220</v>
      </c>
      <c r="F42" s="6" t="s">
        <v>221</v>
      </c>
      <c r="G42" s="6"/>
      <c r="H42" s="7"/>
      <c r="I42" s="7"/>
      <c r="J42" s="6" t="s">
        <v>222</v>
      </c>
      <c r="K42" s="7" t="s">
        <v>202</v>
      </c>
      <c r="L42" s="7" t="s">
        <v>223</v>
      </c>
      <c r="M42" s="6" t="s">
        <v>192</v>
      </c>
      <c r="N42" s="9">
        <v>42552</v>
      </c>
      <c r="O42" s="9">
        <v>42856</v>
      </c>
      <c r="P42" s="7" t="s">
        <v>51</v>
      </c>
      <c r="Q42" s="7" t="s">
        <v>224</v>
      </c>
      <c r="R42" s="87">
        <v>0.5</v>
      </c>
      <c r="S42" s="88"/>
      <c r="T42" s="89"/>
      <c r="U42" s="89"/>
      <c r="V42" s="89"/>
      <c r="W42" s="89"/>
      <c r="X42" s="88"/>
      <c r="Y42" s="89">
        <v>0.16</v>
      </c>
      <c r="Z42" s="89">
        <v>0.16</v>
      </c>
      <c r="AA42" s="88">
        <v>0.17</v>
      </c>
      <c r="AB42" s="87">
        <v>0.17</v>
      </c>
      <c r="AC42" s="87">
        <v>0.17</v>
      </c>
      <c r="AD42" s="88">
        <v>0.17</v>
      </c>
      <c r="AE42" s="90" t="s">
        <v>450</v>
      </c>
      <c r="AF42" s="88">
        <v>0.17</v>
      </c>
      <c r="AG42" s="88">
        <f>16%+16%+17%+17%</f>
        <v>0.66</v>
      </c>
      <c r="AH42" s="16" t="s">
        <v>500</v>
      </c>
      <c r="AK42" s="99">
        <f t="shared" si="0"/>
        <v>0.66</v>
      </c>
      <c r="AL42" s="99">
        <f t="shared" si="1"/>
        <v>0.66</v>
      </c>
      <c r="AM42" s="99">
        <f t="shared" si="2"/>
        <v>1</v>
      </c>
    </row>
    <row r="43" spans="2:39" ht="105" x14ac:dyDescent="0.25">
      <c r="B43" s="6" t="s">
        <v>217</v>
      </c>
      <c r="C43" s="6" t="s">
        <v>218</v>
      </c>
      <c r="D43" s="6" t="s">
        <v>219</v>
      </c>
      <c r="E43" s="6" t="s">
        <v>220</v>
      </c>
      <c r="F43" s="6" t="s">
        <v>221</v>
      </c>
      <c r="G43" s="6"/>
      <c r="H43" s="7"/>
      <c r="I43" s="7"/>
      <c r="J43" s="6" t="s">
        <v>226</v>
      </c>
      <c r="K43" s="7" t="s">
        <v>227</v>
      </c>
      <c r="L43" s="7" t="s">
        <v>228</v>
      </c>
      <c r="M43" s="6" t="s">
        <v>192</v>
      </c>
      <c r="N43" s="9">
        <v>42552</v>
      </c>
      <c r="O43" s="9">
        <v>42735</v>
      </c>
      <c r="P43" s="7" t="s">
        <v>51</v>
      </c>
      <c r="Q43" s="7" t="s">
        <v>229</v>
      </c>
      <c r="R43" s="87">
        <v>0.5</v>
      </c>
      <c r="S43" s="88"/>
      <c r="T43" s="89"/>
      <c r="U43" s="89"/>
      <c r="V43" s="89"/>
      <c r="W43" s="89"/>
      <c r="X43" s="88"/>
      <c r="Y43" s="89">
        <v>0.16</v>
      </c>
      <c r="Z43" s="89">
        <v>0.16</v>
      </c>
      <c r="AA43" s="88">
        <v>0.17</v>
      </c>
      <c r="AB43" s="88">
        <v>0.17</v>
      </c>
      <c r="AC43" s="88">
        <v>0.17</v>
      </c>
      <c r="AD43" s="88">
        <v>0.17</v>
      </c>
      <c r="AE43" s="90" t="s">
        <v>450</v>
      </c>
      <c r="AF43" s="88">
        <v>0.17</v>
      </c>
      <c r="AG43" s="88">
        <f>16%+16%+17%+17%</f>
        <v>0.66</v>
      </c>
      <c r="AH43" s="16" t="s">
        <v>501</v>
      </c>
      <c r="AK43" s="99">
        <f t="shared" si="0"/>
        <v>0.66</v>
      </c>
      <c r="AL43" s="99">
        <f t="shared" si="1"/>
        <v>0.66</v>
      </c>
      <c r="AM43" s="99">
        <f t="shared" si="2"/>
        <v>1</v>
      </c>
    </row>
    <row r="44" spans="2:39" ht="306" x14ac:dyDescent="0.25">
      <c r="B44" s="6" t="s">
        <v>231</v>
      </c>
      <c r="C44" s="6" t="s">
        <v>232</v>
      </c>
      <c r="D44" s="6" t="s">
        <v>233</v>
      </c>
      <c r="E44" s="6" t="s">
        <v>234</v>
      </c>
      <c r="F44" s="6" t="s">
        <v>235</v>
      </c>
      <c r="G44" s="6"/>
      <c r="H44" s="6"/>
      <c r="I44" s="6"/>
      <c r="J44" s="6" t="s">
        <v>236</v>
      </c>
      <c r="K44" s="7" t="s">
        <v>237</v>
      </c>
      <c r="L44" s="7" t="s">
        <v>238</v>
      </c>
      <c r="M44" s="6" t="s">
        <v>111</v>
      </c>
      <c r="N44" s="9">
        <v>42552</v>
      </c>
      <c r="O44" s="9">
        <v>42735</v>
      </c>
      <c r="P44" s="7" t="s">
        <v>239</v>
      </c>
      <c r="Q44" s="7" t="s">
        <v>52</v>
      </c>
      <c r="R44" s="87">
        <v>0.03</v>
      </c>
      <c r="S44" s="88"/>
      <c r="T44" s="89"/>
      <c r="U44" s="89"/>
      <c r="V44" s="89"/>
      <c r="W44" s="89"/>
      <c r="X44" s="88">
        <v>0.14000000000000001</v>
      </c>
      <c r="Y44" s="89">
        <v>0.14000000000000001</v>
      </c>
      <c r="Z44" s="89">
        <v>0.14000000000000001</v>
      </c>
      <c r="AA44" s="88">
        <v>0.14000000000000001</v>
      </c>
      <c r="AB44" s="88">
        <v>0.14000000000000001</v>
      </c>
      <c r="AC44" s="88">
        <v>0.14000000000000001</v>
      </c>
      <c r="AD44" s="88">
        <v>0.16</v>
      </c>
      <c r="AE44" s="90" t="s">
        <v>450</v>
      </c>
      <c r="AF44" s="88">
        <v>0.14000000000000001</v>
      </c>
      <c r="AG44" s="88">
        <f>14%+14%+14%+14%+14%</f>
        <v>0.70000000000000007</v>
      </c>
      <c r="AH44" s="8" t="s">
        <v>644</v>
      </c>
      <c r="AK44" s="99">
        <f t="shared" si="0"/>
        <v>0.70000000000000007</v>
      </c>
      <c r="AL44" s="99">
        <f t="shared" si="1"/>
        <v>0.70000000000000007</v>
      </c>
      <c r="AM44" s="99">
        <f t="shared" si="2"/>
        <v>1</v>
      </c>
    </row>
    <row r="45" spans="2:39" ht="409.5" x14ac:dyDescent="0.25">
      <c r="B45" s="6" t="s">
        <v>231</v>
      </c>
      <c r="C45" s="6" t="s">
        <v>232</v>
      </c>
      <c r="D45" s="6" t="s">
        <v>233</v>
      </c>
      <c r="E45" s="6" t="s">
        <v>234</v>
      </c>
      <c r="F45" s="6" t="s">
        <v>240</v>
      </c>
      <c r="G45" s="6"/>
      <c r="H45" s="6"/>
      <c r="I45" s="6"/>
      <c r="J45" s="6" t="s">
        <v>241</v>
      </c>
      <c r="K45" s="7" t="s">
        <v>242</v>
      </c>
      <c r="L45" s="7" t="s">
        <v>243</v>
      </c>
      <c r="M45" s="6" t="s">
        <v>111</v>
      </c>
      <c r="N45" s="9">
        <v>42552</v>
      </c>
      <c r="O45" s="9">
        <v>42735</v>
      </c>
      <c r="P45" s="7" t="s">
        <v>244</v>
      </c>
      <c r="Q45" s="7" t="s">
        <v>245</v>
      </c>
      <c r="R45" s="87">
        <v>0.03</v>
      </c>
      <c r="S45" s="88"/>
      <c r="T45" s="89"/>
      <c r="U45" s="89"/>
      <c r="V45" s="89"/>
      <c r="W45" s="89"/>
      <c r="X45" s="88">
        <v>0.14000000000000001</v>
      </c>
      <c r="Y45" s="89">
        <v>0.14000000000000001</v>
      </c>
      <c r="Z45" s="89">
        <v>0.14000000000000001</v>
      </c>
      <c r="AA45" s="88">
        <v>0.14000000000000001</v>
      </c>
      <c r="AB45" s="88">
        <v>0.14000000000000001</v>
      </c>
      <c r="AC45" s="88">
        <v>0.14000000000000001</v>
      </c>
      <c r="AD45" s="88">
        <v>0.16</v>
      </c>
      <c r="AE45" s="90" t="s">
        <v>450</v>
      </c>
      <c r="AF45" s="88">
        <v>0.14000000000000001</v>
      </c>
      <c r="AG45" s="88">
        <f>14%+14%+14%+14%+14%</f>
        <v>0.70000000000000007</v>
      </c>
      <c r="AH45" s="8" t="s">
        <v>645</v>
      </c>
      <c r="AK45" s="99">
        <f t="shared" si="0"/>
        <v>0.70000000000000007</v>
      </c>
      <c r="AL45" s="99">
        <f t="shared" si="1"/>
        <v>0.70000000000000007</v>
      </c>
      <c r="AM45" s="99">
        <f t="shared" si="2"/>
        <v>1</v>
      </c>
    </row>
    <row r="46" spans="2:39" ht="120" x14ac:dyDescent="0.25">
      <c r="B46" s="6" t="s">
        <v>231</v>
      </c>
      <c r="C46" s="6" t="s">
        <v>232</v>
      </c>
      <c r="D46" s="6" t="s">
        <v>233</v>
      </c>
      <c r="E46" s="6" t="s">
        <v>234</v>
      </c>
      <c r="F46" s="6" t="s">
        <v>235</v>
      </c>
      <c r="G46" s="6"/>
      <c r="H46" s="6"/>
      <c r="I46" s="6"/>
      <c r="J46" s="6" t="s">
        <v>246</v>
      </c>
      <c r="K46" s="7" t="s">
        <v>247</v>
      </c>
      <c r="L46" s="7" t="s">
        <v>248</v>
      </c>
      <c r="M46" s="6" t="s">
        <v>111</v>
      </c>
      <c r="N46" s="9">
        <v>42614</v>
      </c>
      <c r="O46" s="9">
        <v>42705</v>
      </c>
      <c r="P46" s="7" t="s">
        <v>51</v>
      </c>
      <c r="Q46" s="7" t="s">
        <v>52</v>
      </c>
      <c r="R46" s="87">
        <v>0.03</v>
      </c>
      <c r="S46" s="88"/>
      <c r="T46" s="89"/>
      <c r="U46" s="89"/>
      <c r="V46" s="89"/>
      <c r="W46" s="89"/>
      <c r="X46" s="88"/>
      <c r="Y46" s="89"/>
      <c r="Z46" s="89"/>
      <c r="AA46" s="88">
        <v>0.33</v>
      </c>
      <c r="AB46" s="88">
        <v>0.34</v>
      </c>
      <c r="AC46" s="88">
        <v>0.33</v>
      </c>
      <c r="AD46" s="88"/>
      <c r="AE46" s="90" t="s">
        <v>450</v>
      </c>
      <c r="AF46" s="88">
        <v>0.67</v>
      </c>
      <c r="AG46" s="88">
        <f>33%+67%</f>
        <v>1</v>
      </c>
      <c r="AH46" s="7" t="s">
        <v>485</v>
      </c>
      <c r="AK46" s="99">
        <f t="shared" ref="AK46:AK59" si="3">+X46+Y46+Z46+AA46+AB46</f>
        <v>0.67</v>
      </c>
      <c r="AL46" s="99">
        <f t="shared" ref="AL46:AL59" si="4">+AG46</f>
        <v>1</v>
      </c>
      <c r="AM46" s="99">
        <f>+AL46/AK46</f>
        <v>1.4925373134328357</v>
      </c>
    </row>
    <row r="47" spans="2:39" ht="75" x14ac:dyDescent="0.25">
      <c r="B47" s="6" t="s">
        <v>231</v>
      </c>
      <c r="C47" s="6" t="s">
        <v>232</v>
      </c>
      <c r="D47" s="6" t="s">
        <v>233</v>
      </c>
      <c r="E47" s="6" t="s">
        <v>234</v>
      </c>
      <c r="F47" s="6" t="s">
        <v>235</v>
      </c>
      <c r="G47" s="6"/>
      <c r="H47" s="6"/>
      <c r="I47" s="6"/>
      <c r="J47" s="6" t="s">
        <v>249</v>
      </c>
      <c r="K47" s="7" t="s">
        <v>250</v>
      </c>
      <c r="L47" s="7" t="s">
        <v>251</v>
      </c>
      <c r="M47" s="6" t="s">
        <v>252</v>
      </c>
      <c r="N47" s="9">
        <v>42566</v>
      </c>
      <c r="O47" s="9">
        <v>42643</v>
      </c>
      <c r="P47" s="7" t="s">
        <v>184</v>
      </c>
      <c r="Q47" s="7" t="s">
        <v>52</v>
      </c>
      <c r="R47" s="87">
        <v>0.03</v>
      </c>
      <c r="S47" s="88"/>
      <c r="T47" s="89"/>
      <c r="U47" s="89"/>
      <c r="V47" s="89"/>
      <c r="W47" s="89"/>
      <c r="X47" s="88">
        <v>0.25</v>
      </c>
      <c r="Y47" s="89">
        <v>0.25</v>
      </c>
      <c r="Z47" s="89">
        <v>0.25</v>
      </c>
      <c r="AA47" s="88">
        <v>0.25</v>
      </c>
      <c r="AB47" s="88"/>
      <c r="AC47" s="88"/>
      <c r="AD47" s="88"/>
      <c r="AE47" s="90" t="s">
        <v>450</v>
      </c>
      <c r="AF47" s="88"/>
      <c r="AG47" s="88">
        <f>25%+25%+25%+25%</f>
        <v>1</v>
      </c>
      <c r="AH47" s="7"/>
      <c r="AK47" s="99">
        <f t="shared" si="3"/>
        <v>1</v>
      </c>
      <c r="AL47" s="99">
        <f t="shared" si="4"/>
        <v>1</v>
      </c>
      <c r="AM47" s="99">
        <f t="shared" si="2"/>
        <v>1</v>
      </c>
    </row>
    <row r="48" spans="2:39" ht="75" x14ac:dyDescent="0.25">
      <c r="B48" s="6" t="s">
        <v>231</v>
      </c>
      <c r="C48" s="6" t="s">
        <v>232</v>
      </c>
      <c r="D48" s="6" t="s">
        <v>233</v>
      </c>
      <c r="E48" s="6" t="s">
        <v>234</v>
      </c>
      <c r="F48" s="6" t="s">
        <v>235</v>
      </c>
      <c r="G48" s="6"/>
      <c r="H48" s="6"/>
      <c r="I48" s="6"/>
      <c r="J48" s="6" t="s">
        <v>254</v>
      </c>
      <c r="K48" s="7" t="s">
        <v>255</v>
      </c>
      <c r="L48" s="7" t="s">
        <v>256</v>
      </c>
      <c r="M48" s="6" t="s">
        <v>252</v>
      </c>
      <c r="N48" s="9">
        <v>42583</v>
      </c>
      <c r="O48" s="9">
        <v>42735</v>
      </c>
      <c r="P48" s="7" t="s">
        <v>184</v>
      </c>
      <c r="Q48" s="7" t="s">
        <v>52</v>
      </c>
      <c r="R48" s="87">
        <v>0.03</v>
      </c>
      <c r="S48" s="88"/>
      <c r="T48" s="89"/>
      <c r="U48" s="89"/>
      <c r="V48" s="89"/>
      <c r="W48" s="89"/>
      <c r="X48" s="88">
        <v>0.15</v>
      </c>
      <c r="Y48" s="89">
        <v>0.15</v>
      </c>
      <c r="Z48" s="89">
        <v>0.15</v>
      </c>
      <c r="AA48" s="88">
        <v>0.15</v>
      </c>
      <c r="AB48" s="88">
        <v>0.15</v>
      </c>
      <c r="AC48" s="88">
        <v>0.15</v>
      </c>
      <c r="AD48" s="88">
        <v>0.1</v>
      </c>
      <c r="AE48" s="90" t="s">
        <v>450</v>
      </c>
      <c r="AF48" s="88">
        <v>0.15</v>
      </c>
      <c r="AG48" s="88">
        <f>15%+15%+15%+15%+15%</f>
        <v>0.75</v>
      </c>
      <c r="AH48" s="7" t="s">
        <v>502</v>
      </c>
      <c r="AK48" s="99">
        <f t="shared" si="3"/>
        <v>0.75</v>
      </c>
      <c r="AL48" s="99">
        <f t="shared" si="4"/>
        <v>0.75</v>
      </c>
      <c r="AM48" s="99">
        <f t="shared" si="2"/>
        <v>1</v>
      </c>
    </row>
    <row r="49" spans="2:39" ht="75" x14ac:dyDescent="0.25">
      <c r="B49" s="6" t="s">
        <v>231</v>
      </c>
      <c r="C49" s="6" t="s">
        <v>232</v>
      </c>
      <c r="D49" s="6" t="s">
        <v>233</v>
      </c>
      <c r="E49" s="6" t="s">
        <v>234</v>
      </c>
      <c r="F49" s="6" t="s">
        <v>235</v>
      </c>
      <c r="G49" s="6"/>
      <c r="H49" s="6"/>
      <c r="I49" s="6"/>
      <c r="J49" s="6" t="s">
        <v>258</v>
      </c>
      <c r="K49" s="7" t="s">
        <v>259</v>
      </c>
      <c r="L49" s="7" t="s">
        <v>260</v>
      </c>
      <c r="M49" s="6" t="s">
        <v>252</v>
      </c>
      <c r="N49" s="9">
        <v>42583</v>
      </c>
      <c r="O49" s="9">
        <v>42735</v>
      </c>
      <c r="P49" s="7" t="s">
        <v>261</v>
      </c>
      <c r="Q49" s="7" t="s">
        <v>52</v>
      </c>
      <c r="R49" s="87">
        <v>0.03</v>
      </c>
      <c r="S49" s="88"/>
      <c r="T49" s="89"/>
      <c r="U49" s="89"/>
      <c r="V49" s="89"/>
      <c r="W49" s="89"/>
      <c r="X49" s="88"/>
      <c r="Y49" s="89"/>
      <c r="Z49" s="89"/>
      <c r="AA49" s="88"/>
      <c r="AB49" s="88">
        <v>0.3</v>
      </c>
      <c r="AC49" s="88">
        <v>0.3</v>
      </c>
      <c r="AD49" s="88">
        <v>0.4</v>
      </c>
      <c r="AE49" s="90" t="s">
        <v>450</v>
      </c>
      <c r="AF49" s="88"/>
      <c r="AG49" s="88">
        <v>1</v>
      </c>
      <c r="AH49" s="16"/>
      <c r="AK49" s="99">
        <f t="shared" si="3"/>
        <v>0.3</v>
      </c>
      <c r="AL49" s="99">
        <f t="shared" si="4"/>
        <v>1</v>
      </c>
      <c r="AM49" s="99">
        <f t="shared" si="2"/>
        <v>3.3333333333333335</v>
      </c>
    </row>
    <row r="50" spans="2:39" ht="120" x14ac:dyDescent="0.25">
      <c r="B50" s="6" t="s">
        <v>231</v>
      </c>
      <c r="C50" s="6" t="s">
        <v>232</v>
      </c>
      <c r="D50" s="6" t="s">
        <v>233</v>
      </c>
      <c r="E50" s="6" t="s">
        <v>234</v>
      </c>
      <c r="F50" s="6" t="s">
        <v>235</v>
      </c>
      <c r="G50" s="6"/>
      <c r="H50" s="6"/>
      <c r="I50" s="6"/>
      <c r="J50" s="6" t="s">
        <v>263</v>
      </c>
      <c r="K50" s="7" t="s">
        <v>264</v>
      </c>
      <c r="L50" s="7" t="s">
        <v>265</v>
      </c>
      <c r="M50" s="6" t="s">
        <v>252</v>
      </c>
      <c r="N50" s="9">
        <v>42644</v>
      </c>
      <c r="O50" s="9">
        <v>42735</v>
      </c>
      <c r="P50" s="7" t="s">
        <v>52</v>
      </c>
      <c r="Q50" s="7" t="s">
        <v>52</v>
      </c>
      <c r="R50" s="87">
        <v>0.03</v>
      </c>
      <c r="S50" s="88"/>
      <c r="T50" s="89"/>
      <c r="U50" s="89"/>
      <c r="V50" s="89"/>
      <c r="W50" s="89"/>
      <c r="X50" s="88"/>
      <c r="Y50" s="89"/>
      <c r="Z50" s="89"/>
      <c r="AA50" s="88"/>
      <c r="AB50" s="88">
        <v>0.3</v>
      </c>
      <c r="AC50" s="88">
        <v>0.3</v>
      </c>
      <c r="AD50" s="88">
        <v>0.4</v>
      </c>
      <c r="AE50" s="90" t="s">
        <v>450</v>
      </c>
      <c r="AF50" s="88">
        <v>0.3</v>
      </c>
      <c r="AG50" s="88">
        <v>0.3</v>
      </c>
      <c r="AH50" s="7" t="s">
        <v>503</v>
      </c>
      <c r="AK50" s="99">
        <f t="shared" si="3"/>
        <v>0.3</v>
      </c>
      <c r="AL50" s="99">
        <f t="shared" si="4"/>
        <v>0.3</v>
      </c>
      <c r="AM50" s="99">
        <f t="shared" si="2"/>
        <v>1</v>
      </c>
    </row>
    <row r="51" spans="2:39" ht="135" x14ac:dyDescent="0.25">
      <c r="B51" s="6" t="s">
        <v>231</v>
      </c>
      <c r="C51" s="6" t="s">
        <v>232</v>
      </c>
      <c r="D51" s="6" t="s">
        <v>233</v>
      </c>
      <c r="E51" s="6" t="s">
        <v>234</v>
      </c>
      <c r="F51" s="6" t="s">
        <v>235</v>
      </c>
      <c r="G51" s="6"/>
      <c r="H51" s="6"/>
      <c r="I51" s="6"/>
      <c r="J51" s="6" t="s">
        <v>263</v>
      </c>
      <c r="K51" s="7" t="s">
        <v>267</v>
      </c>
      <c r="L51" s="7" t="s">
        <v>268</v>
      </c>
      <c r="M51" s="6" t="s">
        <v>252</v>
      </c>
      <c r="N51" s="9">
        <v>42597</v>
      </c>
      <c r="O51" s="9">
        <v>42658</v>
      </c>
      <c r="P51" s="7" t="s">
        <v>52</v>
      </c>
      <c r="Q51" s="7" t="s">
        <v>52</v>
      </c>
      <c r="R51" s="87">
        <v>0.03</v>
      </c>
      <c r="S51" s="88"/>
      <c r="T51" s="89"/>
      <c r="U51" s="89"/>
      <c r="V51" s="89"/>
      <c r="W51" s="89"/>
      <c r="X51" s="88"/>
      <c r="Y51" s="89"/>
      <c r="Z51" s="89">
        <v>0.5</v>
      </c>
      <c r="AA51" s="88">
        <v>0.5</v>
      </c>
      <c r="AB51" s="88"/>
      <c r="AC51" s="88"/>
      <c r="AD51" s="88"/>
      <c r="AE51" s="90" t="s">
        <v>450</v>
      </c>
      <c r="AF51" s="88">
        <v>0.2</v>
      </c>
      <c r="AG51" s="88">
        <f>50%+20%</f>
        <v>0.7</v>
      </c>
      <c r="AH51" s="7" t="s">
        <v>504</v>
      </c>
      <c r="AK51" s="99">
        <f t="shared" si="3"/>
        <v>1</v>
      </c>
      <c r="AL51" s="99">
        <f t="shared" si="4"/>
        <v>0.7</v>
      </c>
      <c r="AM51" s="99">
        <f t="shared" si="2"/>
        <v>0.7</v>
      </c>
    </row>
    <row r="52" spans="2:39" ht="120" x14ac:dyDescent="0.25">
      <c r="B52" s="6" t="s">
        <v>231</v>
      </c>
      <c r="C52" s="6" t="s">
        <v>232</v>
      </c>
      <c r="D52" s="6" t="s">
        <v>233</v>
      </c>
      <c r="E52" s="6" t="s">
        <v>234</v>
      </c>
      <c r="F52" s="6" t="s">
        <v>235</v>
      </c>
      <c r="G52" s="6"/>
      <c r="H52" s="6"/>
      <c r="I52" s="6"/>
      <c r="J52" s="6" t="s">
        <v>270</v>
      </c>
      <c r="K52" s="7" t="s">
        <v>271</v>
      </c>
      <c r="L52" s="7" t="s">
        <v>268</v>
      </c>
      <c r="M52" s="6" t="s">
        <v>252</v>
      </c>
      <c r="N52" s="9">
        <v>42583</v>
      </c>
      <c r="O52" s="9">
        <v>42735</v>
      </c>
      <c r="P52" s="7" t="s">
        <v>52</v>
      </c>
      <c r="Q52" s="7" t="s">
        <v>52</v>
      </c>
      <c r="R52" s="87">
        <v>0.03</v>
      </c>
      <c r="S52" s="88"/>
      <c r="T52" s="89"/>
      <c r="U52" s="89"/>
      <c r="V52" s="89"/>
      <c r="W52" s="89"/>
      <c r="X52" s="88"/>
      <c r="Y52" s="89"/>
      <c r="Z52" s="89">
        <v>0.2</v>
      </c>
      <c r="AA52" s="88">
        <v>0.2</v>
      </c>
      <c r="AB52" s="88">
        <v>0.2</v>
      </c>
      <c r="AC52" s="88">
        <v>0.2</v>
      </c>
      <c r="AD52" s="88">
        <v>0.2</v>
      </c>
      <c r="AE52" s="90" t="s">
        <v>450</v>
      </c>
      <c r="AF52" s="88">
        <v>0.2</v>
      </c>
      <c r="AG52" s="88">
        <f>20%+20%+20%</f>
        <v>0.60000000000000009</v>
      </c>
      <c r="AH52" s="7" t="s">
        <v>505</v>
      </c>
      <c r="AK52" s="99">
        <f t="shared" si="3"/>
        <v>0.60000000000000009</v>
      </c>
      <c r="AL52" s="99">
        <f t="shared" si="4"/>
        <v>0.60000000000000009</v>
      </c>
      <c r="AM52" s="99">
        <f t="shared" si="2"/>
        <v>1</v>
      </c>
    </row>
    <row r="53" spans="2:39" ht="90" x14ac:dyDescent="0.25">
      <c r="B53" s="6" t="s">
        <v>231</v>
      </c>
      <c r="C53" s="6" t="s">
        <v>232</v>
      </c>
      <c r="D53" s="6" t="s">
        <v>233</v>
      </c>
      <c r="E53" s="6" t="s">
        <v>234</v>
      </c>
      <c r="F53" s="6" t="s">
        <v>235</v>
      </c>
      <c r="G53" s="6"/>
      <c r="H53" s="6"/>
      <c r="I53" s="6"/>
      <c r="J53" s="6" t="s">
        <v>270</v>
      </c>
      <c r="K53" s="7" t="s">
        <v>273</v>
      </c>
      <c r="L53" s="7" t="s">
        <v>268</v>
      </c>
      <c r="M53" s="6" t="s">
        <v>252</v>
      </c>
      <c r="N53" s="9">
        <v>42583</v>
      </c>
      <c r="O53" s="9">
        <v>42735</v>
      </c>
      <c r="P53" s="7" t="s">
        <v>52</v>
      </c>
      <c r="Q53" s="7" t="s">
        <v>52</v>
      </c>
      <c r="R53" s="87">
        <v>0.03</v>
      </c>
      <c r="S53" s="88"/>
      <c r="T53" s="89"/>
      <c r="U53" s="89"/>
      <c r="V53" s="89"/>
      <c r="W53" s="89"/>
      <c r="X53" s="88"/>
      <c r="Y53" s="89"/>
      <c r="Z53" s="89">
        <v>0.2</v>
      </c>
      <c r="AA53" s="88">
        <v>0.2</v>
      </c>
      <c r="AB53" s="88">
        <v>0.2</v>
      </c>
      <c r="AC53" s="88">
        <v>0.2</v>
      </c>
      <c r="AD53" s="88">
        <v>0.2</v>
      </c>
      <c r="AE53" s="90" t="s">
        <v>450</v>
      </c>
      <c r="AF53" s="88">
        <v>0.2</v>
      </c>
      <c r="AG53" s="88">
        <f>20%+20%+20%</f>
        <v>0.60000000000000009</v>
      </c>
      <c r="AH53" s="7" t="s">
        <v>506</v>
      </c>
      <c r="AK53" s="99">
        <f t="shared" si="3"/>
        <v>0.60000000000000009</v>
      </c>
      <c r="AL53" s="99">
        <f t="shared" si="4"/>
        <v>0.60000000000000009</v>
      </c>
      <c r="AM53" s="99">
        <f t="shared" si="2"/>
        <v>1</v>
      </c>
    </row>
    <row r="54" spans="2:39" ht="90" x14ac:dyDescent="0.25">
      <c r="B54" s="6" t="s">
        <v>231</v>
      </c>
      <c r="C54" s="6" t="s">
        <v>232</v>
      </c>
      <c r="D54" s="6" t="s">
        <v>233</v>
      </c>
      <c r="E54" s="6" t="s">
        <v>234</v>
      </c>
      <c r="F54" s="6" t="s">
        <v>235</v>
      </c>
      <c r="G54" s="6"/>
      <c r="H54" s="6"/>
      <c r="I54" s="6"/>
      <c r="J54" s="6" t="s">
        <v>270</v>
      </c>
      <c r="K54" s="7" t="s">
        <v>275</v>
      </c>
      <c r="L54" s="7" t="s">
        <v>268</v>
      </c>
      <c r="M54" s="6" t="s">
        <v>252</v>
      </c>
      <c r="N54" s="9">
        <v>42614</v>
      </c>
      <c r="O54" s="9">
        <v>42735</v>
      </c>
      <c r="P54" s="7" t="s">
        <v>52</v>
      </c>
      <c r="Q54" s="7" t="s">
        <v>52</v>
      </c>
      <c r="R54" s="87">
        <v>0.03</v>
      </c>
      <c r="S54" s="88"/>
      <c r="T54" s="89"/>
      <c r="U54" s="89"/>
      <c r="V54" s="89"/>
      <c r="W54" s="89"/>
      <c r="X54" s="88"/>
      <c r="Y54" s="89"/>
      <c r="Z54" s="89"/>
      <c r="AA54" s="88">
        <v>0.25</v>
      </c>
      <c r="AB54" s="87">
        <v>0.25</v>
      </c>
      <c r="AC54" s="87">
        <v>0.25</v>
      </c>
      <c r="AD54" s="88">
        <v>0.25</v>
      </c>
      <c r="AE54" s="90" t="s">
        <v>450</v>
      </c>
      <c r="AF54" s="88">
        <v>0.25</v>
      </c>
      <c r="AG54" s="88">
        <f>25%+25%</f>
        <v>0.5</v>
      </c>
      <c r="AH54" s="7" t="s">
        <v>507</v>
      </c>
      <c r="AK54" s="99">
        <f t="shared" si="3"/>
        <v>0.5</v>
      </c>
      <c r="AL54" s="99">
        <f t="shared" si="4"/>
        <v>0.5</v>
      </c>
      <c r="AM54" s="99">
        <f t="shared" si="2"/>
        <v>1</v>
      </c>
    </row>
    <row r="55" spans="2:39" ht="142.5" x14ac:dyDescent="0.25">
      <c r="B55" s="6" t="s">
        <v>231</v>
      </c>
      <c r="C55" s="6" t="s">
        <v>232</v>
      </c>
      <c r="D55" s="6" t="s">
        <v>233</v>
      </c>
      <c r="E55" s="6" t="s">
        <v>234</v>
      </c>
      <c r="F55" s="6" t="s">
        <v>382</v>
      </c>
      <c r="G55" s="6"/>
      <c r="H55" s="6"/>
      <c r="I55" s="6"/>
      <c r="J55" s="6" t="s">
        <v>276</v>
      </c>
      <c r="K55" s="7" t="s">
        <v>277</v>
      </c>
      <c r="L55" s="7" t="s">
        <v>278</v>
      </c>
      <c r="M55" s="6" t="s">
        <v>184</v>
      </c>
      <c r="N55" s="9">
        <v>42552</v>
      </c>
      <c r="O55" s="9">
        <v>42735</v>
      </c>
      <c r="P55" s="7" t="s">
        <v>279</v>
      </c>
      <c r="Q55" s="7" t="s">
        <v>280</v>
      </c>
      <c r="R55" s="87">
        <v>0.03</v>
      </c>
      <c r="S55" s="88"/>
      <c r="T55" s="89"/>
      <c r="U55" s="89"/>
      <c r="V55" s="89"/>
      <c r="W55" s="89"/>
      <c r="X55" s="88"/>
      <c r="Y55" s="89">
        <v>0.16</v>
      </c>
      <c r="Z55" s="89">
        <v>0.16</v>
      </c>
      <c r="AA55" s="88">
        <v>0.17</v>
      </c>
      <c r="AB55" s="87">
        <v>0.17</v>
      </c>
      <c r="AC55" s="87">
        <v>0.17</v>
      </c>
      <c r="AD55" s="88">
        <v>0.17</v>
      </c>
      <c r="AE55" s="90" t="s">
        <v>450</v>
      </c>
      <c r="AF55" s="88">
        <v>0.17</v>
      </c>
      <c r="AG55" s="88">
        <f>10%+8%+17%+17%</f>
        <v>0.52</v>
      </c>
      <c r="AH55" s="16" t="s">
        <v>508</v>
      </c>
      <c r="AK55" s="99">
        <f t="shared" si="3"/>
        <v>0.66</v>
      </c>
      <c r="AL55" s="99">
        <f t="shared" si="4"/>
        <v>0.52</v>
      </c>
      <c r="AM55" s="99">
        <f t="shared" si="2"/>
        <v>0.78787878787878785</v>
      </c>
    </row>
    <row r="56" spans="2:39" ht="144" customHeight="1" x14ac:dyDescent="0.25">
      <c r="B56" s="6" t="s">
        <v>231</v>
      </c>
      <c r="C56" s="6" t="s">
        <v>232</v>
      </c>
      <c r="D56" s="6" t="s">
        <v>233</v>
      </c>
      <c r="E56" s="6" t="s">
        <v>234</v>
      </c>
      <c r="F56" s="6" t="s">
        <v>235</v>
      </c>
      <c r="G56" s="6"/>
      <c r="H56" s="6"/>
      <c r="I56" s="6"/>
      <c r="J56" s="6" t="s">
        <v>282</v>
      </c>
      <c r="K56" s="7" t="s">
        <v>283</v>
      </c>
      <c r="L56" s="7" t="s">
        <v>284</v>
      </c>
      <c r="M56" s="6" t="s">
        <v>184</v>
      </c>
      <c r="N56" s="9">
        <v>42552</v>
      </c>
      <c r="O56" s="9">
        <v>42735</v>
      </c>
      <c r="P56" s="7" t="s">
        <v>111</v>
      </c>
      <c r="Q56" s="7" t="s">
        <v>52</v>
      </c>
      <c r="R56" s="87">
        <v>0.03</v>
      </c>
      <c r="S56" s="88"/>
      <c r="T56" s="89"/>
      <c r="U56" s="89"/>
      <c r="V56" s="89"/>
      <c r="W56" s="89"/>
      <c r="X56" s="88"/>
      <c r="Y56" s="89">
        <v>0.16</v>
      </c>
      <c r="Z56" s="89">
        <v>0.16</v>
      </c>
      <c r="AA56" s="88">
        <v>0.17</v>
      </c>
      <c r="AB56" s="87">
        <v>0.17</v>
      </c>
      <c r="AC56" s="87">
        <v>0.17</v>
      </c>
      <c r="AD56" s="88">
        <v>0.17</v>
      </c>
      <c r="AE56" s="90" t="s">
        <v>450</v>
      </c>
      <c r="AF56" s="88">
        <v>0.17</v>
      </c>
      <c r="AG56" s="88">
        <f>10%+10%+10%+17%</f>
        <v>0.47000000000000008</v>
      </c>
      <c r="AH56" s="16" t="s">
        <v>509</v>
      </c>
      <c r="AK56" s="99">
        <f t="shared" si="3"/>
        <v>0.66</v>
      </c>
      <c r="AL56" s="99">
        <f t="shared" si="4"/>
        <v>0.47000000000000008</v>
      </c>
      <c r="AM56" s="99">
        <f t="shared" si="2"/>
        <v>0.71212121212121227</v>
      </c>
    </row>
    <row r="57" spans="2:39" ht="99.75" x14ac:dyDescent="0.25">
      <c r="B57" s="6" t="s">
        <v>231</v>
      </c>
      <c r="C57" s="6" t="s">
        <v>232</v>
      </c>
      <c r="D57" s="6" t="s">
        <v>233</v>
      </c>
      <c r="E57" s="6" t="s">
        <v>234</v>
      </c>
      <c r="F57" s="6" t="s">
        <v>235</v>
      </c>
      <c r="G57" s="6"/>
      <c r="H57" s="6"/>
      <c r="I57" s="6"/>
      <c r="J57" s="6" t="s">
        <v>286</v>
      </c>
      <c r="K57" s="7" t="s">
        <v>287</v>
      </c>
      <c r="L57" s="7" t="s">
        <v>288</v>
      </c>
      <c r="M57" s="6" t="s">
        <v>184</v>
      </c>
      <c r="N57" s="9">
        <v>42552</v>
      </c>
      <c r="O57" s="9">
        <v>42735</v>
      </c>
      <c r="P57" s="7" t="s">
        <v>289</v>
      </c>
      <c r="Q57" s="7" t="s">
        <v>52</v>
      </c>
      <c r="R57" s="87">
        <v>0.03</v>
      </c>
      <c r="S57" s="88"/>
      <c r="T57" s="89"/>
      <c r="U57" s="89"/>
      <c r="V57" s="89"/>
      <c r="W57" s="89"/>
      <c r="X57" s="88"/>
      <c r="Y57" s="89">
        <v>0.16</v>
      </c>
      <c r="Z57" s="89">
        <v>0.16</v>
      </c>
      <c r="AA57" s="88">
        <v>0.17</v>
      </c>
      <c r="AB57" s="87">
        <v>0.17</v>
      </c>
      <c r="AC57" s="87">
        <v>0.17</v>
      </c>
      <c r="AD57" s="88">
        <v>0.17</v>
      </c>
      <c r="AE57" s="90" t="s">
        <v>450</v>
      </c>
      <c r="AF57" s="88">
        <v>0.17</v>
      </c>
      <c r="AG57" s="88">
        <f>10%+10%+10%+17%</f>
        <v>0.47000000000000008</v>
      </c>
      <c r="AH57" s="16" t="s">
        <v>510</v>
      </c>
      <c r="AK57" s="99">
        <f t="shared" si="3"/>
        <v>0.66</v>
      </c>
      <c r="AL57" s="99">
        <f t="shared" si="4"/>
        <v>0.47000000000000008</v>
      </c>
      <c r="AM57" s="99">
        <f t="shared" si="2"/>
        <v>0.71212121212121227</v>
      </c>
    </row>
    <row r="58" spans="2:39" ht="409.5" x14ac:dyDescent="0.25">
      <c r="B58" s="6" t="s">
        <v>231</v>
      </c>
      <c r="C58" s="6" t="s">
        <v>232</v>
      </c>
      <c r="D58" s="6" t="s">
        <v>233</v>
      </c>
      <c r="E58" s="6" t="s">
        <v>234</v>
      </c>
      <c r="F58" s="6" t="s">
        <v>382</v>
      </c>
      <c r="G58" s="6"/>
      <c r="H58" s="6"/>
      <c r="I58" s="6"/>
      <c r="J58" s="6" t="s">
        <v>290</v>
      </c>
      <c r="K58" s="7" t="s">
        <v>291</v>
      </c>
      <c r="L58" s="7" t="s">
        <v>292</v>
      </c>
      <c r="M58" s="6" t="s">
        <v>184</v>
      </c>
      <c r="N58" s="9">
        <v>42552</v>
      </c>
      <c r="O58" s="9">
        <v>42735</v>
      </c>
      <c r="P58" s="7" t="s">
        <v>52</v>
      </c>
      <c r="Q58" s="7" t="s">
        <v>52</v>
      </c>
      <c r="R58" s="87">
        <v>0.03</v>
      </c>
      <c r="S58" s="88"/>
      <c r="T58" s="89"/>
      <c r="U58" s="89"/>
      <c r="V58" s="89"/>
      <c r="W58" s="89"/>
      <c r="X58" s="88"/>
      <c r="Y58" s="89">
        <v>0.16</v>
      </c>
      <c r="Z58" s="89">
        <v>0.16</v>
      </c>
      <c r="AA58" s="88">
        <v>0.17</v>
      </c>
      <c r="AB58" s="87">
        <v>0.17</v>
      </c>
      <c r="AC58" s="87">
        <v>0.17</v>
      </c>
      <c r="AD58" s="88">
        <v>0.17</v>
      </c>
      <c r="AE58" s="90" t="s">
        <v>450</v>
      </c>
      <c r="AF58" s="88">
        <v>0.17</v>
      </c>
      <c r="AG58" s="88">
        <f>16%+16%+17%+17%</f>
        <v>0.66</v>
      </c>
      <c r="AH58" s="8" t="s">
        <v>477</v>
      </c>
      <c r="AK58" s="99">
        <f t="shared" si="3"/>
        <v>0.66</v>
      </c>
      <c r="AL58" s="99">
        <f t="shared" si="4"/>
        <v>0.66</v>
      </c>
      <c r="AM58" s="99">
        <f t="shared" si="2"/>
        <v>1</v>
      </c>
    </row>
    <row r="59" spans="2:39" ht="120.75" customHeight="1" x14ac:dyDescent="0.25">
      <c r="B59" s="6" t="s">
        <v>231</v>
      </c>
      <c r="C59" s="6" t="s">
        <v>232</v>
      </c>
      <c r="D59" s="6" t="s">
        <v>233</v>
      </c>
      <c r="E59" s="6" t="s">
        <v>234</v>
      </c>
      <c r="F59" s="6" t="s">
        <v>382</v>
      </c>
      <c r="G59" s="6"/>
      <c r="H59" s="6"/>
      <c r="I59" s="6"/>
      <c r="J59" s="6" t="s">
        <v>294</v>
      </c>
      <c r="K59" s="7" t="s">
        <v>295</v>
      </c>
      <c r="L59" s="7" t="s">
        <v>296</v>
      </c>
      <c r="M59" s="6" t="s">
        <v>184</v>
      </c>
      <c r="N59" s="9">
        <v>42552</v>
      </c>
      <c r="O59" s="9">
        <v>42735</v>
      </c>
      <c r="P59" s="7" t="s">
        <v>297</v>
      </c>
      <c r="Q59" s="7" t="s">
        <v>52</v>
      </c>
      <c r="R59" s="87">
        <v>0.03</v>
      </c>
      <c r="S59" s="88"/>
      <c r="T59" s="89"/>
      <c r="U59" s="89"/>
      <c r="V59" s="89"/>
      <c r="W59" s="89"/>
      <c r="X59" s="88"/>
      <c r="Y59" s="89">
        <v>0.16</v>
      </c>
      <c r="Z59" s="89">
        <v>0.16</v>
      </c>
      <c r="AA59" s="88">
        <v>0.17</v>
      </c>
      <c r="AB59" s="87">
        <v>0.17</v>
      </c>
      <c r="AC59" s="87">
        <v>0.17</v>
      </c>
      <c r="AD59" s="88">
        <v>0.17</v>
      </c>
      <c r="AE59" s="90" t="s">
        <v>450</v>
      </c>
      <c r="AF59" s="88">
        <v>0.17</v>
      </c>
      <c r="AG59" s="88">
        <f>3%+16%+17%+17%</f>
        <v>0.53</v>
      </c>
      <c r="AH59" s="8" t="s">
        <v>478</v>
      </c>
      <c r="AK59" s="99">
        <f t="shared" si="3"/>
        <v>0.66</v>
      </c>
      <c r="AL59" s="99">
        <f t="shared" si="4"/>
        <v>0.53</v>
      </c>
      <c r="AM59" s="99">
        <f>+AL59/AK59</f>
        <v>0.80303030303030298</v>
      </c>
    </row>
    <row r="60" spans="2:39" ht="135" x14ac:dyDescent="0.25">
      <c r="B60" s="6" t="s">
        <v>231</v>
      </c>
      <c r="C60" s="6" t="s">
        <v>232</v>
      </c>
      <c r="D60" s="6" t="s">
        <v>233</v>
      </c>
      <c r="E60" s="6" t="s">
        <v>234</v>
      </c>
      <c r="F60" s="6" t="s">
        <v>235</v>
      </c>
      <c r="G60" s="6"/>
      <c r="H60" s="6"/>
      <c r="I60" s="6"/>
      <c r="J60" s="6" t="s">
        <v>299</v>
      </c>
      <c r="K60" s="7" t="s">
        <v>300</v>
      </c>
      <c r="L60" s="7"/>
      <c r="M60" s="6" t="s">
        <v>184</v>
      </c>
      <c r="N60" s="9">
        <v>42552</v>
      </c>
      <c r="O60" s="9">
        <v>42735</v>
      </c>
      <c r="P60" s="7" t="s">
        <v>297</v>
      </c>
      <c r="Q60" s="7" t="s">
        <v>52</v>
      </c>
      <c r="R60" s="87">
        <v>0.03</v>
      </c>
      <c r="S60" s="88"/>
      <c r="T60" s="89"/>
      <c r="U60" s="89"/>
      <c r="V60" s="89"/>
      <c r="W60" s="89"/>
      <c r="X60" s="88"/>
      <c r="Y60" s="89">
        <v>0.16</v>
      </c>
      <c r="Z60" s="89">
        <v>0.16</v>
      </c>
      <c r="AA60" s="88">
        <v>0.17</v>
      </c>
      <c r="AB60" s="87">
        <v>0.17</v>
      </c>
      <c r="AC60" s="87">
        <v>0.17</v>
      </c>
      <c r="AD60" s="88">
        <v>0.17</v>
      </c>
      <c r="AE60" s="90" t="s">
        <v>450</v>
      </c>
      <c r="AF60" s="88">
        <v>0.17</v>
      </c>
      <c r="AG60" s="88">
        <f>16%+16%+17%+17%</f>
        <v>0.66</v>
      </c>
      <c r="AH60" s="7" t="s">
        <v>511</v>
      </c>
      <c r="AK60" s="99">
        <f t="shared" ref="AK60:AK75" si="5">+X60+Y60+Z60+AA60+AB60</f>
        <v>0.66</v>
      </c>
      <c r="AL60" s="99">
        <f t="shared" ref="AL60:AL76" si="6">+AG60</f>
        <v>0.66</v>
      </c>
      <c r="AM60" s="99">
        <f t="shared" si="2"/>
        <v>1</v>
      </c>
    </row>
    <row r="61" spans="2:39" ht="75" x14ac:dyDescent="0.25">
      <c r="B61" s="6" t="s">
        <v>231</v>
      </c>
      <c r="C61" s="6" t="s">
        <v>232</v>
      </c>
      <c r="D61" s="6" t="s">
        <v>233</v>
      </c>
      <c r="E61" s="6" t="s">
        <v>234</v>
      </c>
      <c r="F61" s="6" t="s">
        <v>302</v>
      </c>
      <c r="G61" s="6"/>
      <c r="H61" s="6"/>
      <c r="I61" s="6"/>
      <c r="J61" s="6" t="s">
        <v>303</v>
      </c>
      <c r="K61" s="7" t="s">
        <v>304</v>
      </c>
      <c r="L61" s="7" t="s">
        <v>305</v>
      </c>
      <c r="M61" s="6" t="s">
        <v>184</v>
      </c>
      <c r="N61" s="9">
        <v>42552</v>
      </c>
      <c r="O61" s="9">
        <v>42735</v>
      </c>
      <c r="P61" s="7" t="s">
        <v>289</v>
      </c>
      <c r="Q61" s="7" t="s">
        <v>52</v>
      </c>
      <c r="R61" s="87">
        <v>0.03</v>
      </c>
      <c r="S61" s="88"/>
      <c r="T61" s="89"/>
      <c r="U61" s="89"/>
      <c r="V61" s="89"/>
      <c r="W61" s="89"/>
      <c r="X61" s="88"/>
      <c r="Y61" s="89">
        <v>0.16</v>
      </c>
      <c r="Z61" s="89">
        <v>0.16</v>
      </c>
      <c r="AA61" s="88">
        <v>0.17</v>
      </c>
      <c r="AB61" s="87">
        <v>0.17</v>
      </c>
      <c r="AC61" s="87">
        <v>0.17</v>
      </c>
      <c r="AD61" s="88">
        <v>0.17</v>
      </c>
      <c r="AE61" s="90" t="s">
        <v>450</v>
      </c>
      <c r="AF61" s="88">
        <v>0.17</v>
      </c>
      <c r="AG61" s="88">
        <f>16%+16%+17%+17%</f>
        <v>0.66</v>
      </c>
      <c r="AH61" s="7" t="s">
        <v>479</v>
      </c>
      <c r="AK61" s="99">
        <f t="shared" si="5"/>
        <v>0.66</v>
      </c>
      <c r="AL61" s="99">
        <f t="shared" si="6"/>
        <v>0.66</v>
      </c>
      <c r="AM61" s="99">
        <f t="shared" si="2"/>
        <v>1</v>
      </c>
    </row>
    <row r="62" spans="2:39" ht="105" x14ac:dyDescent="0.25">
      <c r="B62" s="6" t="s">
        <v>231</v>
      </c>
      <c r="C62" s="6" t="s">
        <v>232</v>
      </c>
      <c r="D62" s="6" t="s">
        <v>233</v>
      </c>
      <c r="E62" s="6" t="s">
        <v>234</v>
      </c>
      <c r="F62" s="6" t="s">
        <v>307</v>
      </c>
      <c r="G62" s="6"/>
      <c r="H62" s="6"/>
      <c r="I62" s="6"/>
      <c r="J62" s="6" t="s">
        <v>308</v>
      </c>
      <c r="K62" s="7" t="s">
        <v>309</v>
      </c>
      <c r="L62" s="7" t="s">
        <v>310</v>
      </c>
      <c r="M62" s="6" t="s">
        <v>184</v>
      </c>
      <c r="N62" s="9">
        <v>42552</v>
      </c>
      <c r="O62" s="9">
        <v>42735</v>
      </c>
      <c r="P62" s="7" t="s">
        <v>289</v>
      </c>
      <c r="Q62" s="7" t="s">
        <v>52</v>
      </c>
      <c r="R62" s="87">
        <v>0.03</v>
      </c>
      <c r="S62" s="88"/>
      <c r="T62" s="89"/>
      <c r="U62" s="89"/>
      <c r="V62" s="89"/>
      <c r="W62" s="89"/>
      <c r="X62" s="88"/>
      <c r="Y62" s="89">
        <v>0.16</v>
      </c>
      <c r="Z62" s="89">
        <v>0.16</v>
      </c>
      <c r="AA62" s="88">
        <v>0.17</v>
      </c>
      <c r="AB62" s="87">
        <v>0.17</v>
      </c>
      <c r="AC62" s="87">
        <v>0.17</v>
      </c>
      <c r="AD62" s="88">
        <v>0.17</v>
      </c>
      <c r="AE62" s="90" t="s">
        <v>450</v>
      </c>
      <c r="AF62" s="88">
        <v>0.17</v>
      </c>
      <c r="AG62" s="88">
        <f>16%+16%+17%+17%</f>
        <v>0.66</v>
      </c>
      <c r="AH62" s="7" t="s">
        <v>480</v>
      </c>
      <c r="AK62" s="99">
        <f t="shared" si="5"/>
        <v>0.66</v>
      </c>
      <c r="AL62" s="99">
        <f t="shared" si="6"/>
        <v>0.66</v>
      </c>
      <c r="AM62" s="99">
        <f t="shared" si="2"/>
        <v>1</v>
      </c>
    </row>
    <row r="63" spans="2:39" ht="128.25" customHeight="1" x14ac:dyDescent="0.25">
      <c r="B63" s="6" t="s">
        <v>231</v>
      </c>
      <c r="C63" s="6" t="s">
        <v>232</v>
      </c>
      <c r="D63" s="6" t="s">
        <v>233</v>
      </c>
      <c r="E63" s="6" t="s">
        <v>234</v>
      </c>
      <c r="F63" s="6" t="s">
        <v>307</v>
      </c>
      <c r="G63" s="6"/>
      <c r="H63" s="6"/>
      <c r="I63" s="6"/>
      <c r="J63" s="6" t="s">
        <v>312</v>
      </c>
      <c r="K63" s="7" t="s">
        <v>313</v>
      </c>
      <c r="L63" s="7" t="s">
        <v>314</v>
      </c>
      <c r="M63" s="6" t="s">
        <v>184</v>
      </c>
      <c r="N63" s="9">
        <v>42552</v>
      </c>
      <c r="O63" s="9">
        <v>42735</v>
      </c>
      <c r="P63" s="7" t="s">
        <v>315</v>
      </c>
      <c r="Q63" s="7" t="s">
        <v>316</v>
      </c>
      <c r="R63" s="87">
        <v>0.03</v>
      </c>
      <c r="S63" s="88"/>
      <c r="T63" s="89"/>
      <c r="U63" s="89"/>
      <c r="V63" s="89"/>
      <c r="W63" s="89"/>
      <c r="X63" s="88"/>
      <c r="Y63" s="89">
        <v>0.16</v>
      </c>
      <c r="Z63" s="89">
        <v>0.16</v>
      </c>
      <c r="AA63" s="88">
        <v>0.17</v>
      </c>
      <c r="AB63" s="87">
        <v>0.17</v>
      </c>
      <c r="AC63" s="87">
        <v>0.17</v>
      </c>
      <c r="AD63" s="88">
        <v>0.17</v>
      </c>
      <c r="AE63" s="90" t="s">
        <v>450</v>
      </c>
      <c r="AF63" s="88">
        <v>0.17</v>
      </c>
      <c r="AG63" s="88">
        <f>16%+16%+17%+17%</f>
        <v>0.66</v>
      </c>
      <c r="AH63" s="16" t="s">
        <v>481</v>
      </c>
      <c r="AK63" s="99">
        <f t="shared" si="5"/>
        <v>0.66</v>
      </c>
      <c r="AL63" s="99">
        <f t="shared" si="6"/>
        <v>0.66</v>
      </c>
      <c r="AM63" s="99">
        <f t="shared" si="2"/>
        <v>1</v>
      </c>
    </row>
    <row r="64" spans="2:39" ht="75" x14ac:dyDescent="0.25">
      <c r="B64" s="6" t="s">
        <v>231</v>
      </c>
      <c r="C64" s="6" t="s">
        <v>232</v>
      </c>
      <c r="D64" s="6" t="s">
        <v>233</v>
      </c>
      <c r="E64" s="6" t="s">
        <v>234</v>
      </c>
      <c r="F64" s="6" t="s">
        <v>235</v>
      </c>
      <c r="G64" s="6"/>
      <c r="H64" s="6"/>
      <c r="I64" s="6"/>
      <c r="J64" s="6" t="s">
        <v>317</v>
      </c>
      <c r="K64" s="7" t="s">
        <v>318</v>
      </c>
      <c r="L64" s="7" t="s">
        <v>319</v>
      </c>
      <c r="M64" s="6" t="s">
        <v>184</v>
      </c>
      <c r="N64" s="9">
        <v>42552</v>
      </c>
      <c r="O64" s="9">
        <v>42735</v>
      </c>
      <c r="P64" s="7" t="s">
        <v>52</v>
      </c>
      <c r="Q64" s="7" t="s">
        <v>52</v>
      </c>
      <c r="R64" s="87">
        <v>0.03</v>
      </c>
      <c r="S64" s="88"/>
      <c r="T64" s="89"/>
      <c r="U64" s="89"/>
      <c r="V64" s="89"/>
      <c r="W64" s="89"/>
      <c r="X64" s="88"/>
      <c r="Y64" s="89">
        <v>0.16</v>
      </c>
      <c r="Z64" s="89">
        <v>0.16</v>
      </c>
      <c r="AA64" s="88">
        <v>0.17</v>
      </c>
      <c r="AB64" s="87">
        <v>0.17</v>
      </c>
      <c r="AC64" s="87">
        <v>0.17</v>
      </c>
      <c r="AD64" s="88">
        <v>0.17</v>
      </c>
      <c r="AE64" s="90" t="s">
        <v>450</v>
      </c>
      <c r="AF64" s="88">
        <v>0.17</v>
      </c>
      <c r="AG64" s="88">
        <f>30%+20%+17%+17%</f>
        <v>0.84000000000000008</v>
      </c>
      <c r="AH64" s="16" t="s">
        <v>482</v>
      </c>
      <c r="AK64" s="99">
        <f t="shared" si="5"/>
        <v>0.66</v>
      </c>
      <c r="AL64" s="99">
        <f t="shared" si="6"/>
        <v>0.84000000000000008</v>
      </c>
      <c r="AM64" s="99">
        <f t="shared" si="2"/>
        <v>1.2727272727272727</v>
      </c>
    </row>
    <row r="65" spans="2:39" ht="75" x14ac:dyDescent="0.25">
      <c r="B65" s="6" t="s">
        <v>231</v>
      </c>
      <c r="C65" s="6" t="s">
        <v>232</v>
      </c>
      <c r="D65" s="6" t="s">
        <v>233</v>
      </c>
      <c r="E65" s="6" t="s">
        <v>234</v>
      </c>
      <c r="F65" s="6" t="s">
        <v>235</v>
      </c>
      <c r="G65" s="6"/>
      <c r="H65" s="6"/>
      <c r="I65" s="6"/>
      <c r="J65" s="6" t="s">
        <v>320</v>
      </c>
      <c r="K65" s="7" t="s">
        <v>321</v>
      </c>
      <c r="L65" s="7" t="s">
        <v>322</v>
      </c>
      <c r="M65" s="6" t="s">
        <v>184</v>
      </c>
      <c r="N65" s="9">
        <v>42552</v>
      </c>
      <c r="O65" s="9">
        <v>42735</v>
      </c>
      <c r="P65" s="7" t="s">
        <v>52</v>
      </c>
      <c r="Q65" s="7" t="s">
        <v>52</v>
      </c>
      <c r="R65" s="87">
        <v>0.03</v>
      </c>
      <c r="S65" s="88"/>
      <c r="T65" s="89"/>
      <c r="U65" s="89"/>
      <c r="V65" s="89"/>
      <c r="W65" s="89"/>
      <c r="X65" s="88"/>
      <c r="Y65" s="89">
        <v>0.16</v>
      </c>
      <c r="Z65" s="89">
        <v>0.16</v>
      </c>
      <c r="AA65" s="88">
        <v>0.17</v>
      </c>
      <c r="AB65" s="87">
        <v>0.17</v>
      </c>
      <c r="AC65" s="87">
        <v>0.17</v>
      </c>
      <c r="AD65" s="88">
        <v>0.17</v>
      </c>
      <c r="AE65" s="90" t="s">
        <v>450</v>
      </c>
      <c r="AF65" s="88"/>
      <c r="AG65" s="88">
        <f>80%+10%+10%</f>
        <v>1</v>
      </c>
      <c r="AH65" s="16"/>
      <c r="AK65" s="99">
        <f t="shared" si="5"/>
        <v>0.66</v>
      </c>
      <c r="AL65" s="99">
        <f t="shared" si="6"/>
        <v>1</v>
      </c>
      <c r="AM65" s="99">
        <f t="shared" si="2"/>
        <v>1.5151515151515151</v>
      </c>
    </row>
    <row r="66" spans="2:39" ht="75" x14ac:dyDescent="0.25">
      <c r="B66" s="6" t="s">
        <v>231</v>
      </c>
      <c r="C66" s="6" t="s">
        <v>232</v>
      </c>
      <c r="D66" s="6" t="s">
        <v>233</v>
      </c>
      <c r="E66" s="6" t="s">
        <v>234</v>
      </c>
      <c r="F66" s="6" t="s">
        <v>235</v>
      </c>
      <c r="G66" s="6"/>
      <c r="H66" s="6"/>
      <c r="I66" s="6"/>
      <c r="J66" s="6" t="s">
        <v>323</v>
      </c>
      <c r="K66" s="7" t="s">
        <v>324</v>
      </c>
      <c r="L66" s="7" t="s">
        <v>325</v>
      </c>
      <c r="M66" s="6" t="s">
        <v>184</v>
      </c>
      <c r="N66" s="9">
        <v>42552</v>
      </c>
      <c r="O66" s="9">
        <v>42735</v>
      </c>
      <c r="P66" s="7" t="s">
        <v>326</v>
      </c>
      <c r="Q66" s="7" t="s">
        <v>52</v>
      </c>
      <c r="R66" s="87">
        <v>0.03</v>
      </c>
      <c r="S66" s="88"/>
      <c r="T66" s="89"/>
      <c r="U66" s="89"/>
      <c r="V66" s="89"/>
      <c r="W66" s="89"/>
      <c r="X66" s="88"/>
      <c r="Y66" s="89">
        <v>0.16</v>
      </c>
      <c r="Z66" s="89">
        <v>0.16</v>
      </c>
      <c r="AA66" s="88">
        <v>0.17</v>
      </c>
      <c r="AB66" s="87">
        <v>0.17</v>
      </c>
      <c r="AC66" s="87">
        <v>0.17</v>
      </c>
      <c r="AD66" s="88">
        <v>0.17</v>
      </c>
      <c r="AE66" s="90" t="s">
        <v>450</v>
      </c>
      <c r="AF66" s="88">
        <v>0.17</v>
      </c>
      <c r="AG66" s="88">
        <f>16%+16%+17%+17%</f>
        <v>0.66</v>
      </c>
      <c r="AH66" s="16" t="s">
        <v>483</v>
      </c>
      <c r="AK66" s="99">
        <f t="shared" si="5"/>
        <v>0.66</v>
      </c>
      <c r="AL66" s="99">
        <f t="shared" si="6"/>
        <v>0.66</v>
      </c>
      <c r="AM66" s="99">
        <f t="shared" si="2"/>
        <v>1</v>
      </c>
    </row>
    <row r="67" spans="2:39" ht="75" x14ac:dyDescent="0.25">
      <c r="B67" s="6" t="s">
        <v>231</v>
      </c>
      <c r="C67" s="6" t="s">
        <v>232</v>
      </c>
      <c r="D67" s="6" t="s">
        <v>233</v>
      </c>
      <c r="E67" s="6" t="s">
        <v>234</v>
      </c>
      <c r="F67" s="6" t="s">
        <v>382</v>
      </c>
      <c r="G67" s="6"/>
      <c r="H67" s="6"/>
      <c r="I67" s="6"/>
      <c r="J67" s="6" t="s">
        <v>327</v>
      </c>
      <c r="K67" s="7" t="s">
        <v>328</v>
      </c>
      <c r="L67" s="7" t="s">
        <v>329</v>
      </c>
      <c r="M67" s="6" t="s">
        <v>184</v>
      </c>
      <c r="N67" s="9">
        <v>42552</v>
      </c>
      <c r="O67" s="9">
        <v>42735</v>
      </c>
      <c r="P67" s="7" t="s">
        <v>297</v>
      </c>
      <c r="Q67" s="7" t="s">
        <v>52</v>
      </c>
      <c r="R67" s="87">
        <v>0.03</v>
      </c>
      <c r="S67" s="88"/>
      <c r="T67" s="89"/>
      <c r="U67" s="89"/>
      <c r="V67" s="89"/>
      <c r="W67" s="89"/>
      <c r="X67" s="88"/>
      <c r="Y67" s="89">
        <v>0.16</v>
      </c>
      <c r="Z67" s="89">
        <v>0.16</v>
      </c>
      <c r="AA67" s="88">
        <v>0.17</v>
      </c>
      <c r="AB67" s="87">
        <v>0.17</v>
      </c>
      <c r="AC67" s="87">
        <v>0.17</v>
      </c>
      <c r="AD67" s="88">
        <v>0.17</v>
      </c>
      <c r="AE67" s="90" t="s">
        <v>450</v>
      </c>
      <c r="AF67" s="88">
        <v>0.17</v>
      </c>
      <c r="AG67" s="88">
        <f>16%+16%+17%+17%</f>
        <v>0.66</v>
      </c>
      <c r="AH67" s="94" t="s">
        <v>484</v>
      </c>
      <c r="AK67" s="99">
        <f t="shared" si="5"/>
        <v>0.66</v>
      </c>
      <c r="AL67" s="99">
        <f t="shared" si="6"/>
        <v>0.66</v>
      </c>
      <c r="AM67" s="99">
        <f t="shared" si="2"/>
        <v>1</v>
      </c>
    </row>
    <row r="68" spans="2:39" ht="105" x14ac:dyDescent="0.25">
      <c r="B68" s="6" t="s">
        <v>231</v>
      </c>
      <c r="C68" s="6" t="s">
        <v>232</v>
      </c>
      <c r="D68" s="6" t="s">
        <v>233</v>
      </c>
      <c r="E68" s="6" t="s">
        <v>234</v>
      </c>
      <c r="F68" s="6" t="s">
        <v>235</v>
      </c>
      <c r="G68" s="6"/>
      <c r="H68" s="6"/>
      <c r="I68" s="6"/>
      <c r="J68" s="6" t="s">
        <v>331</v>
      </c>
      <c r="K68" s="7" t="s">
        <v>332</v>
      </c>
      <c r="L68" s="7" t="s">
        <v>333</v>
      </c>
      <c r="M68" s="6" t="s">
        <v>51</v>
      </c>
      <c r="N68" s="9">
        <v>42522</v>
      </c>
      <c r="O68" s="9">
        <v>42704</v>
      </c>
      <c r="P68" s="7" t="s">
        <v>297</v>
      </c>
      <c r="Q68" s="7" t="s">
        <v>52</v>
      </c>
      <c r="R68" s="87">
        <v>0.03</v>
      </c>
      <c r="S68" s="88"/>
      <c r="T68" s="89"/>
      <c r="U68" s="89"/>
      <c r="V68" s="89"/>
      <c r="W68" s="89"/>
      <c r="X68" s="88">
        <v>0.15</v>
      </c>
      <c r="Y68" s="89">
        <v>0.15</v>
      </c>
      <c r="Z68" s="89">
        <v>0.15</v>
      </c>
      <c r="AA68" s="88">
        <v>0.15</v>
      </c>
      <c r="AB68" s="87">
        <v>0.2</v>
      </c>
      <c r="AC68" s="87">
        <v>0.2</v>
      </c>
      <c r="AD68" s="88"/>
      <c r="AE68" s="90" t="s">
        <v>450</v>
      </c>
      <c r="AF68" s="88">
        <v>0.2</v>
      </c>
      <c r="AG68" s="88">
        <f>45%+15%+20%</f>
        <v>0.8</v>
      </c>
      <c r="AH68" s="16" t="s">
        <v>462</v>
      </c>
      <c r="AK68" s="99">
        <f t="shared" si="5"/>
        <v>0.8</v>
      </c>
      <c r="AL68" s="99">
        <f t="shared" si="6"/>
        <v>0.8</v>
      </c>
      <c r="AM68" s="99">
        <f t="shared" si="2"/>
        <v>1</v>
      </c>
    </row>
    <row r="69" spans="2:39" ht="280.5" x14ac:dyDescent="0.25">
      <c r="B69" s="6" t="s">
        <v>231</v>
      </c>
      <c r="C69" s="6" t="s">
        <v>232</v>
      </c>
      <c r="D69" s="6" t="s">
        <v>233</v>
      </c>
      <c r="E69" s="6" t="s">
        <v>234</v>
      </c>
      <c r="F69" s="6" t="s">
        <v>382</v>
      </c>
      <c r="G69" s="6"/>
      <c r="H69" s="6"/>
      <c r="I69" s="6"/>
      <c r="J69" s="6" t="s">
        <v>335</v>
      </c>
      <c r="K69" s="7" t="s">
        <v>336</v>
      </c>
      <c r="L69" s="7" t="s">
        <v>337</v>
      </c>
      <c r="M69" s="6" t="s">
        <v>297</v>
      </c>
      <c r="N69" s="9">
        <v>42552</v>
      </c>
      <c r="O69" s="9">
        <v>42735</v>
      </c>
      <c r="P69" s="7" t="s">
        <v>338</v>
      </c>
      <c r="Q69" s="7" t="s">
        <v>52</v>
      </c>
      <c r="R69" s="87">
        <v>0.04</v>
      </c>
      <c r="S69" s="88"/>
      <c r="T69" s="89"/>
      <c r="U69" s="89"/>
      <c r="V69" s="89"/>
      <c r="W69" s="89"/>
      <c r="X69" s="88"/>
      <c r="Y69" s="89">
        <v>0.1</v>
      </c>
      <c r="Z69" s="89">
        <v>0.1</v>
      </c>
      <c r="AA69" s="88">
        <v>0.2</v>
      </c>
      <c r="AB69" s="87">
        <v>0.2</v>
      </c>
      <c r="AC69" s="87">
        <v>0.3</v>
      </c>
      <c r="AD69" s="88">
        <v>0.1</v>
      </c>
      <c r="AE69" s="90" t="s">
        <v>450</v>
      </c>
      <c r="AF69" s="88">
        <v>0.2</v>
      </c>
      <c r="AG69" s="88">
        <f>8%+10%+20%+20%</f>
        <v>0.58000000000000007</v>
      </c>
      <c r="AH69" s="8" t="s">
        <v>492</v>
      </c>
      <c r="AK69" s="99">
        <f t="shared" si="5"/>
        <v>0.60000000000000009</v>
      </c>
      <c r="AL69" s="99">
        <f t="shared" si="6"/>
        <v>0.58000000000000007</v>
      </c>
      <c r="AM69" s="99">
        <f t="shared" si="2"/>
        <v>0.96666666666666667</v>
      </c>
    </row>
    <row r="70" spans="2:39" ht="75" x14ac:dyDescent="0.25">
      <c r="B70" s="6" t="s">
        <v>231</v>
      </c>
      <c r="C70" s="6" t="s">
        <v>232</v>
      </c>
      <c r="D70" s="6" t="s">
        <v>233</v>
      </c>
      <c r="E70" s="6" t="s">
        <v>234</v>
      </c>
      <c r="F70" s="6" t="s">
        <v>235</v>
      </c>
      <c r="G70" s="6"/>
      <c r="H70" s="6"/>
      <c r="I70" s="6"/>
      <c r="J70" s="6" t="s">
        <v>339</v>
      </c>
      <c r="K70" s="7" t="s">
        <v>340</v>
      </c>
      <c r="L70" s="7" t="s">
        <v>341</v>
      </c>
      <c r="M70" s="6" t="s">
        <v>297</v>
      </c>
      <c r="N70" s="9">
        <v>42552</v>
      </c>
      <c r="O70" s="9">
        <v>42735</v>
      </c>
      <c r="P70" s="7" t="s">
        <v>342</v>
      </c>
      <c r="Q70" s="7" t="s">
        <v>52</v>
      </c>
      <c r="R70" s="87">
        <v>0.04</v>
      </c>
      <c r="S70" s="88"/>
      <c r="T70" s="89"/>
      <c r="U70" s="89"/>
      <c r="V70" s="89"/>
      <c r="W70" s="89"/>
      <c r="X70" s="88"/>
      <c r="Y70" s="89">
        <v>0.4</v>
      </c>
      <c r="Z70" s="89">
        <v>0.4</v>
      </c>
      <c r="AA70" s="88">
        <v>0.2</v>
      </c>
      <c r="AB70" s="87"/>
      <c r="AC70" s="87"/>
      <c r="AD70" s="88"/>
      <c r="AE70" s="90" t="s">
        <v>450</v>
      </c>
      <c r="AF70" s="88"/>
      <c r="AG70" s="88">
        <f>30%+30%+15%</f>
        <v>0.75</v>
      </c>
      <c r="AH70" s="16"/>
      <c r="AK70" s="99">
        <f t="shared" si="5"/>
        <v>1</v>
      </c>
      <c r="AL70" s="99">
        <f t="shared" si="6"/>
        <v>0.75</v>
      </c>
      <c r="AM70" s="99">
        <f>+AL70/AK70</f>
        <v>0.75</v>
      </c>
    </row>
    <row r="71" spans="2:39" ht="75" x14ac:dyDescent="0.25">
      <c r="B71" s="6" t="s">
        <v>231</v>
      </c>
      <c r="C71" s="6" t="s">
        <v>232</v>
      </c>
      <c r="D71" s="6" t="s">
        <v>233</v>
      </c>
      <c r="E71" s="6" t="s">
        <v>234</v>
      </c>
      <c r="F71" s="6" t="s">
        <v>235</v>
      </c>
      <c r="G71" s="6"/>
      <c r="H71" s="6"/>
      <c r="I71" s="6"/>
      <c r="J71" s="6" t="s">
        <v>343</v>
      </c>
      <c r="K71" s="7" t="s">
        <v>344</v>
      </c>
      <c r="L71" s="7" t="s">
        <v>345</v>
      </c>
      <c r="M71" s="6" t="s">
        <v>297</v>
      </c>
      <c r="N71" s="9">
        <v>42594</v>
      </c>
      <c r="O71" s="9">
        <v>42735</v>
      </c>
      <c r="P71" s="7" t="s">
        <v>346</v>
      </c>
      <c r="Q71" s="7" t="s">
        <v>52</v>
      </c>
      <c r="R71" s="87">
        <v>0.04</v>
      </c>
      <c r="S71" s="88"/>
      <c r="T71" s="89"/>
      <c r="U71" s="89"/>
      <c r="V71" s="89"/>
      <c r="W71" s="89"/>
      <c r="X71" s="88"/>
      <c r="Y71" s="89">
        <v>0.1</v>
      </c>
      <c r="Z71" s="89">
        <v>0.25</v>
      </c>
      <c r="AA71" s="88">
        <v>0.1</v>
      </c>
      <c r="AB71" s="87">
        <v>0.15</v>
      </c>
      <c r="AC71" s="87">
        <v>0.1</v>
      </c>
      <c r="AD71" s="88">
        <v>0.3</v>
      </c>
      <c r="AE71" s="90" t="s">
        <v>450</v>
      </c>
      <c r="AF71" s="88">
        <v>0.15</v>
      </c>
      <c r="AG71" s="88">
        <f>10%+20%+10%+15%</f>
        <v>0.55000000000000004</v>
      </c>
      <c r="AH71" s="7" t="s">
        <v>493</v>
      </c>
      <c r="AK71" s="99">
        <f t="shared" si="5"/>
        <v>0.6</v>
      </c>
      <c r="AL71" s="99">
        <f t="shared" si="6"/>
        <v>0.55000000000000004</v>
      </c>
      <c r="AM71" s="99">
        <f t="shared" si="2"/>
        <v>0.91666666666666674</v>
      </c>
    </row>
    <row r="72" spans="2:39" ht="75" x14ac:dyDescent="0.25">
      <c r="B72" s="6" t="s">
        <v>231</v>
      </c>
      <c r="C72" s="6" t="s">
        <v>232</v>
      </c>
      <c r="D72" s="6" t="s">
        <v>233</v>
      </c>
      <c r="E72" s="6" t="s">
        <v>234</v>
      </c>
      <c r="F72" s="6" t="s">
        <v>382</v>
      </c>
      <c r="G72" s="6"/>
      <c r="H72" s="6"/>
      <c r="I72" s="6"/>
      <c r="J72" s="6" t="s">
        <v>347</v>
      </c>
      <c r="K72" s="7" t="s">
        <v>348</v>
      </c>
      <c r="L72" s="7" t="s">
        <v>349</v>
      </c>
      <c r="M72" s="6" t="s">
        <v>297</v>
      </c>
      <c r="N72" s="9">
        <v>42552</v>
      </c>
      <c r="O72" s="9">
        <v>42674</v>
      </c>
      <c r="P72" s="7" t="s">
        <v>350</v>
      </c>
      <c r="Q72" s="7" t="s">
        <v>149</v>
      </c>
      <c r="R72" s="87">
        <v>0.04</v>
      </c>
      <c r="S72" s="88"/>
      <c r="T72" s="89"/>
      <c r="U72" s="89"/>
      <c r="V72" s="89"/>
      <c r="W72" s="89"/>
      <c r="X72" s="88"/>
      <c r="Y72" s="89"/>
      <c r="Z72" s="89">
        <v>0.5</v>
      </c>
      <c r="AA72" s="88">
        <v>0.5</v>
      </c>
      <c r="AB72" s="87"/>
      <c r="AC72" s="87"/>
      <c r="AD72" s="88"/>
      <c r="AE72" s="90" t="s">
        <v>450</v>
      </c>
      <c r="AF72" s="88">
        <v>0.15</v>
      </c>
      <c r="AG72" s="88">
        <f>15%+20%+15%</f>
        <v>0.5</v>
      </c>
      <c r="AH72" s="16" t="s">
        <v>494</v>
      </c>
      <c r="AK72" s="99">
        <f t="shared" si="5"/>
        <v>1</v>
      </c>
      <c r="AL72" s="99">
        <f t="shared" si="6"/>
        <v>0.5</v>
      </c>
      <c r="AM72" s="99">
        <f t="shared" ref="AM72:AM76" si="7">+AL72/AK72</f>
        <v>0.5</v>
      </c>
    </row>
    <row r="73" spans="2:39" ht="105" x14ac:dyDescent="0.25">
      <c r="B73" s="6" t="s">
        <v>231</v>
      </c>
      <c r="C73" s="6" t="s">
        <v>232</v>
      </c>
      <c r="D73" s="6" t="s">
        <v>233</v>
      </c>
      <c r="E73" s="6" t="s">
        <v>234</v>
      </c>
      <c r="F73" s="6" t="s">
        <v>235</v>
      </c>
      <c r="G73" s="6"/>
      <c r="H73" s="6"/>
      <c r="I73" s="6"/>
      <c r="J73" s="6" t="s">
        <v>351</v>
      </c>
      <c r="K73" s="8" t="s">
        <v>352</v>
      </c>
      <c r="L73" s="7"/>
      <c r="M73" s="6" t="s">
        <v>353</v>
      </c>
      <c r="N73" s="9">
        <v>42552</v>
      </c>
      <c r="O73" s="9">
        <v>42735</v>
      </c>
      <c r="P73" s="7" t="s">
        <v>354</v>
      </c>
      <c r="Q73" s="6" t="s">
        <v>52</v>
      </c>
      <c r="R73" s="87">
        <v>0.02</v>
      </c>
      <c r="S73" s="88"/>
      <c r="T73" s="89"/>
      <c r="U73" s="89"/>
      <c r="V73" s="89"/>
      <c r="W73" s="89"/>
      <c r="X73" s="88"/>
      <c r="Y73" s="89"/>
      <c r="Z73" s="89">
        <v>0.5</v>
      </c>
      <c r="AA73" s="88"/>
      <c r="AB73" s="87"/>
      <c r="AC73" s="87"/>
      <c r="AD73" s="88">
        <v>0.5</v>
      </c>
      <c r="AE73" s="90" t="s">
        <v>450</v>
      </c>
      <c r="AF73" s="88"/>
      <c r="AG73" s="88">
        <v>0.5</v>
      </c>
      <c r="AH73" s="16"/>
      <c r="AK73" s="99">
        <f t="shared" si="5"/>
        <v>0.5</v>
      </c>
      <c r="AL73" s="99">
        <f t="shared" si="6"/>
        <v>0.5</v>
      </c>
      <c r="AM73" s="99">
        <f t="shared" si="7"/>
        <v>1</v>
      </c>
    </row>
    <row r="74" spans="2:39" ht="114.75" x14ac:dyDescent="0.25">
      <c r="B74" s="6" t="s">
        <v>231</v>
      </c>
      <c r="C74" s="6" t="s">
        <v>232</v>
      </c>
      <c r="D74" s="6" t="s">
        <v>233</v>
      </c>
      <c r="E74" s="6" t="s">
        <v>234</v>
      </c>
      <c r="F74" s="6" t="s">
        <v>235</v>
      </c>
      <c r="G74" s="6"/>
      <c r="H74" s="6"/>
      <c r="I74" s="6"/>
      <c r="J74" s="6" t="s">
        <v>356</v>
      </c>
      <c r="K74" s="8" t="s">
        <v>357</v>
      </c>
      <c r="L74" s="7"/>
      <c r="M74" s="6" t="s">
        <v>353</v>
      </c>
      <c r="N74" s="9">
        <v>42552</v>
      </c>
      <c r="O74" s="9">
        <v>42735</v>
      </c>
      <c r="P74" s="7" t="s">
        <v>289</v>
      </c>
      <c r="Q74" s="6" t="s">
        <v>52</v>
      </c>
      <c r="R74" s="87">
        <v>0.02</v>
      </c>
      <c r="S74" s="88"/>
      <c r="T74" s="89"/>
      <c r="U74" s="89"/>
      <c r="V74" s="89"/>
      <c r="W74" s="89"/>
      <c r="X74" s="88"/>
      <c r="Y74" s="89">
        <v>0.16</v>
      </c>
      <c r="Z74" s="89">
        <v>0.16</v>
      </c>
      <c r="AA74" s="88">
        <v>0.16</v>
      </c>
      <c r="AB74" s="87">
        <v>0.16</v>
      </c>
      <c r="AC74" s="87">
        <v>0.18</v>
      </c>
      <c r="AD74" s="88">
        <v>0.18</v>
      </c>
      <c r="AE74" s="90" t="s">
        <v>450</v>
      </c>
      <c r="AF74" s="88">
        <v>0.16</v>
      </c>
      <c r="AG74" s="88">
        <f>16%+16%+16%+16%</f>
        <v>0.64</v>
      </c>
      <c r="AH74" s="16" t="s">
        <v>474</v>
      </c>
      <c r="AK74" s="99">
        <f t="shared" si="5"/>
        <v>0.64</v>
      </c>
      <c r="AL74" s="99">
        <f t="shared" si="6"/>
        <v>0.64</v>
      </c>
      <c r="AM74" s="99">
        <f t="shared" si="7"/>
        <v>1</v>
      </c>
    </row>
    <row r="75" spans="2:39" ht="89.25" x14ac:dyDescent="0.25">
      <c r="B75" s="6" t="s">
        <v>231</v>
      </c>
      <c r="C75" s="6" t="s">
        <v>232</v>
      </c>
      <c r="D75" s="6" t="s">
        <v>233</v>
      </c>
      <c r="E75" s="6" t="s">
        <v>234</v>
      </c>
      <c r="F75" s="6" t="s">
        <v>382</v>
      </c>
      <c r="G75" s="6"/>
      <c r="H75" s="6"/>
      <c r="I75" s="6"/>
      <c r="J75" s="6" t="s">
        <v>358</v>
      </c>
      <c r="K75" s="8" t="s">
        <v>359</v>
      </c>
      <c r="L75" s="7"/>
      <c r="M75" s="6" t="s">
        <v>353</v>
      </c>
      <c r="N75" s="9">
        <v>42552</v>
      </c>
      <c r="O75" s="9">
        <v>42735</v>
      </c>
      <c r="P75" s="7" t="s">
        <v>289</v>
      </c>
      <c r="Q75" s="6" t="s">
        <v>52</v>
      </c>
      <c r="R75" s="87">
        <v>0.03</v>
      </c>
      <c r="S75" s="88"/>
      <c r="T75" s="89"/>
      <c r="U75" s="89"/>
      <c r="V75" s="89"/>
      <c r="W75" s="89"/>
      <c r="X75" s="88"/>
      <c r="Y75" s="89">
        <v>0.14000000000000001</v>
      </c>
      <c r="Z75" s="89">
        <v>0.22</v>
      </c>
      <c r="AA75" s="88">
        <v>0.14000000000000001</v>
      </c>
      <c r="AB75" s="87">
        <v>0.14000000000000001</v>
      </c>
      <c r="AC75" s="87">
        <v>0.22</v>
      </c>
      <c r="AD75" s="88">
        <v>0.14000000000000001</v>
      </c>
      <c r="AE75" s="90" t="s">
        <v>450</v>
      </c>
      <c r="AF75" s="88">
        <v>0.14000000000000001</v>
      </c>
      <c r="AG75" s="88">
        <f>14%+22%+14%+14%</f>
        <v>0.64</v>
      </c>
      <c r="AH75" s="7" t="s">
        <v>475</v>
      </c>
      <c r="AK75" s="99">
        <f t="shared" si="5"/>
        <v>0.64</v>
      </c>
      <c r="AL75" s="99">
        <f t="shared" si="6"/>
        <v>0.64</v>
      </c>
      <c r="AM75" s="99">
        <f t="shared" si="7"/>
        <v>1</v>
      </c>
    </row>
    <row r="76" spans="2:39" ht="102.75" customHeight="1" x14ac:dyDescent="0.25">
      <c r="B76" s="6" t="s">
        <v>231</v>
      </c>
      <c r="C76" s="6" t="s">
        <v>232</v>
      </c>
      <c r="D76" s="6" t="s">
        <v>233</v>
      </c>
      <c r="E76" s="6" t="s">
        <v>234</v>
      </c>
      <c r="F76" s="6" t="s">
        <v>235</v>
      </c>
      <c r="G76" s="6"/>
      <c r="H76" s="6"/>
      <c r="I76" s="6"/>
      <c r="J76" s="6" t="s">
        <v>361</v>
      </c>
      <c r="K76" s="7" t="s">
        <v>362</v>
      </c>
      <c r="L76" s="7"/>
      <c r="M76" s="6" t="s">
        <v>353</v>
      </c>
      <c r="N76" s="9">
        <v>42552</v>
      </c>
      <c r="O76" s="9">
        <v>42735</v>
      </c>
      <c r="P76" s="7" t="s">
        <v>289</v>
      </c>
      <c r="Q76" s="8" t="s">
        <v>363</v>
      </c>
      <c r="R76" s="87">
        <v>0.02</v>
      </c>
      <c r="S76" s="88"/>
      <c r="T76" s="89"/>
      <c r="U76" s="89"/>
      <c r="V76" s="89"/>
      <c r="W76" s="89"/>
      <c r="X76" s="88"/>
      <c r="Y76" s="89">
        <v>0.5</v>
      </c>
      <c r="Z76" s="89">
        <v>0.08</v>
      </c>
      <c r="AA76" s="88">
        <v>0.17</v>
      </c>
      <c r="AB76" s="87">
        <v>0.08</v>
      </c>
      <c r="AC76" s="87">
        <v>0.08</v>
      </c>
      <c r="AD76" s="88">
        <v>0.09</v>
      </c>
      <c r="AE76" s="90" t="s">
        <v>450</v>
      </c>
      <c r="AF76" s="88">
        <v>0.08</v>
      </c>
      <c r="AG76" s="88">
        <f>50%+8%+17%+8%</f>
        <v>0.83</v>
      </c>
      <c r="AH76" s="16" t="s">
        <v>476</v>
      </c>
      <c r="AK76" s="99">
        <f>+X76+Y76+Z76+AA76+AB76</f>
        <v>0.83</v>
      </c>
      <c r="AL76" s="99">
        <f t="shared" si="6"/>
        <v>0.83</v>
      </c>
      <c r="AM76" s="99">
        <f t="shared" si="7"/>
        <v>1</v>
      </c>
    </row>
  </sheetData>
  <autoFilter ref="B6:AH76"/>
  <mergeCells count="8">
    <mergeCell ref="B1:C2"/>
    <mergeCell ref="D1:AH1"/>
    <mergeCell ref="D2:AH2"/>
    <mergeCell ref="B5:F5"/>
    <mergeCell ref="G5:I5"/>
    <mergeCell ref="J5:R5"/>
    <mergeCell ref="S5:AD5"/>
    <mergeCell ref="AE5:AH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P76"/>
  <sheetViews>
    <sheetView topLeftCell="S1" zoomScale="80" zoomScaleNormal="80" workbookViewId="0">
      <pane ySplit="6" topLeftCell="A7" activePane="bottomLeft" state="frozen"/>
      <selection activeCell="AF30" sqref="AF30"/>
      <selection pane="bottomLeft" activeCell="AJ1" sqref="AJ1:AP1048576"/>
    </sheetView>
  </sheetViews>
  <sheetFormatPr baseColWidth="10" defaultRowHeight="15" x14ac:dyDescent="0.25"/>
  <cols>
    <col min="1" max="1" width="1.7109375" style="1" customWidth="1"/>
    <col min="2" max="2" width="17.28515625" style="2" customWidth="1"/>
    <col min="3" max="3" width="32.7109375" style="2" customWidth="1"/>
    <col min="4" max="4" width="20" style="1" customWidth="1"/>
    <col min="5" max="5" width="23.85546875" style="1" customWidth="1"/>
    <col min="6" max="6" width="30.5703125" style="1" customWidth="1"/>
    <col min="7" max="7" width="26.5703125" style="1" hidden="1" customWidth="1"/>
    <col min="8" max="8" width="27.5703125" style="1" hidden="1" customWidth="1"/>
    <col min="9" max="9" width="26.28515625" style="1" hidden="1" customWidth="1"/>
    <col min="10" max="10" width="33" style="1" customWidth="1"/>
    <col min="11" max="11" width="44.85546875" style="1" customWidth="1"/>
    <col min="12" max="12" width="46.42578125" style="1" customWidth="1"/>
    <col min="13" max="13" width="22" style="1" customWidth="1"/>
    <col min="14" max="14" width="15.85546875" style="1" customWidth="1"/>
    <col min="15" max="15" width="15.140625" style="1" customWidth="1"/>
    <col min="16" max="17" width="24.7109375" style="1" customWidth="1"/>
    <col min="18" max="18" width="15.7109375" style="1" customWidth="1"/>
    <col min="19" max="19" width="6.140625" style="1" customWidth="1"/>
    <col min="20" max="20" width="6" style="1" customWidth="1"/>
    <col min="21" max="21" width="6.42578125" style="1" customWidth="1"/>
    <col min="22" max="23" width="6.28515625" style="1" customWidth="1"/>
    <col min="24" max="24" width="6.7109375" style="1" customWidth="1"/>
    <col min="25" max="25" width="5.85546875" style="1" customWidth="1"/>
    <col min="26" max="26" width="6.42578125" style="1" customWidth="1"/>
    <col min="27" max="29" width="5.85546875" style="1" customWidth="1"/>
    <col min="30" max="30" width="6.28515625" style="1" customWidth="1"/>
    <col min="31" max="32" width="14.28515625" style="1" customWidth="1"/>
    <col min="33" max="33" width="17.85546875" style="1" customWidth="1"/>
    <col min="34" max="34" width="60.85546875" style="1" customWidth="1"/>
    <col min="35" max="35" width="11.42578125" style="1"/>
    <col min="36" max="36" width="11.42578125" style="42"/>
    <col min="37" max="37" width="15.42578125" style="42" customWidth="1"/>
    <col min="38" max="38" width="15" style="42" customWidth="1"/>
    <col min="39" max="42" width="11.42578125" style="42"/>
    <col min="43" max="16384" width="11.42578125" style="1"/>
  </cols>
  <sheetData>
    <row r="1" spans="2:40" ht="58.5" customHeight="1" x14ac:dyDescent="0.25">
      <c r="B1" s="66"/>
      <c r="C1" s="66"/>
      <c r="D1" s="67" t="s">
        <v>0</v>
      </c>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9"/>
    </row>
    <row r="2" spans="2:40" ht="51.75" customHeight="1" x14ac:dyDescent="0.25">
      <c r="B2" s="66"/>
      <c r="C2" s="66"/>
      <c r="D2" s="67" t="s">
        <v>1</v>
      </c>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9"/>
      <c r="AI2" s="42"/>
    </row>
    <row r="3" spans="2:40" x14ac:dyDescent="0.25">
      <c r="AI3" s="59"/>
      <c r="AJ3" s="42">
        <v>500</v>
      </c>
      <c r="AK3" s="42">
        <v>100</v>
      </c>
      <c r="AM3" s="42">
        <v>6300</v>
      </c>
      <c r="AN3" s="42">
        <v>100</v>
      </c>
    </row>
    <row r="4" spans="2:40" x14ac:dyDescent="0.25">
      <c r="AI4" s="59"/>
      <c r="AJ4" s="42">
        <v>87</v>
      </c>
      <c r="AK4" s="42">
        <f>+(AJ4*AK3)/AJ3</f>
        <v>17.399999999999999</v>
      </c>
      <c r="AM4" s="42">
        <v>5967</v>
      </c>
      <c r="AN4" s="42">
        <f>+(AM4*AN3)/AM3</f>
        <v>94.714285714285708</v>
      </c>
    </row>
    <row r="5" spans="2:40" ht="34.5" customHeight="1" x14ac:dyDescent="0.25">
      <c r="B5" s="70" t="s">
        <v>2</v>
      </c>
      <c r="C5" s="71"/>
      <c r="D5" s="71"/>
      <c r="E5" s="71"/>
      <c r="F5" s="72"/>
      <c r="G5" s="73" t="s">
        <v>3</v>
      </c>
      <c r="H5" s="74"/>
      <c r="I5" s="75"/>
      <c r="J5" s="76" t="s">
        <v>4</v>
      </c>
      <c r="K5" s="76"/>
      <c r="L5" s="76"/>
      <c r="M5" s="76"/>
      <c r="N5" s="76"/>
      <c r="O5" s="76"/>
      <c r="P5" s="76"/>
      <c r="Q5" s="76"/>
      <c r="R5" s="76"/>
      <c r="S5" s="77" t="s">
        <v>5</v>
      </c>
      <c r="T5" s="78"/>
      <c r="U5" s="78"/>
      <c r="V5" s="78"/>
      <c r="W5" s="78"/>
      <c r="X5" s="78"/>
      <c r="Y5" s="78"/>
      <c r="Z5" s="78"/>
      <c r="AA5" s="78"/>
      <c r="AB5" s="78"/>
      <c r="AC5" s="78"/>
      <c r="AD5" s="79"/>
      <c r="AE5" s="70" t="s">
        <v>6</v>
      </c>
      <c r="AF5" s="71"/>
      <c r="AG5" s="71"/>
      <c r="AH5" s="72"/>
      <c r="AI5" s="42"/>
    </row>
    <row r="6" spans="2:40" ht="78.75" x14ac:dyDescent="0.25">
      <c r="B6" s="3" t="s">
        <v>7</v>
      </c>
      <c r="C6" s="3" t="s">
        <v>8</v>
      </c>
      <c r="D6" s="3" t="s">
        <v>9</v>
      </c>
      <c r="E6" s="3" t="s">
        <v>10</v>
      </c>
      <c r="F6" s="3" t="s">
        <v>11</v>
      </c>
      <c r="G6" s="3" t="s">
        <v>12</v>
      </c>
      <c r="H6" s="3" t="s">
        <v>13</v>
      </c>
      <c r="I6" s="3" t="s">
        <v>14</v>
      </c>
      <c r="J6" s="3" t="s">
        <v>15</v>
      </c>
      <c r="K6" s="4" t="s">
        <v>16</v>
      </c>
      <c r="L6" s="3" t="s">
        <v>17</v>
      </c>
      <c r="M6" s="3" t="s">
        <v>18</v>
      </c>
      <c r="N6" s="3" t="s">
        <v>19</v>
      </c>
      <c r="O6" s="3" t="s">
        <v>20</v>
      </c>
      <c r="P6" s="3" t="s">
        <v>21</v>
      </c>
      <c r="Q6" s="3" t="s">
        <v>22</v>
      </c>
      <c r="R6" s="3" t="s">
        <v>23</v>
      </c>
      <c r="S6" s="3" t="s">
        <v>24</v>
      </c>
      <c r="T6" s="3" t="s">
        <v>25</v>
      </c>
      <c r="U6" s="3" t="s">
        <v>26</v>
      </c>
      <c r="V6" s="3" t="s">
        <v>27</v>
      </c>
      <c r="W6" s="3" t="s">
        <v>28</v>
      </c>
      <c r="X6" s="3" t="s">
        <v>29</v>
      </c>
      <c r="Y6" s="3" t="s">
        <v>30</v>
      </c>
      <c r="Z6" s="3" t="s">
        <v>31</v>
      </c>
      <c r="AA6" s="3" t="s">
        <v>32</v>
      </c>
      <c r="AB6" s="3" t="s">
        <v>33</v>
      </c>
      <c r="AC6" s="3" t="s">
        <v>34</v>
      </c>
      <c r="AD6" s="3" t="s">
        <v>35</v>
      </c>
      <c r="AE6" s="3" t="s">
        <v>36</v>
      </c>
      <c r="AF6" s="3" t="s">
        <v>37</v>
      </c>
      <c r="AG6" s="3" t="s">
        <v>38</v>
      </c>
      <c r="AH6" s="3" t="s">
        <v>39</v>
      </c>
      <c r="AK6" s="98" t="s">
        <v>40</v>
      </c>
      <c r="AL6" s="98" t="s">
        <v>41</v>
      </c>
    </row>
    <row r="7" spans="2:40" ht="138" customHeight="1" x14ac:dyDescent="0.25">
      <c r="B7" s="6" t="s">
        <v>42</v>
      </c>
      <c r="C7" s="6" t="s">
        <v>43</v>
      </c>
      <c r="D7" s="6" t="s">
        <v>44</v>
      </c>
      <c r="E7" s="6" t="s">
        <v>45</v>
      </c>
      <c r="F7" s="6" t="s">
        <v>46</v>
      </c>
      <c r="G7" s="6"/>
      <c r="H7" s="6"/>
      <c r="I7" s="6"/>
      <c r="J7" s="6" t="s">
        <v>47</v>
      </c>
      <c r="K7" s="7" t="s">
        <v>48</v>
      </c>
      <c r="L7" s="8" t="s">
        <v>49</v>
      </c>
      <c r="M7" s="6" t="s">
        <v>50</v>
      </c>
      <c r="N7" s="9">
        <v>42583</v>
      </c>
      <c r="O7" s="9">
        <v>42705</v>
      </c>
      <c r="P7" s="6" t="s">
        <v>51</v>
      </c>
      <c r="Q7" s="6" t="s">
        <v>52</v>
      </c>
      <c r="R7" s="87">
        <v>0.03</v>
      </c>
      <c r="S7" s="88"/>
      <c r="T7" s="89"/>
      <c r="U7" s="89"/>
      <c r="V7" s="89"/>
      <c r="W7" s="89"/>
      <c r="X7" s="88"/>
      <c r="Y7" s="89"/>
      <c r="Z7" s="89">
        <v>0.25</v>
      </c>
      <c r="AA7" s="88">
        <v>0.25</v>
      </c>
      <c r="AB7" s="88">
        <v>0.25</v>
      </c>
      <c r="AC7" s="88">
        <v>0.25</v>
      </c>
      <c r="AD7" s="88"/>
      <c r="AE7" s="90" t="s">
        <v>513</v>
      </c>
      <c r="AF7" s="88">
        <v>0.5</v>
      </c>
      <c r="AG7" s="88">
        <f>25%+25%+50%</f>
        <v>1</v>
      </c>
      <c r="AH7" s="7" t="s">
        <v>451</v>
      </c>
      <c r="AK7" s="99">
        <f>+X7+Y7+Z7+AA7+AB7+AC7</f>
        <v>1</v>
      </c>
      <c r="AL7" s="99">
        <f>+AG7</f>
        <v>1</v>
      </c>
    </row>
    <row r="8" spans="2:40" ht="90" x14ac:dyDescent="0.25">
      <c r="B8" s="6" t="s">
        <v>42</v>
      </c>
      <c r="C8" s="6" t="s">
        <v>43</v>
      </c>
      <c r="D8" s="6" t="s">
        <v>44</v>
      </c>
      <c r="E8" s="6" t="s">
        <v>45</v>
      </c>
      <c r="F8" s="6" t="s">
        <v>46</v>
      </c>
      <c r="G8" s="6"/>
      <c r="H8" s="6"/>
      <c r="I8" s="6"/>
      <c r="J8" s="6" t="s">
        <v>55</v>
      </c>
      <c r="K8" s="7" t="s">
        <v>56</v>
      </c>
      <c r="L8" s="7"/>
      <c r="M8" s="6" t="s">
        <v>50</v>
      </c>
      <c r="N8" s="9">
        <v>42614</v>
      </c>
      <c r="O8" s="9">
        <v>42644</v>
      </c>
      <c r="P8" s="6" t="s">
        <v>52</v>
      </c>
      <c r="Q8" s="6" t="s">
        <v>52</v>
      </c>
      <c r="R8" s="87">
        <v>0.03</v>
      </c>
      <c r="S8" s="88"/>
      <c r="T8" s="89"/>
      <c r="U8" s="89"/>
      <c r="V8" s="89"/>
      <c r="W8" s="89"/>
      <c r="X8" s="88"/>
      <c r="Y8" s="89"/>
      <c r="Z8" s="89"/>
      <c r="AA8" s="88">
        <v>1</v>
      </c>
      <c r="AB8" s="88"/>
      <c r="AC8" s="88"/>
      <c r="AD8" s="88"/>
      <c r="AE8" s="90" t="s">
        <v>513</v>
      </c>
      <c r="AF8" s="90"/>
      <c r="AG8" s="88">
        <v>1</v>
      </c>
      <c r="AH8" s="7"/>
      <c r="AK8" s="99">
        <f t="shared" ref="AK8:AK71" si="0">+X8+Y8+Z8+AA8+AB8+AC8</f>
        <v>1</v>
      </c>
      <c r="AL8" s="99">
        <f t="shared" ref="AL8:AL71" si="1">+AG8</f>
        <v>1</v>
      </c>
    </row>
    <row r="9" spans="2:40" ht="90" x14ac:dyDescent="0.25">
      <c r="B9" s="6" t="s">
        <v>42</v>
      </c>
      <c r="C9" s="6" t="s">
        <v>43</v>
      </c>
      <c r="D9" s="6" t="s">
        <v>44</v>
      </c>
      <c r="E9" s="6" t="s">
        <v>45</v>
      </c>
      <c r="F9" s="6" t="s">
        <v>46</v>
      </c>
      <c r="G9" s="6"/>
      <c r="H9" s="6"/>
      <c r="I9" s="6"/>
      <c r="J9" s="6" t="s">
        <v>57</v>
      </c>
      <c r="K9" s="7" t="s">
        <v>58</v>
      </c>
      <c r="L9" s="7" t="s">
        <v>59</v>
      </c>
      <c r="M9" s="6" t="s">
        <v>50</v>
      </c>
      <c r="N9" s="9">
        <v>42552</v>
      </c>
      <c r="O9" s="9">
        <v>42735</v>
      </c>
      <c r="P9" s="6" t="s">
        <v>60</v>
      </c>
      <c r="Q9" s="6" t="s">
        <v>52</v>
      </c>
      <c r="R9" s="87">
        <v>0.03</v>
      </c>
      <c r="S9" s="88"/>
      <c r="T9" s="89"/>
      <c r="U9" s="89"/>
      <c r="V9" s="89"/>
      <c r="W9" s="89"/>
      <c r="X9" s="88">
        <v>0.14000000000000001</v>
      </c>
      <c r="Y9" s="89">
        <v>0.14000000000000001</v>
      </c>
      <c r="Z9" s="89">
        <v>0.14000000000000001</v>
      </c>
      <c r="AA9" s="88">
        <v>0.14000000000000001</v>
      </c>
      <c r="AB9" s="88">
        <v>0.14000000000000001</v>
      </c>
      <c r="AC9" s="88">
        <v>0.15</v>
      </c>
      <c r="AD9" s="88">
        <v>0.15</v>
      </c>
      <c r="AE9" s="90" t="s">
        <v>513</v>
      </c>
      <c r="AF9" s="88">
        <v>0.14000000000000001</v>
      </c>
      <c r="AG9" s="88">
        <f>14%+28%+14%</f>
        <v>0.56000000000000005</v>
      </c>
      <c r="AH9" s="7" t="s">
        <v>551</v>
      </c>
      <c r="AK9" s="99">
        <f t="shared" si="0"/>
        <v>0.85000000000000009</v>
      </c>
      <c r="AL9" s="99">
        <f t="shared" si="1"/>
        <v>0.56000000000000005</v>
      </c>
    </row>
    <row r="10" spans="2:40" ht="120" x14ac:dyDescent="0.25">
      <c r="B10" s="6" t="s">
        <v>42</v>
      </c>
      <c r="C10" s="6" t="s">
        <v>43</v>
      </c>
      <c r="D10" s="6" t="s">
        <v>44</v>
      </c>
      <c r="E10" s="6" t="s">
        <v>45</v>
      </c>
      <c r="F10" s="6" t="s">
        <v>46</v>
      </c>
      <c r="G10" s="6"/>
      <c r="H10" s="6"/>
      <c r="I10" s="6"/>
      <c r="J10" s="6" t="s">
        <v>62</v>
      </c>
      <c r="K10" s="7" t="s">
        <v>63</v>
      </c>
      <c r="L10" s="7" t="s">
        <v>64</v>
      </c>
      <c r="M10" s="6" t="s">
        <v>50</v>
      </c>
      <c r="N10" s="9">
        <v>42552</v>
      </c>
      <c r="O10" s="9">
        <v>42734</v>
      </c>
      <c r="P10" s="6" t="s">
        <v>52</v>
      </c>
      <c r="Q10" s="6" t="s">
        <v>52</v>
      </c>
      <c r="R10" s="87">
        <v>0.04</v>
      </c>
      <c r="S10" s="88"/>
      <c r="T10" s="89"/>
      <c r="U10" s="89"/>
      <c r="V10" s="89"/>
      <c r="W10" s="89"/>
      <c r="X10" s="88">
        <v>0.14000000000000001</v>
      </c>
      <c r="Y10" s="89">
        <v>0.14000000000000001</v>
      </c>
      <c r="Z10" s="89">
        <v>0.14000000000000001</v>
      </c>
      <c r="AA10" s="88">
        <v>0.14000000000000001</v>
      </c>
      <c r="AB10" s="88">
        <v>0.14000000000000001</v>
      </c>
      <c r="AC10" s="88">
        <v>0.15</v>
      </c>
      <c r="AD10" s="88">
        <v>0.15</v>
      </c>
      <c r="AE10" s="90" t="s">
        <v>513</v>
      </c>
      <c r="AF10" s="88">
        <v>0.15</v>
      </c>
      <c r="AG10" s="88">
        <f>14%+14%+14%+14%+14%+15%</f>
        <v>0.85000000000000009</v>
      </c>
      <c r="AH10" s="7" t="s">
        <v>552</v>
      </c>
      <c r="AK10" s="99">
        <f t="shared" si="0"/>
        <v>0.85000000000000009</v>
      </c>
      <c r="AL10" s="99">
        <f t="shared" si="1"/>
        <v>0.85000000000000009</v>
      </c>
    </row>
    <row r="11" spans="2:40" ht="127.5" x14ac:dyDescent="0.25">
      <c r="B11" s="6" t="s">
        <v>42</v>
      </c>
      <c r="C11" s="6" t="s">
        <v>43</v>
      </c>
      <c r="D11" s="6" t="s">
        <v>44</v>
      </c>
      <c r="E11" s="6" t="s">
        <v>45</v>
      </c>
      <c r="F11" s="6" t="s">
        <v>46</v>
      </c>
      <c r="G11" s="6"/>
      <c r="H11" s="6"/>
      <c r="I11" s="6"/>
      <c r="J11" s="6" t="s">
        <v>66</v>
      </c>
      <c r="K11" s="7" t="s">
        <v>48</v>
      </c>
      <c r="L11" s="8" t="s">
        <v>67</v>
      </c>
      <c r="M11" s="6" t="s">
        <v>50</v>
      </c>
      <c r="N11" s="9">
        <v>42583</v>
      </c>
      <c r="O11" s="9">
        <v>42705</v>
      </c>
      <c r="P11" s="6" t="s">
        <v>51</v>
      </c>
      <c r="Q11" s="6" t="s">
        <v>52</v>
      </c>
      <c r="R11" s="87">
        <v>0.03</v>
      </c>
      <c r="S11" s="88"/>
      <c r="T11" s="89"/>
      <c r="U11" s="89"/>
      <c r="V11" s="89"/>
      <c r="W11" s="89"/>
      <c r="X11" s="88"/>
      <c r="Y11" s="89"/>
      <c r="Z11" s="89">
        <v>0.25</v>
      </c>
      <c r="AA11" s="88">
        <v>0.25</v>
      </c>
      <c r="AB11" s="88">
        <v>0.25</v>
      </c>
      <c r="AC11" s="88">
        <v>0.25</v>
      </c>
      <c r="AD11" s="88"/>
      <c r="AE11" s="90" t="s">
        <v>513</v>
      </c>
      <c r="AF11" s="88">
        <v>0.34</v>
      </c>
      <c r="AG11" s="88">
        <f>25%+25%+16%+34%</f>
        <v>1</v>
      </c>
      <c r="AH11" s="7" t="s">
        <v>455</v>
      </c>
      <c r="AK11" s="99">
        <f t="shared" si="0"/>
        <v>1</v>
      </c>
      <c r="AL11" s="99">
        <f t="shared" si="1"/>
        <v>1</v>
      </c>
    </row>
    <row r="12" spans="2:40" ht="90" x14ac:dyDescent="0.25">
      <c r="B12" s="6" t="s">
        <v>42</v>
      </c>
      <c r="C12" s="6" t="s">
        <v>43</v>
      </c>
      <c r="D12" s="6" t="s">
        <v>44</v>
      </c>
      <c r="E12" s="6" t="s">
        <v>45</v>
      </c>
      <c r="F12" s="6" t="s">
        <v>46</v>
      </c>
      <c r="G12" s="6"/>
      <c r="H12" s="6"/>
      <c r="I12" s="6"/>
      <c r="J12" s="6" t="s">
        <v>69</v>
      </c>
      <c r="K12" s="7" t="s">
        <v>70</v>
      </c>
      <c r="L12" s="7"/>
      <c r="M12" s="6" t="s">
        <v>50</v>
      </c>
      <c r="N12" s="9">
        <v>42614</v>
      </c>
      <c r="O12" s="9">
        <v>42644</v>
      </c>
      <c r="P12" s="6" t="s">
        <v>52</v>
      </c>
      <c r="Q12" s="6" t="s">
        <v>52</v>
      </c>
      <c r="R12" s="87">
        <v>0.03</v>
      </c>
      <c r="S12" s="88"/>
      <c r="T12" s="89"/>
      <c r="U12" s="89"/>
      <c r="V12" s="89"/>
      <c r="W12" s="89"/>
      <c r="X12" s="88"/>
      <c r="Y12" s="89"/>
      <c r="Z12" s="89"/>
      <c r="AA12" s="88">
        <v>1</v>
      </c>
      <c r="AB12" s="88"/>
      <c r="AC12" s="88"/>
      <c r="AD12" s="88"/>
      <c r="AE12" s="90" t="s">
        <v>513</v>
      </c>
      <c r="AF12" s="88"/>
      <c r="AG12" s="88">
        <v>1</v>
      </c>
      <c r="AH12" s="7"/>
      <c r="AK12" s="99">
        <f t="shared" si="0"/>
        <v>1</v>
      </c>
      <c r="AL12" s="99">
        <f t="shared" si="1"/>
        <v>1</v>
      </c>
    </row>
    <row r="13" spans="2:40" ht="90" x14ac:dyDescent="0.25">
      <c r="B13" s="6" t="s">
        <v>42</v>
      </c>
      <c r="C13" s="6" t="s">
        <v>43</v>
      </c>
      <c r="D13" s="6" t="s">
        <v>44</v>
      </c>
      <c r="E13" s="6" t="s">
        <v>45</v>
      </c>
      <c r="F13" s="6" t="s">
        <v>46</v>
      </c>
      <c r="G13" s="6"/>
      <c r="H13" s="6"/>
      <c r="I13" s="6"/>
      <c r="J13" s="6" t="s">
        <v>71</v>
      </c>
      <c r="K13" s="7" t="s">
        <v>72</v>
      </c>
      <c r="L13" s="7" t="s">
        <v>59</v>
      </c>
      <c r="M13" s="6" t="s">
        <v>50</v>
      </c>
      <c r="N13" s="9">
        <v>42583</v>
      </c>
      <c r="O13" s="9">
        <v>42705</v>
      </c>
      <c r="P13" s="6" t="s">
        <v>51</v>
      </c>
      <c r="Q13" s="6" t="s">
        <v>52</v>
      </c>
      <c r="R13" s="87">
        <v>0.03</v>
      </c>
      <c r="S13" s="88"/>
      <c r="T13" s="89"/>
      <c r="U13" s="89"/>
      <c r="V13" s="89"/>
      <c r="W13" s="89"/>
      <c r="X13" s="88"/>
      <c r="Y13" s="89"/>
      <c r="Z13" s="89">
        <v>0.25</v>
      </c>
      <c r="AA13" s="88">
        <v>0.25</v>
      </c>
      <c r="AB13" s="88">
        <v>0.25</v>
      </c>
      <c r="AC13" s="88">
        <v>0.25</v>
      </c>
      <c r="AD13" s="88"/>
      <c r="AE13" s="90" t="s">
        <v>513</v>
      </c>
      <c r="AF13" s="88"/>
      <c r="AG13" s="88"/>
      <c r="AH13" s="7" t="s">
        <v>457</v>
      </c>
      <c r="AK13" s="99">
        <f t="shared" si="0"/>
        <v>1</v>
      </c>
      <c r="AL13" s="99">
        <f t="shared" si="1"/>
        <v>0</v>
      </c>
    </row>
    <row r="14" spans="2:40" ht="120" x14ac:dyDescent="0.25">
      <c r="B14" s="6" t="s">
        <v>42</v>
      </c>
      <c r="C14" s="6" t="s">
        <v>43</v>
      </c>
      <c r="D14" s="6" t="s">
        <v>44</v>
      </c>
      <c r="E14" s="6" t="s">
        <v>45</v>
      </c>
      <c r="F14" s="6" t="s">
        <v>46</v>
      </c>
      <c r="G14" s="6"/>
      <c r="H14" s="6"/>
      <c r="I14" s="6"/>
      <c r="J14" s="6" t="s">
        <v>73</v>
      </c>
      <c r="K14" s="7" t="s">
        <v>74</v>
      </c>
      <c r="L14" s="7" t="s">
        <v>75</v>
      </c>
      <c r="M14" s="6" t="s">
        <v>50</v>
      </c>
      <c r="N14" s="9">
        <v>42522</v>
      </c>
      <c r="O14" s="9">
        <v>42887</v>
      </c>
      <c r="P14" s="6" t="s">
        <v>76</v>
      </c>
      <c r="Q14" s="6" t="s">
        <v>77</v>
      </c>
      <c r="R14" s="87">
        <v>0.03</v>
      </c>
      <c r="S14" s="88"/>
      <c r="T14" s="89"/>
      <c r="U14" s="89"/>
      <c r="V14" s="89"/>
      <c r="W14" s="89"/>
      <c r="X14" s="88">
        <v>0.14000000000000001</v>
      </c>
      <c r="Y14" s="89">
        <v>0.14000000000000001</v>
      </c>
      <c r="Z14" s="89">
        <v>0.14000000000000001</v>
      </c>
      <c r="AA14" s="88">
        <v>0.14000000000000001</v>
      </c>
      <c r="AB14" s="88">
        <v>0.14000000000000001</v>
      </c>
      <c r="AC14" s="88">
        <v>0.15</v>
      </c>
      <c r="AD14" s="88">
        <v>0.15</v>
      </c>
      <c r="AE14" s="90" t="s">
        <v>513</v>
      </c>
      <c r="AF14" s="88">
        <v>0.15</v>
      </c>
      <c r="AG14" s="88">
        <f>14%+14%+14%+14%+14%+15%</f>
        <v>0.85000000000000009</v>
      </c>
      <c r="AH14" s="7" t="s">
        <v>553</v>
      </c>
      <c r="AK14" s="99">
        <f t="shared" si="0"/>
        <v>0.85000000000000009</v>
      </c>
      <c r="AL14" s="99">
        <f t="shared" si="1"/>
        <v>0.85000000000000009</v>
      </c>
    </row>
    <row r="15" spans="2:40" ht="409.5" x14ac:dyDescent="0.25">
      <c r="B15" s="6" t="s">
        <v>42</v>
      </c>
      <c r="C15" s="6" t="s">
        <v>43</v>
      </c>
      <c r="D15" s="6" t="s">
        <v>44</v>
      </c>
      <c r="E15" s="6" t="s">
        <v>45</v>
      </c>
      <c r="F15" s="6" t="s">
        <v>46</v>
      </c>
      <c r="G15" s="6"/>
      <c r="H15" s="6"/>
      <c r="I15" s="6"/>
      <c r="J15" s="6" t="s">
        <v>79</v>
      </c>
      <c r="K15" s="7" t="s">
        <v>80</v>
      </c>
      <c r="L15" s="7" t="s">
        <v>81</v>
      </c>
      <c r="M15" s="6" t="s">
        <v>50</v>
      </c>
      <c r="N15" s="9">
        <v>42566</v>
      </c>
      <c r="O15" s="9">
        <v>42597</v>
      </c>
      <c r="P15" s="6" t="s">
        <v>82</v>
      </c>
      <c r="Q15" s="6" t="s">
        <v>83</v>
      </c>
      <c r="R15" s="87">
        <v>0.04</v>
      </c>
      <c r="S15" s="88"/>
      <c r="T15" s="89"/>
      <c r="U15" s="89"/>
      <c r="V15" s="89"/>
      <c r="W15" s="89"/>
      <c r="X15" s="88"/>
      <c r="Y15" s="89">
        <v>0.5</v>
      </c>
      <c r="Z15" s="89">
        <v>0.5</v>
      </c>
      <c r="AA15" s="88"/>
      <c r="AB15" s="88"/>
      <c r="AC15" s="88"/>
      <c r="AD15" s="88"/>
      <c r="AE15" s="90" t="s">
        <v>513</v>
      </c>
      <c r="AF15" s="88"/>
      <c r="AG15" s="88">
        <f>50%+50%</f>
        <v>1</v>
      </c>
      <c r="AH15" s="7" t="s">
        <v>554</v>
      </c>
      <c r="AK15" s="99">
        <f t="shared" si="0"/>
        <v>1</v>
      </c>
      <c r="AL15" s="99">
        <f t="shared" si="1"/>
        <v>1</v>
      </c>
    </row>
    <row r="16" spans="2:40" ht="90" x14ac:dyDescent="0.25">
      <c r="B16" s="6" t="s">
        <v>42</v>
      </c>
      <c r="C16" s="6" t="s">
        <v>43</v>
      </c>
      <c r="D16" s="6" t="s">
        <v>44</v>
      </c>
      <c r="E16" s="6" t="s">
        <v>45</v>
      </c>
      <c r="F16" s="6" t="s">
        <v>46</v>
      </c>
      <c r="G16" s="6"/>
      <c r="H16" s="6"/>
      <c r="I16" s="6"/>
      <c r="J16" s="6" t="s">
        <v>85</v>
      </c>
      <c r="K16" s="7" t="s">
        <v>86</v>
      </c>
      <c r="L16" s="7" t="s">
        <v>87</v>
      </c>
      <c r="M16" s="6" t="s">
        <v>50</v>
      </c>
      <c r="N16" s="9">
        <v>42552</v>
      </c>
      <c r="O16" s="9">
        <v>42705</v>
      </c>
      <c r="P16" s="6" t="s">
        <v>88</v>
      </c>
      <c r="Q16" s="6" t="s">
        <v>52</v>
      </c>
      <c r="R16" s="87">
        <v>0.04</v>
      </c>
      <c r="S16" s="88"/>
      <c r="T16" s="89"/>
      <c r="U16" s="89"/>
      <c r="V16" s="89"/>
      <c r="W16" s="89"/>
      <c r="X16" s="88"/>
      <c r="Y16" s="89">
        <v>0.2</v>
      </c>
      <c r="Z16" s="89">
        <v>0.2</v>
      </c>
      <c r="AA16" s="88">
        <v>0.2</v>
      </c>
      <c r="AB16" s="88">
        <v>0.2</v>
      </c>
      <c r="AC16" s="88">
        <v>0.2</v>
      </c>
      <c r="AD16" s="88"/>
      <c r="AE16" s="90" t="s">
        <v>513</v>
      </c>
      <c r="AF16" s="88"/>
      <c r="AG16" s="88">
        <f>20%+20%+20%</f>
        <v>0.60000000000000009</v>
      </c>
      <c r="AH16" s="7"/>
      <c r="AK16" s="99">
        <f t="shared" si="0"/>
        <v>1</v>
      </c>
      <c r="AL16" s="99">
        <f t="shared" si="1"/>
        <v>0.60000000000000009</v>
      </c>
    </row>
    <row r="17" spans="2:38" ht="90" x14ac:dyDescent="0.25">
      <c r="B17" s="6" t="s">
        <v>42</v>
      </c>
      <c r="C17" s="6" t="s">
        <v>43</v>
      </c>
      <c r="D17" s="6" t="s">
        <v>44</v>
      </c>
      <c r="E17" s="6" t="s">
        <v>45</v>
      </c>
      <c r="F17" s="6" t="s">
        <v>46</v>
      </c>
      <c r="G17" s="6"/>
      <c r="H17" s="6"/>
      <c r="I17" s="6"/>
      <c r="J17" s="6" t="s">
        <v>90</v>
      </c>
      <c r="K17" s="7" t="s">
        <v>91</v>
      </c>
      <c r="L17" s="7" t="s">
        <v>92</v>
      </c>
      <c r="M17" s="6" t="s">
        <v>50</v>
      </c>
      <c r="N17" s="9">
        <v>42552</v>
      </c>
      <c r="O17" s="9">
        <v>42767</v>
      </c>
      <c r="P17" s="6" t="s">
        <v>93</v>
      </c>
      <c r="Q17" s="6" t="s">
        <v>94</v>
      </c>
      <c r="R17" s="87">
        <v>0.03</v>
      </c>
      <c r="S17" s="88"/>
      <c r="T17" s="89"/>
      <c r="U17" s="89"/>
      <c r="V17" s="89"/>
      <c r="W17" s="89"/>
      <c r="X17" s="88">
        <v>0.14000000000000001</v>
      </c>
      <c r="Y17" s="89">
        <v>0.14000000000000001</v>
      </c>
      <c r="Z17" s="89">
        <v>0.14000000000000001</v>
      </c>
      <c r="AA17" s="88">
        <v>0.14000000000000001</v>
      </c>
      <c r="AB17" s="88">
        <v>0.14000000000000001</v>
      </c>
      <c r="AC17" s="88">
        <v>0.15</v>
      </c>
      <c r="AD17" s="88">
        <v>0.15</v>
      </c>
      <c r="AE17" s="90" t="s">
        <v>513</v>
      </c>
      <c r="AF17" s="88">
        <v>0.3</v>
      </c>
      <c r="AG17" s="88">
        <f>14%+14%+14%+14%+14%+30%</f>
        <v>1</v>
      </c>
      <c r="AH17" s="7" t="s">
        <v>565</v>
      </c>
      <c r="AK17" s="99">
        <f t="shared" si="0"/>
        <v>0.85000000000000009</v>
      </c>
      <c r="AL17" s="99">
        <f t="shared" si="1"/>
        <v>1</v>
      </c>
    </row>
    <row r="18" spans="2:38" ht="120" x14ac:dyDescent="0.25">
      <c r="B18" s="6" t="s">
        <v>42</v>
      </c>
      <c r="C18" s="6" t="s">
        <v>43</v>
      </c>
      <c r="D18" s="6" t="s">
        <v>44</v>
      </c>
      <c r="E18" s="6" t="s">
        <v>45</v>
      </c>
      <c r="F18" s="6" t="s">
        <v>96</v>
      </c>
      <c r="G18" s="6"/>
      <c r="H18" s="6"/>
      <c r="I18" s="6"/>
      <c r="J18" s="6" t="s">
        <v>97</v>
      </c>
      <c r="K18" s="7" t="s">
        <v>98</v>
      </c>
      <c r="L18" s="7" t="s">
        <v>99</v>
      </c>
      <c r="M18" s="6" t="s">
        <v>100</v>
      </c>
      <c r="N18" s="9">
        <v>42618</v>
      </c>
      <c r="O18" s="9">
        <v>42983</v>
      </c>
      <c r="P18" s="7" t="s">
        <v>101</v>
      </c>
      <c r="Q18" s="6" t="s">
        <v>102</v>
      </c>
      <c r="R18" s="87">
        <v>0.03</v>
      </c>
      <c r="S18" s="88"/>
      <c r="T18" s="89"/>
      <c r="U18" s="89"/>
      <c r="V18" s="89"/>
      <c r="W18" s="89"/>
      <c r="X18" s="88"/>
      <c r="Y18" s="89"/>
      <c r="Z18" s="89"/>
      <c r="AA18" s="88"/>
      <c r="AB18" s="88"/>
      <c r="AC18" s="88"/>
      <c r="AD18" s="88">
        <v>1</v>
      </c>
      <c r="AE18" s="90" t="s">
        <v>513</v>
      </c>
      <c r="AF18" s="88"/>
      <c r="AG18" s="88">
        <f>25%+25%</f>
        <v>0.5</v>
      </c>
      <c r="AH18" s="16" t="s">
        <v>521</v>
      </c>
      <c r="AK18" s="99">
        <f t="shared" si="0"/>
        <v>0</v>
      </c>
      <c r="AL18" s="99">
        <f t="shared" si="1"/>
        <v>0.5</v>
      </c>
    </row>
    <row r="19" spans="2:38" ht="141.75" customHeight="1" x14ac:dyDescent="0.25">
      <c r="B19" s="6" t="s">
        <v>42</v>
      </c>
      <c r="C19" s="6" t="s">
        <v>43</v>
      </c>
      <c r="D19" s="6" t="s">
        <v>44</v>
      </c>
      <c r="E19" s="6" t="s">
        <v>45</v>
      </c>
      <c r="F19" s="6" t="s">
        <v>96</v>
      </c>
      <c r="G19" s="6"/>
      <c r="H19" s="6"/>
      <c r="I19" s="6"/>
      <c r="J19" s="6" t="s">
        <v>104</v>
      </c>
      <c r="K19" s="7" t="s">
        <v>523</v>
      </c>
      <c r="L19" s="7" t="s">
        <v>106</v>
      </c>
      <c r="M19" s="6" t="s">
        <v>100</v>
      </c>
      <c r="N19" s="9">
        <v>42583</v>
      </c>
      <c r="O19" s="9">
        <v>42735</v>
      </c>
      <c r="P19" s="7" t="s">
        <v>101</v>
      </c>
      <c r="Q19" s="6" t="s">
        <v>107</v>
      </c>
      <c r="R19" s="87">
        <v>0.04</v>
      </c>
      <c r="S19" s="88"/>
      <c r="T19" s="89"/>
      <c r="U19" s="89"/>
      <c r="V19" s="89"/>
      <c r="W19" s="89"/>
      <c r="X19" s="88"/>
      <c r="Y19" s="89"/>
      <c r="Z19" s="89">
        <v>0.1</v>
      </c>
      <c r="AA19" s="88">
        <v>0.2</v>
      </c>
      <c r="AB19" s="88">
        <v>0.2</v>
      </c>
      <c r="AC19" s="88">
        <v>0.3</v>
      </c>
      <c r="AD19" s="88">
        <v>0.2</v>
      </c>
      <c r="AE19" s="90" t="s">
        <v>513</v>
      </c>
      <c r="AF19" s="88">
        <v>0.39</v>
      </c>
      <c r="AG19" s="88">
        <f>+'PAI-BMPT-Oct'!AG19+'PAI-BMPT-Nov'!AF19</f>
        <v>0.95000000000000007</v>
      </c>
      <c r="AH19" s="16" t="s">
        <v>522</v>
      </c>
      <c r="AK19" s="99">
        <f t="shared" si="0"/>
        <v>0.8</v>
      </c>
      <c r="AL19" s="99">
        <f t="shared" si="1"/>
        <v>0.95000000000000007</v>
      </c>
    </row>
    <row r="20" spans="2:38" ht="90" x14ac:dyDescent="0.25">
      <c r="B20" s="6" t="s">
        <v>42</v>
      </c>
      <c r="C20" s="6" t="s">
        <v>43</v>
      </c>
      <c r="D20" s="6" t="s">
        <v>44</v>
      </c>
      <c r="E20" s="6" t="s">
        <v>45</v>
      </c>
      <c r="F20" s="6" t="s">
        <v>96</v>
      </c>
      <c r="G20" s="6"/>
      <c r="H20" s="6"/>
      <c r="I20" s="6"/>
      <c r="J20" s="6" t="s">
        <v>108</v>
      </c>
      <c r="K20" s="7" t="s">
        <v>109</v>
      </c>
      <c r="L20" s="7" t="s">
        <v>110</v>
      </c>
      <c r="M20" s="6" t="s">
        <v>100</v>
      </c>
      <c r="N20" s="9">
        <v>42614</v>
      </c>
      <c r="O20" s="9">
        <v>42735</v>
      </c>
      <c r="P20" s="7" t="s">
        <v>111</v>
      </c>
      <c r="Q20" s="6" t="s">
        <v>52</v>
      </c>
      <c r="R20" s="87">
        <v>0.03</v>
      </c>
      <c r="S20" s="90"/>
      <c r="T20" s="91"/>
      <c r="U20" s="91"/>
      <c r="V20" s="91"/>
      <c r="W20" s="91"/>
      <c r="X20" s="90"/>
      <c r="Y20" s="91"/>
      <c r="Z20" s="89">
        <v>0.05</v>
      </c>
      <c r="AA20" s="88">
        <v>0.15</v>
      </c>
      <c r="AB20" s="88">
        <v>0.25</v>
      </c>
      <c r="AC20" s="88">
        <v>0.5</v>
      </c>
      <c r="AD20" s="88">
        <v>0.05</v>
      </c>
      <c r="AE20" s="90" t="s">
        <v>513</v>
      </c>
      <c r="AF20" s="88"/>
      <c r="AG20" s="88">
        <f>5%+5%+90%</f>
        <v>1</v>
      </c>
      <c r="AH20" s="7"/>
      <c r="AK20" s="99">
        <f t="shared" si="0"/>
        <v>0.95</v>
      </c>
      <c r="AL20" s="99">
        <f t="shared" si="1"/>
        <v>1</v>
      </c>
    </row>
    <row r="21" spans="2:38" ht="90" x14ac:dyDescent="0.25">
      <c r="B21" s="6" t="s">
        <v>42</v>
      </c>
      <c r="C21" s="6" t="s">
        <v>43</v>
      </c>
      <c r="D21" s="6" t="s">
        <v>44</v>
      </c>
      <c r="E21" s="6" t="s">
        <v>45</v>
      </c>
      <c r="F21" s="6" t="s">
        <v>113</v>
      </c>
      <c r="G21" s="6"/>
      <c r="H21" s="6"/>
      <c r="I21" s="6"/>
      <c r="J21" s="6" t="s">
        <v>114</v>
      </c>
      <c r="K21" s="7" t="s">
        <v>115</v>
      </c>
      <c r="L21" s="7" t="s">
        <v>116</v>
      </c>
      <c r="M21" s="6" t="s">
        <v>100</v>
      </c>
      <c r="N21" s="9">
        <v>42614</v>
      </c>
      <c r="O21" s="9">
        <v>42826</v>
      </c>
      <c r="P21" s="7"/>
      <c r="Q21" s="6"/>
      <c r="R21" s="87">
        <v>0.04</v>
      </c>
      <c r="S21" s="88"/>
      <c r="T21" s="89"/>
      <c r="U21" s="89"/>
      <c r="V21" s="89"/>
      <c r="W21" s="89"/>
      <c r="X21" s="88"/>
      <c r="Y21" s="89"/>
      <c r="Z21" s="89"/>
      <c r="AA21" s="88">
        <v>0.25</v>
      </c>
      <c r="AB21" s="88">
        <v>0.25</v>
      </c>
      <c r="AC21" s="88">
        <v>0.25</v>
      </c>
      <c r="AD21" s="88">
        <v>0.25</v>
      </c>
      <c r="AE21" s="90" t="s">
        <v>513</v>
      </c>
      <c r="AF21" s="88"/>
      <c r="AG21" s="88">
        <f>10%+5%</f>
        <v>0.15000000000000002</v>
      </c>
      <c r="AH21" s="7" t="s">
        <v>524</v>
      </c>
      <c r="AK21" s="99">
        <f t="shared" si="0"/>
        <v>0.75</v>
      </c>
      <c r="AL21" s="99">
        <f t="shared" si="1"/>
        <v>0.15000000000000002</v>
      </c>
    </row>
    <row r="22" spans="2:38" ht="150" x14ac:dyDescent="0.25">
      <c r="B22" s="6" t="s">
        <v>42</v>
      </c>
      <c r="C22" s="6" t="s">
        <v>43</v>
      </c>
      <c r="D22" s="6" t="s">
        <v>44</v>
      </c>
      <c r="E22" s="6" t="s">
        <v>45</v>
      </c>
      <c r="F22" s="6" t="s">
        <v>113</v>
      </c>
      <c r="G22" s="6"/>
      <c r="H22" s="6"/>
      <c r="I22" s="6"/>
      <c r="J22" s="6" t="s">
        <v>117</v>
      </c>
      <c r="K22" s="7" t="s">
        <v>118</v>
      </c>
      <c r="L22" s="7" t="s">
        <v>119</v>
      </c>
      <c r="M22" s="6" t="s">
        <v>100</v>
      </c>
      <c r="N22" s="9">
        <v>42614</v>
      </c>
      <c r="O22" s="9">
        <v>42735</v>
      </c>
      <c r="P22" s="7" t="s">
        <v>120</v>
      </c>
      <c r="Q22" s="6" t="s">
        <v>121</v>
      </c>
      <c r="R22" s="87">
        <v>0.04</v>
      </c>
      <c r="S22" s="88"/>
      <c r="T22" s="89"/>
      <c r="U22" s="89"/>
      <c r="V22" s="89"/>
      <c r="W22" s="89"/>
      <c r="X22" s="88"/>
      <c r="Y22" s="89"/>
      <c r="Z22" s="89"/>
      <c r="AA22" s="88">
        <v>0.25</v>
      </c>
      <c r="AB22" s="88">
        <v>0.25</v>
      </c>
      <c r="AC22" s="88">
        <v>0.25</v>
      </c>
      <c r="AD22" s="88">
        <v>0.25</v>
      </c>
      <c r="AE22" s="90" t="s">
        <v>513</v>
      </c>
      <c r="AF22" s="88">
        <v>0.25</v>
      </c>
      <c r="AG22" s="88">
        <f>25%+25%+25%</f>
        <v>0.75</v>
      </c>
      <c r="AH22" s="7" t="s">
        <v>525</v>
      </c>
      <c r="AK22" s="99">
        <f t="shared" si="0"/>
        <v>0.75</v>
      </c>
      <c r="AL22" s="99">
        <f t="shared" si="1"/>
        <v>0.75</v>
      </c>
    </row>
    <row r="23" spans="2:38" ht="90" x14ac:dyDescent="0.25">
      <c r="B23" s="6" t="s">
        <v>42</v>
      </c>
      <c r="C23" s="6" t="s">
        <v>43</v>
      </c>
      <c r="D23" s="6" t="s">
        <v>44</v>
      </c>
      <c r="E23" s="6" t="s">
        <v>45</v>
      </c>
      <c r="F23" s="6" t="s">
        <v>113</v>
      </c>
      <c r="G23" s="6"/>
      <c r="H23" s="6"/>
      <c r="I23" s="6"/>
      <c r="J23" s="6" t="s">
        <v>122</v>
      </c>
      <c r="K23" s="7" t="s">
        <v>123</v>
      </c>
      <c r="L23" s="7" t="s">
        <v>124</v>
      </c>
      <c r="M23" s="6" t="s">
        <v>100</v>
      </c>
      <c r="N23" s="9">
        <v>42583</v>
      </c>
      <c r="O23" s="9">
        <v>42735</v>
      </c>
      <c r="P23" s="7" t="s">
        <v>51</v>
      </c>
      <c r="Q23" s="6"/>
      <c r="R23" s="87">
        <v>0.03</v>
      </c>
      <c r="S23" s="88"/>
      <c r="T23" s="89"/>
      <c r="U23" s="89"/>
      <c r="V23" s="89"/>
      <c r="W23" s="89"/>
      <c r="X23" s="88"/>
      <c r="Y23" s="89"/>
      <c r="Z23" s="89">
        <v>0.2</v>
      </c>
      <c r="AA23" s="88">
        <v>0.2</v>
      </c>
      <c r="AB23" s="88">
        <v>0.2</v>
      </c>
      <c r="AC23" s="88">
        <v>0.2</v>
      </c>
      <c r="AD23" s="88">
        <v>0.2</v>
      </c>
      <c r="AE23" s="90" t="s">
        <v>513</v>
      </c>
      <c r="AF23" s="88"/>
      <c r="AG23" s="88">
        <f>20%+20%+20%</f>
        <v>0.60000000000000009</v>
      </c>
      <c r="AH23" s="16" t="s">
        <v>526</v>
      </c>
      <c r="AK23" s="99">
        <f t="shared" si="0"/>
        <v>0.8</v>
      </c>
      <c r="AL23" s="99">
        <f t="shared" si="1"/>
        <v>0.60000000000000009</v>
      </c>
    </row>
    <row r="24" spans="2:38" ht="258.75" customHeight="1" x14ac:dyDescent="0.25">
      <c r="B24" s="6" t="s">
        <v>42</v>
      </c>
      <c r="C24" s="6" t="s">
        <v>43</v>
      </c>
      <c r="D24" s="6" t="s">
        <v>44</v>
      </c>
      <c r="E24" s="6" t="s">
        <v>45</v>
      </c>
      <c r="F24" s="6" t="s">
        <v>113</v>
      </c>
      <c r="G24" s="6"/>
      <c r="H24" s="6"/>
      <c r="I24" s="6"/>
      <c r="J24" s="6" t="s">
        <v>126</v>
      </c>
      <c r="K24" s="7" t="s">
        <v>127</v>
      </c>
      <c r="L24" s="7" t="s">
        <v>128</v>
      </c>
      <c r="M24" s="6" t="s">
        <v>100</v>
      </c>
      <c r="N24" s="9">
        <v>42614</v>
      </c>
      <c r="O24" s="9">
        <v>42767</v>
      </c>
      <c r="P24" s="7" t="s">
        <v>129</v>
      </c>
      <c r="Q24" s="6" t="s">
        <v>130</v>
      </c>
      <c r="R24" s="87">
        <v>0.04</v>
      </c>
      <c r="S24" s="88"/>
      <c r="T24" s="89"/>
      <c r="U24" s="89"/>
      <c r="V24" s="89"/>
      <c r="W24" s="89"/>
      <c r="X24" s="88"/>
      <c r="Y24" s="89"/>
      <c r="Z24" s="89"/>
      <c r="AA24" s="88">
        <v>0.25</v>
      </c>
      <c r="AB24" s="88">
        <v>0.25</v>
      </c>
      <c r="AC24" s="88">
        <v>0.25</v>
      </c>
      <c r="AD24" s="88">
        <v>0.25</v>
      </c>
      <c r="AE24" s="90" t="s">
        <v>513</v>
      </c>
      <c r="AF24" s="88">
        <v>0.25</v>
      </c>
      <c r="AG24" s="88">
        <f>25%+25%+25%</f>
        <v>0.75</v>
      </c>
      <c r="AH24" s="7" t="s">
        <v>527</v>
      </c>
      <c r="AK24" s="99">
        <f t="shared" si="0"/>
        <v>0.75</v>
      </c>
      <c r="AL24" s="99">
        <f t="shared" si="1"/>
        <v>0.75</v>
      </c>
    </row>
    <row r="25" spans="2:38" ht="360" x14ac:dyDescent="0.25">
      <c r="B25" s="6" t="s">
        <v>42</v>
      </c>
      <c r="C25" s="6" t="s">
        <v>43</v>
      </c>
      <c r="D25" s="6" t="s">
        <v>44</v>
      </c>
      <c r="E25" s="6" t="s">
        <v>45</v>
      </c>
      <c r="F25" s="6" t="s">
        <v>113</v>
      </c>
      <c r="G25" s="6"/>
      <c r="H25" s="6"/>
      <c r="I25" s="6"/>
      <c r="J25" s="6" t="s">
        <v>131</v>
      </c>
      <c r="K25" s="7" t="s">
        <v>132</v>
      </c>
      <c r="L25" s="7" t="s">
        <v>133</v>
      </c>
      <c r="M25" s="6" t="s">
        <v>100</v>
      </c>
      <c r="N25" s="9">
        <v>42614</v>
      </c>
      <c r="O25" s="9">
        <v>42735</v>
      </c>
      <c r="P25" s="7" t="s">
        <v>111</v>
      </c>
      <c r="Q25" s="6" t="s">
        <v>134</v>
      </c>
      <c r="R25" s="87">
        <v>0.03</v>
      </c>
      <c r="S25" s="88"/>
      <c r="T25" s="89"/>
      <c r="U25" s="89"/>
      <c r="V25" s="89"/>
      <c r="W25" s="89"/>
      <c r="X25" s="88"/>
      <c r="Y25" s="89"/>
      <c r="Z25" s="89"/>
      <c r="AA25" s="88"/>
      <c r="AB25" s="88">
        <v>0.3</v>
      </c>
      <c r="AC25" s="88">
        <v>0.6</v>
      </c>
      <c r="AD25" s="88">
        <v>0.1</v>
      </c>
      <c r="AE25" s="90" t="s">
        <v>513</v>
      </c>
      <c r="AF25" s="88">
        <v>0.6</v>
      </c>
      <c r="AG25" s="88">
        <f>10%+20%+60%</f>
        <v>0.9</v>
      </c>
      <c r="AH25" s="7" t="s">
        <v>528</v>
      </c>
      <c r="AK25" s="99">
        <f t="shared" si="0"/>
        <v>0.89999999999999991</v>
      </c>
      <c r="AL25" s="99">
        <f t="shared" si="1"/>
        <v>0.9</v>
      </c>
    </row>
    <row r="26" spans="2:38" ht="185.25" customHeight="1" x14ac:dyDescent="0.25">
      <c r="B26" s="6" t="s">
        <v>42</v>
      </c>
      <c r="C26" s="6" t="s">
        <v>43</v>
      </c>
      <c r="D26" s="6" t="s">
        <v>44</v>
      </c>
      <c r="E26" s="6" t="s">
        <v>45</v>
      </c>
      <c r="F26" s="6" t="s">
        <v>113</v>
      </c>
      <c r="G26" s="6"/>
      <c r="H26" s="6"/>
      <c r="I26" s="6"/>
      <c r="J26" s="6" t="s">
        <v>135</v>
      </c>
      <c r="K26" s="7" t="s">
        <v>136</v>
      </c>
      <c r="L26" s="7" t="s">
        <v>137</v>
      </c>
      <c r="M26" s="6" t="s">
        <v>100</v>
      </c>
      <c r="N26" s="9">
        <v>42597</v>
      </c>
      <c r="O26" s="9">
        <v>42809</v>
      </c>
      <c r="P26" s="7" t="s">
        <v>138</v>
      </c>
      <c r="Q26" s="6" t="s">
        <v>139</v>
      </c>
      <c r="R26" s="87">
        <v>0.03</v>
      </c>
      <c r="S26" s="88"/>
      <c r="T26" s="89"/>
      <c r="U26" s="89"/>
      <c r="V26" s="89"/>
      <c r="W26" s="89"/>
      <c r="X26" s="88"/>
      <c r="Y26" s="89"/>
      <c r="Z26" s="89">
        <v>0.2</v>
      </c>
      <c r="AA26" s="88">
        <v>0.2</v>
      </c>
      <c r="AB26" s="88">
        <v>0.2</v>
      </c>
      <c r="AC26" s="88">
        <v>0.2</v>
      </c>
      <c r="AD26" s="88">
        <v>0.2</v>
      </c>
      <c r="AE26" s="90" t="s">
        <v>513</v>
      </c>
      <c r="AF26" s="88"/>
      <c r="AG26" s="88">
        <f>7%+10%</f>
        <v>0.17</v>
      </c>
      <c r="AH26" s="16" t="s">
        <v>524</v>
      </c>
      <c r="AK26" s="99">
        <f t="shared" si="0"/>
        <v>0.8</v>
      </c>
      <c r="AL26" s="99">
        <f t="shared" si="1"/>
        <v>0.17</v>
      </c>
    </row>
    <row r="27" spans="2:38" ht="195" x14ac:dyDescent="0.25">
      <c r="B27" s="6" t="s">
        <v>42</v>
      </c>
      <c r="C27" s="6" t="s">
        <v>43</v>
      </c>
      <c r="D27" s="6" t="s">
        <v>44</v>
      </c>
      <c r="E27" s="6" t="s">
        <v>45</v>
      </c>
      <c r="F27" s="6" t="s">
        <v>113</v>
      </c>
      <c r="G27" s="6"/>
      <c r="H27" s="6"/>
      <c r="I27" s="6"/>
      <c r="J27" s="6" t="s">
        <v>141</v>
      </c>
      <c r="K27" s="7" t="s">
        <v>142</v>
      </c>
      <c r="L27" s="7" t="s">
        <v>143</v>
      </c>
      <c r="M27" s="6" t="s">
        <v>100</v>
      </c>
      <c r="N27" s="9">
        <v>42614</v>
      </c>
      <c r="O27" s="9">
        <v>42704</v>
      </c>
      <c r="P27" s="7" t="s">
        <v>144</v>
      </c>
      <c r="Q27" s="6" t="s">
        <v>145</v>
      </c>
      <c r="R27" s="87">
        <v>0.03</v>
      </c>
      <c r="S27" s="88"/>
      <c r="T27" s="89"/>
      <c r="U27" s="89"/>
      <c r="V27" s="89"/>
      <c r="W27" s="89"/>
      <c r="X27" s="88"/>
      <c r="Y27" s="89"/>
      <c r="Z27" s="89"/>
      <c r="AA27" s="88">
        <v>0.33</v>
      </c>
      <c r="AB27" s="88">
        <v>0.34</v>
      </c>
      <c r="AC27" s="88">
        <v>0.33</v>
      </c>
      <c r="AD27" s="88"/>
      <c r="AE27" s="90" t="s">
        <v>513</v>
      </c>
      <c r="AF27" s="88">
        <v>0.33</v>
      </c>
      <c r="AG27" s="88">
        <f>33%+34%+33%</f>
        <v>1</v>
      </c>
      <c r="AH27" s="7" t="s">
        <v>529</v>
      </c>
      <c r="AK27" s="99">
        <f t="shared" si="0"/>
        <v>1</v>
      </c>
      <c r="AL27" s="99">
        <f t="shared" si="1"/>
        <v>1</v>
      </c>
    </row>
    <row r="28" spans="2:38" ht="195" x14ac:dyDescent="0.25">
      <c r="B28" s="6" t="s">
        <v>42</v>
      </c>
      <c r="C28" s="6" t="s">
        <v>43</v>
      </c>
      <c r="D28" s="6" t="s">
        <v>44</v>
      </c>
      <c r="E28" s="6" t="s">
        <v>45</v>
      </c>
      <c r="F28" s="6" t="s">
        <v>113</v>
      </c>
      <c r="G28" s="6"/>
      <c r="H28" s="6"/>
      <c r="I28" s="6"/>
      <c r="J28" s="6" t="s">
        <v>146</v>
      </c>
      <c r="K28" s="7" t="s">
        <v>147</v>
      </c>
      <c r="L28" s="7" t="s">
        <v>148</v>
      </c>
      <c r="M28" s="6" t="s">
        <v>100</v>
      </c>
      <c r="N28" s="9">
        <v>42614</v>
      </c>
      <c r="O28" s="9">
        <v>42735</v>
      </c>
      <c r="P28" s="7" t="s">
        <v>144</v>
      </c>
      <c r="Q28" s="6" t="s">
        <v>149</v>
      </c>
      <c r="R28" s="87">
        <v>0.03</v>
      </c>
      <c r="S28" s="88"/>
      <c r="T28" s="89"/>
      <c r="U28" s="89"/>
      <c r="V28" s="89"/>
      <c r="W28" s="89"/>
      <c r="X28" s="88"/>
      <c r="Y28" s="89"/>
      <c r="Z28" s="89"/>
      <c r="AA28" s="88">
        <v>0.25</v>
      </c>
      <c r="AB28" s="88">
        <v>0.25</v>
      </c>
      <c r="AC28" s="88">
        <v>0.25</v>
      </c>
      <c r="AD28" s="88">
        <v>0.25</v>
      </c>
      <c r="AE28" s="90" t="s">
        <v>513</v>
      </c>
      <c r="AF28" s="88">
        <v>0.05</v>
      </c>
      <c r="AG28" s="88">
        <f>7%+20%+5%+5%</f>
        <v>0.37</v>
      </c>
      <c r="AH28" s="16" t="s">
        <v>530</v>
      </c>
      <c r="AK28" s="99">
        <f t="shared" si="0"/>
        <v>0.75</v>
      </c>
      <c r="AL28" s="99">
        <f t="shared" si="1"/>
        <v>0.37</v>
      </c>
    </row>
    <row r="29" spans="2:38" ht="165" x14ac:dyDescent="0.25">
      <c r="B29" s="6" t="s">
        <v>42</v>
      </c>
      <c r="C29" s="6" t="s">
        <v>43</v>
      </c>
      <c r="D29" s="6" t="s">
        <v>44</v>
      </c>
      <c r="E29" s="6" t="s">
        <v>45</v>
      </c>
      <c r="F29" s="6" t="s">
        <v>96</v>
      </c>
      <c r="G29" s="6"/>
      <c r="H29" s="6"/>
      <c r="I29" s="6"/>
      <c r="J29" s="6" t="s">
        <v>151</v>
      </c>
      <c r="K29" s="7" t="s">
        <v>152</v>
      </c>
      <c r="L29" s="7" t="s">
        <v>153</v>
      </c>
      <c r="M29" s="6" t="s">
        <v>100</v>
      </c>
      <c r="N29" s="9">
        <v>42628</v>
      </c>
      <c r="O29" s="9">
        <v>42689</v>
      </c>
      <c r="P29" s="7" t="s">
        <v>154</v>
      </c>
      <c r="Q29" s="6" t="s">
        <v>155</v>
      </c>
      <c r="R29" s="87">
        <v>0.03</v>
      </c>
      <c r="S29" s="88"/>
      <c r="T29" s="89"/>
      <c r="U29" s="89"/>
      <c r="V29" s="89"/>
      <c r="W29" s="89"/>
      <c r="X29" s="88"/>
      <c r="Y29" s="89"/>
      <c r="Z29" s="89"/>
      <c r="AA29" s="88">
        <v>0.33</v>
      </c>
      <c r="AB29" s="88">
        <v>0.34</v>
      </c>
      <c r="AC29" s="88">
        <v>0.33</v>
      </c>
      <c r="AD29" s="88"/>
      <c r="AE29" s="90" t="s">
        <v>513</v>
      </c>
      <c r="AF29" s="88">
        <v>1</v>
      </c>
      <c r="AG29" s="88">
        <v>1</v>
      </c>
      <c r="AH29" s="7" t="s">
        <v>564</v>
      </c>
      <c r="AK29" s="99">
        <f t="shared" si="0"/>
        <v>1</v>
      </c>
      <c r="AL29" s="99">
        <f t="shared" si="1"/>
        <v>1</v>
      </c>
    </row>
    <row r="30" spans="2:38" ht="120" x14ac:dyDescent="0.25">
      <c r="B30" s="6" t="s">
        <v>42</v>
      </c>
      <c r="C30" s="6" t="s">
        <v>43</v>
      </c>
      <c r="D30" s="6" t="s">
        <v>44</v>
      </c>
      <c r="E30" s="6" t="s">
        <v>45</v>
      </c>
      <c r="F30" s="6" t="s">
        <v>150</v>
      </c>
      <c r="G30" s="6"/>
      <c r="H30" s="6"/>
      <c r="I30" s="6"/>
      <c r="J30" s="6" t="s">
        <v>156</v>
      </c>
      <c r="K30" s="7" t="s">
        <v>157</v>
      </c>
      <c r="L30" s="7" t="s">
        <v>158</v>
      </c>
      <c r="M30" s="6" t="s">
        <v>100</v>
      </c>
      <c r="N30" s="9">
        <v>42614</v>
      </c>
      <c r="O30" s="9">
        <v>42735</v>
      </c>
      <c r="P30" s="7" t="s">
        <v>159</v>
      </c>
      <c r="Q30" s="6" t="s">
        <v>160</v>
      </c>
      <c r="R30" s="87">
        <v>0.03</v>
      </c>
      <c r="S30" s="88"/>
      <c r="T30" s="89"/>
      <c r="U30" s="89"/>
      <c r="V30" s="89"/>
      <c r="W30" s="89"/>
      <c r="X30" s="88"/>
      <c r="Y30" s="89"/>
      <c r="Z30" s="89"/>
      <c r="AA30" s="88">
        <v>0.25</v>
      </c>
      <c r="AB30" s="88">
        <v>0.25</v>
      </c>
      <c r="AC30" s="88">
        <v>0.25</v>
      </c>
      <c r="AD30" s="88">
        <v>0.25</v>
      </c>
      <c r="AE30" s="90" t="s">
        <v>513</v>
      </c>
      <c r="AF30" s="88">
        <v>0.2</v>
      </c>
      <c r="AG30" s="88">
        <f>10%+20%</f>
        <v>0.30000000000000004</v>
      </c>
      <c r="AH30" s="7" t="s">
        <v>531</v>
      </c>
      <c r="AK30" s="99">
        <f t="shared" si="0"/>
        <v>0.75</v>
      </c>
      <c r="AL30" s="99">
        <f t="shared" si="1"/>
        <v>0.30000000000000004</v>
      </c>
    </row>
    <row r="31" spans="2:38" ht="90" x14ac:dyDescent="0.25">
      <c r="B31" s="6" t="s">
        <v>42</v>
      </c>
      <c r="C31" s="6" t="s">
        <v>43</v>
      </c>
      <c r="D31" s="6" t="s">
        <v>44</v>
      </c>
      <c r="E31" s="6" t="s">
        <v>45</v>
      </c>
      <c r="F31" s="6" t="s">
        <v>161</v>
      </c>
      <c r="G31" s="6"/>
      <c r="H31" s="6"/>
      <c r="I31" s="6"/>
      <c r="J31" s="6" t="s">
        <v>162</v>
      </c>
      <c r="K31" s="7" t="s">
        <v>163</v>
      </c>
      <c r="L31" s="7" t="s">
        <v>164</v>
      </c>
      <c r="M31" s="6" t="s">
        <v>60</v>
      </c>
      <c r="N31" s="9">
        <v>42644</v>
      </c>
      <c r="O31" s="9">
        <v>42887</v>
      </c>
      <c r="P31" s="7" t="s">
        <v>138</v>
      </c>
      <c r="Q31" s="7" t="s">
        <v>165</v>
      </c>
      <c r="R31" s="87">
        <v>0.04</v>
      </c>
      <c r="S31" s="88"/>
      <c r="T31" s="89"/>
      <c r="U31" s="89"/>
      <c r="V31" s="89"/>
      <c r="W31" s="89"/>
      <c r="X31" s="88"/>
      <c r="Y31" s="89"/>
      <c r="Z31" s="89"/>
      <c r="AA31" s="88"/>
      <c r="AB31" s="88">
        <v>1</v>
      </c>
      <c r="AC31" s="88"/>
      <c r="AD31" s="88"/>
      <c r="AE31" s="90" t="s">
        <v>513</v>
      </c>
      <c r="AF31" s="88"/>
      <c r="AG31" s="88"/>
      <c r="AH31" s="7" t="s">
        <v>535</v>
      </c>
      <c r="AK31" s="99">
        <f t="shared" si="0"/>
        <v>1</v>
      </c>
      <c r="AL31" s="99">
        <f t="shared" si="1"/>
        <v>0</v>
      </c>
    </row>
    <row r="32" spans="2:38" ht="180" x14ac:dyDescent="0.25">
      <c r="B32" s="6" t="s">
        <v>42</v>
      </c>
      <c r="C32" s="6" t="s">
        <v>43</v>
      </c>
      <c r="D32" s="6" t="s">
        <v>44</v>
      </c>
      <c r="E32" s="6" t="s">
        <v>45</v>
      </c>
      <c r="F32" s="6" t="s">
        <v>161</v>
      </c>
      <c r="G32" s="6"/>
      <c r="H32" s="6"/>
      <c r="I32" s="6"/>
      <c r="J32" s="6" t="s">
        <v>166</v>
      </c>
      <c r="K32" s="7" t="s">
        <v>167</v>
      </c>
      <c r="L32" s="7" t="s">
        <v>168</v>
      </c>
      <c r="M32" s="6" t="s">
        <v>60</v>
      </c>
      <c r="N32" s="9">
        <v>42614</v>
      </c>
      <c r="O32" s="9">
        <v>42979</v>
      </c>
      <c r="P32" s="7" t="s">
        <v>138</v>
      </c>
      <c r="Q32" s="7" t="s">
        <v>169</v>
      </c>
      <c r="R32" s="87">
        <v>0.03</v>
      </c>
      <c r="S32" s="88"/>
      <c r="T32" s="89"/>
      <c r="U32" s="89"/>
      <c r="V32" s="89"/>
      <c r="W32" s="89"/>
      <c r="X32" s="88"/>
      <c r="Y32" s="89"/>
      <c r="Z32" s="89"/>
      <c r="AA32" s="88">
        <v>0.14000000000000001</v>
      </c>
      <c r="AB32" s="88">
        <v>0.28999999999999998</v>
      </c>
      <c r="AC32" s="88">
        <v>0.56999999999999995</v>
      </c>
      <c r="AD32" s="88"/>
      <c r="AE32" s="90" t="s">
        <v>513</v>
      </c>
      <c r="AF32" s="88"/>
      <c r="AG32" s="88"/>
      <c r="AH32" s="7" t="s">
        <v>536</v>
      </c>
      <c r="AK32" s="99">
        <f t="shared" si="0"/>
        <v>1</v>
      </c>
      <c r="AL32" s="99">
        <f t="shared" si="1"/>
        <v>0</v>
      </c>
    </row>
    <row r="33" spans="2:38" ht="90" x14ac:dyDescent="0.25">
      <c r="B33" s="6" t="s">
        <v>42</v>
      </c>
      <c r="C33" s="6" t="s">
        <v>43</v>
      </c>
      <c r="D33" s="6" t="s">
        <v>44</v>
      </c>
      <c r="E33" s="6" t="s">
        <v>45</v>
      </c>
      <c r="F33" s="6" t="s">
        <v>161</v>
      </c>
      <c r="G33" s="6"/>
      <c r="H33" s="6"/>
      <c r="I33" s="6"/>
      <c r="J33" s="6" t="s">
        <v>170</v>
      </c>
      <c r="K33" s="7" t="s">
        <v>171</v>
      </c>
      <c r="L33" s="7" t="s">
        <v>172</v>
      </c>
      <c r="M33" s="6" t="s">
        <v>60</v>
      </c>
      <c r="N33" s="9">
        <v>42644</v>
      </c>
      <c r="O33" s="9">
        <v>42948</v>
      </c>
      <c r="P33" s="7" t="s">
        <v>138</v>
      </c>
      <c r="Q33" s="7" t="s">
        <v>165</v>
      </c>
      <c r="R33" s="87">
        <v>0.03</v>
      </c>
      <c r="S33" s="88"/>
      <c r="T33" s="89"/>
      <c r="U33" s="89"/>
      <c r="V33" s="89"/>
      <c r="W33" s="89"/>
      <c r="X33" s="88"/>
      <c r="Y33" s="89"/>
      <c r="Z33" s="89"/>
      <c r="AA33" s="88"/>
      <c r="AB33" s="88">
        <v>1</v>
      </c>
      <c r="AC33" s="88"/>
      <c r="AD33" s="88"/>
      <c r="AE33" s="90" t="s">
        <v>513</v>
      </c>
      <c r="AF33" s="88"/>
      <c r="AG33" s="88">
        <v>1</v>
      </c>
      <c r="AH33" s="7" t="s">
        <v>488</v>
      </c>
      <c r="AK33" s="99">
        <f t="shared" si="0"/>
        <v>1</v>
      </c>
      <c r="AL33" s="99">
        <f t="shared" si="1"/>
        <v>1</v>
      </c>
    </row>
    <row r="34" spans="2:38" ht="168.75" customHeight="1" x14ac:dyDescent="0.25">
      <c r="B34" s="6" t="s">
        <v>42</v>
      </c>
      <c r="C34" s="6" t="s">
        <v>43</v>
      </c>
      <c r="D34" s="6" t="s">
        <v>44</v>
      </c>
      <c r="E34" s="6" t="s">
        <v>45</v>
      </c>
      <c r="F34" s="6" t="s">
        <v>161</v>
      </c>
      <c r="G34" s="6"/>
      <c r="H34" s="6"/>
      <c r="I34" s="6"/>
      <c r="J34" s="6" t="s">
        <v>173</v>
      </c>
      <c r="K34" s="7" t="s">
        <v>174</v>
      </c>
      <c r="L34" s="7" t="s">
        <v>175</v>
      </c>
      <c r="M34" s="6" t="s">
        <v>60</v>
      </c>
      <c r="N34" s="9">
        <v>42583</v>
      </c>
      <c r="O34" s="9">
        <v>42735</v>
      </c>
      <c r="P34" s="7" t="s">
        <v>138</v>
      </c>
      <c r="Q34" s="7" t="s">
        <v>176</v>
      </c>
      <c r="R34" s="87">
        <v>0.04</v>
      </c>
      <c r="S34" s="88"/>
      <c r="T34" s="89"/>
      <c r="U34" s="89"/>
      <c r="V34" s="89"/>
      <c r="W34" s="89"/>
      <c r="X34" s="88"/>
      <c r="Y34" s="89"/>
      <c r="Z34" s="89">
        <v>1</v>
      </c>
      <c r="AA34" s="88"/>
      <c r="AB34" s="88"/>
      <c r="AC34" s="88"/>
      <c r="AD34" s="88"/>
      <c r="AE34" s="90" t="s">
        <v>513</v>
      </c>
      <c r="AF34" s="88">
        <v>0.25</v>
      </c>
      <c r="AG34" s="88">
        <f>25%+25%+25%</f>
        <v>0.75</v>
      </c>
      <c r="AH34" s="16" t="s">
        <v>537</v>
      </c>
      <c r="AK34" s="99">
        <f t="shared" si="0"/>
        <v>1</v>
      </c>
      <c r="AL34" s="99">
        <f t="shared" si="1"/>
        <v>0.75</v>
      </c>
    </row>
    <row r="35" spans="2:38" ht="90" x14ac:dyDescent="0.25">
      <c r="B35" s="6" t="s">
        <v>42</v>
      </c>
      <c r="C35" s="6" t="s">
        <v>43</v>
      </c>
      <c r="D35" s="6" t="s">
        <v>44</v>
      </c>
      <c r="E35" s="6" t="s">
        <v>45</v>
      </c>
      <c r="F35" s="6" t="s">
        <v>161</v>
      </c>
      <c r="G35" s="6"/>
      <c r="H35" s="6"/>
      <c r="I35" s="6"/>
      <c r="J35" s="6" t="s">
        <v>173</v>
      </c>
      <c r="K35" s="7" t="s">
        <v>178</v>
      </c>
      <c r="L35" s="7" t="s">
        <v>175</v>
      </c>
      <c r="M35" s="6" t="s">
        <v>60</v>
      </c>
      <c r="N35" s="9">
        <v>42658</v>
      </c>
      <c r="O35" s="9">
        <v>42901</v>
      </c>
      <c r="P35" s="7" t="s">
        <v>138</v>
      </c>
      <c r="Q35" s="7" t="s">
        <v>179</v>
      </c>
      <c r="R35" s="87">
        <v>0.04</v>
      </c>
      <c r="S35" s="88"/>
      <c r="T35" s="89"/>
      <c r="U35" s="89"/>
      <c r="V35" s="89"/>
      <c r="W35" s="89"/>
      <c r="X35" s="88"/>
      <c r="Y35" s="89"/>
      <c r="Z35" s="89"/>
      <c r="AA35" s="88"/>
      <c r="AB35" s="88">
        <v>1</v>
      </c>
      <c r="AC35" s="88"/>
      <c r="AD35" s="88"/>
      <c r="AE35" s="90" t="s">
        <v>513</v>
      </c>
      <c r="AF35" s="88"/>
      <c r="AG35" s="88"/>
      <c r="AH35" s="7" t="s">
        <v>538</v>
      </c>
      <c r="AK35" s="99">
        <f t="shared" si="0"/>
        <v>1</v>
      </c>
      <c r="AL35" s="99">
        <f t="shared" si="1"/>
        <v>0</v>
      </c>
    </row>
    <row r="36" spans="2:38" ht="105" x14ac:dyDescent="0.25">
      <c r="B36" s="6" t="s">
        <v>42</v>
      </c>
      <c r="C36" s="6" t="s">
        <v>43</v>
      </c>
      <c r="D36" s="6" t="s">
        <v>44</v>
      </c>
      <c r="E36" s="6" t="s">
        <v>45</v>
      </c>
      <c r="F36" s="6" t="s">
        <v>161</v>
      </c>
      <c r="G36" s="6"/>
      <c r="H36" s="6"/>
      <c r="I36" s="6"/>
      <c r="J36" s="6" t="s">
        <v>181</v>
      </c>
      <c r="K36" s="7" t="s">
        <v>182</v>
      </c>
      <c r="L36" s="7" t="s">
        <v>183</v>
      </c>
      <c r="M36" s="6" t="s">
        <v>60</v>
      </c>
      <c r="N36" s="9">
        <v>42522</v>
      </c>
      <c r="O36" s="9">
        <v>42705</v>
      </c>
      <c r="P36" s="7" t="s">
        <v>184</v>
      </c>
      <c r="Q36" s="7" t="s">
        <v>185</v>
      </c>
      <c r="R36" s="87">
        <v>0.03</v>
      </c>
      <c r="S36" s="88"/>
      <c r="T36" s="89"/>
      <c r="U36" s="89"/>
      <c r="V36" s="89"/>
      <c r="W36" s="89"/>
      <c r="X36" s="88"/>
      <c r="Y36" s="89"/>
      <c r="Z36" s="89"/>
      <c r="AA36" s="88"/>
      <c r="AB36" s="88"/>
      <c r="AC36" s="88"/>
      <c r="AD36" s="88">
        <v>1</v>
      </c>
      <c r="AE36" s="90" t="s">
        <v>513</v>
      </c>
      <c r="AF36" s="88"/>
      <c r="AG36" s="88"/>
      <c r="AH36" s="7"/>
      <c r="AK36" s="99">
        <f t="shared" si="0"/>
        <v>0</v>
      </c>
      <c r="AL36" s="99">
        <f t="shared" si="1"/>
        <v>0</v>
      </c>
    </row>
    <row r="37" spans="2:38" ht="120" x14ac:dyDescent="0.25">
      <c r="B37" s="6" t="s">
        <v>42</v>
      </c>
      <c r="C37" s="6" t="s">
        <v>186</v>
      </c>
      <c r="D37" s="6" t="s">
        <v>44</v>
      </c>
      <c r="E37" s="6" t="s">
        <v>187</v>
      </c>
      <c r="F37" s="6" t="s">
        <v>188</v>
      </c>
      <c r="G37" s="6"/>
      <c r="H37" s="6"/>
      <c r="I37" s="6"/>
      <c r="J37" s="6" t="s">
        <v>189</v>
      </c>
      <c r="K37" s="7" t="s">
        <v>190</v>
      </c>
      <c r="L37" s="7" t="s">
        <v>191</v>
      </c>
      <c r="M37" s="6" t="s">
        <v>192</v>
      </c>
      <c r="N37" s="9">
        <v>42552</v>
      </c>
      <c r="O37" s="9">
        <v>42735</v>
      </c>
      <c r="P37" s="7" t="s">
        <v>51</v>
      </c>
      <c r="Q37" s="7" t="s">
        <v>193</v>
      </c>
      <c r="R37" s="87">
        <v>0.2</v>
      </c>
      <c r="S37" s="88"/>
      <c r="T37" s="89"/>
      <c r="U37" s="89"/>
      <c r="V37" s="89"/>
      <c r="W37" s="89"/>
      <c r="X37" s="88"/>
      <c r="Y37" s="89">
        <v>0.16</v>
      </c>
      <c r="Z37" s="89">
        <v>0.16</v>
      </c>
      <c r="AA37" s="88">
        <v>0.17</v>
      </c>
      <c r="AB37" s="87">
        <v>0.17</v>
      </c>
      <c r="AC37" s="87">
        <v>0.17</v>
      </c>
      <c r="AD37" s="88">
        <v>0.17</v>
      </c>
      <c r="AE37" s="90" t="s">
        <v>513</v>
      </c>
      <c r="AF37" s="88">
        <v>0.17</v>
      </c>
      <c r="AG37" s="88">
        <f>50%+17%</f>
        <v>0.67</v>
      </c>
      <c r="AH37" s="7" t="s">
        <v>532</v>
      </c>
      <c r="AK37" s="99">
        <f t="shared" si="0"/>
        <v>0.83000000000000007</v>
      </c>
      <c r="AL37" s="99">
        <f t="shared" si="1"/>
        <v>0.67</v>
      </c>
    </row>
    <row r="38" spans="2:38" ht="159.75" customHeight="1" x14ac:dyDescent="0.25">
      <c r="B38" s="6" t="s">
        <v>42</v>
      </c>
      <c r="C38" s="6" t="s">
        <v>186</v>
      </c>
      <c r="D38" s="6" t="s">
        <v>44</v>
      </c>
      <c r="E38" s="6" t="s">
        <v>187</v>
      </c>
      <c r="F38" s="6" t="s">
        <v>188</v>
      </c>
      <c r="G38" s="6"/>
      <c r="H38" s="6"/>
      <c r="I38" s="6"/>
      <c r="J38" s="6" t="s">
        <v>195</v>
      </c>
      <c r="K38" s="7" t="s">
        <v>196</v>
      </c>
      <c r="L38" s="7" t="s">
        <v>197</v>
      </c>
      <c r="M38" s="6" t="s">
        <v>192</v>
      </c>
      <c r="N38" s="9">
        <v>42552</v>
      </c>
      <c r="O38" s="9">
        <v>42735</v>
      </c>
      <c r="P38" s="7" t="s">
        <v>51</v>
      </c>
      <c r="Q38" s="7" t="s">
        <v>198</v>
      </c>
      <c r="R38" s="87">
        <v>0.2</v>
      </c>
      <c r="S38" s="88"/>
      <c r="T38" s="89"/>
      <c r="U38" s="89"/>
      <c r="V38" s="89"/>
      <c r="W38" s="89"/>
      <c r="X38" s="88"/>
      <c r="Y38" s="89">
        <v>0.16</v>
      </c>
      <c r="Z38" s="89">
        <v>0.16</v>
      </c>
      <c r="AA38" s="88">
        <v>0.17</v>
      </c>
      <c r="AB38" s="87">
        <v>0.17</v>
      </c>
      <c r="AC38" s="87">
        <v>0.17</v>
      </c>
      <c r="AD38" s="88">
        <v>0.17</v>
      </c>
      <c r="AE38" s="90" t="s">
        <v>513</v>
      </c>
      <c r="AF38" s="88">
        <v>0.17</v>
      </c>
      <c r="AG38" s="88">
        <f>16%+16%+16%+17%+17%</f>
        <v>0.82000000000000006</v>
      </c>
      <c r="AH38" s="16" t="s">
        <v>533</v>
      </c>
      <c r="AK38" s="99">
        <f t="shared" si="0"/>
        <v>0.83000000000000007</v>
      </c>
      <c r="AL38" s="99">
        <f t="shared" si="1"/>
        <v>0.82000000000000006</v>
      </c>
    </row>
    <row r="39" spans="2:38" ht="120" x14ac:dyDescent="0.25">
      <c r="B39" s="6" t="s">
        <v>42</v>
      </c>
      <c r="C39" s="6" t="s">
        <v>186</v>
      </c>
      <c r="D39" s="6" t="s">
        <v>44</v>
      </c>
      <c r="E39" s="6" t="s">
        <v>187</v>
      </c>
      <c r="F39" s="6" t="s">
        <v>200</v>
      </c>
      <c r="G39" s="6"/>
      <c r="H39" s="6"/>
      <c r="I39" s="6"/>
      <c r="J39" s="6" t="s">
        <v>201</v>
      </c>
      <c r="K39" s="7" t="s">
        <v>202</v>
      </c>
      <c r="L39" s="7" t="s">
        <v>203</v>
      </c>
      <c r="M39" s="6" t="s">
        <v>192</v>
      </c>
      <c r="N39" s="9">
        <v>42552</v>
      </c>
      <c r="O39" s="9">
        <v>42917</v>
      </c>
      <c r="P39" s="7" t="s">
        <v>51</v>
      </c>
      <c r="Q39" s="7" t="s">
        <v>204</v>
      </c>
      <c r="R39" s="87">
        <v>0.2</v>
      </c>
      <c r="S39" s="88"/>
      <c r="T39" s="89"/>
      <c r="U39" s="89"/>
      <c r="V39" s="89"/>
      <c r="W39" s="89"/>
      <c r="X39" s="88"/>
      <c r="Y39" s="89">
        <v>0.1</v>
      </c>
      <c r="Z39" s="89">
        <v>0.3</v>
      </c>
      <c r="AA39" s="88">
        <v>0.15</v>
      </c>
      <c r="AB39" s="87">
        <v>0.15</v>
      </c>
      <c r="AC39" s="87">
        <v>0.15</v>
      </c>
      <c r="AD39" s="88">
        <v>0.15</v>
      </c>
      <c r="AE39" s="90" t="s">
        <v>513</v>
      </c>
      <c r="AF39" s="88">
        <v>0.15</v>
      </c>
      <c r="AG39" s="88">
        <f>10%+10%+15%+15%</f>
        <v>0.5</v>
      </c>
      <c r="AH39" s="7" t="s">
        <v>566</v>
      </c>
      <c r="AK39" s="99">
        <f t="shared" si="0"/>
        <v>0.85000000000000009</v>
      </c>
      <c r="AL39" s="99">
        <f t="shared" si="1"/>
        <v>0.5</v>
      </c>
    </row>
    <row r="40" spans="2:38" ht="120" x14ac:dyDescent="0.25">
      <c r="B40" s="6" t="s">
        <v>42</v>
      </c>
      <c r="C40" s="6" t="s">
        <v>186</v>
      </c>
      <c r="D40" s="6" t="s">
        <v>44</v>
      </c>
      <c r="E40" s="6" t="s">
        <v>187</v>
      </c>
      <c r="F40" s="6" t="s">
        <v>200</v>
      </c>
      <c r="G40" s="6"/>
      <c r="H40" s="6"/>
      <c r="I40" s="6"/>
      <c r="J40" s="6" t="s">
        <v>206</v>
      </c>
      <c r="K40" s="7" t="s">
        <v>207</v>
      </c>
      <c r="L40" s="7" t="s">
        <v>208</v>
      </c>
      <c r="M40" s="6" t="s">
        <v>192</v>
      </c>
      <c r="N40" s="9">
        <v>42552</v>
      </c>
      <c r="O40" s="9">
        <v>42675</v>
      </c>
      <c r="P40" s="7" t="s">
        <v>51</v>
      </c>
      <c r="Q40" s="7" t="s">
        <v>209</v>
      </c>
      <c r="R40" s="87">
        <v>0.2</v>
      </c>
      <c r="S40" s="88"/>
      <c r="T40" s="89"/>
      <c r="U40" s="89"/>
      <c r="V40" s="89"/>
      <c r="W40" s="89"/>
      <c r="X40" s="88"/>
      <c r="Y40" s="89">
        <v>0.16</v>
      </c>
      <c r="Z40" s="89">
        <v>0.16</v>
      </c>
      <c r="AA40" s="88">
        <v>0.17</v>
      </c>
      <c r="AB40" s="87">
        <v>0.17</v>
      </c>
      <c r="AC40" s="87">
        <v>0.17</v>
      </c>
      <c r="AD40" s="88">
        <v>0.17</v>
      </c>
      <c r="AE40" s="90" t="s">
        <v>513</v>
      </c>
      <c r="AF40" s="88">
        <v>0.17</v>
      </c>
      <c r="AG40" s="88">
        <f>30%+17%+17%</f>
        <v>0.64</v>
      </c>
      <c r="AH40" s="16" t="s">
        <v>568</v>
      </c>
      <c r="AK40" s="99">
        <f t="shared" si="0"/>
        <v>0.83000000000000007</v>
      </c>
      <c r="AL40" s="99">
        <f t="shared" si="1"/>
        <v>0.64</v>
      </c>
    </row>
    <row r="41" spans="2:38" ht="120" x14ac:dyDescent="0.25">
      <c r="B41" s="6" t="s">
        <v>42</v>
      </c>
      <c r="C41" s="6" t="s">
        <v>211</v>
      </c>
      <c r="D41" s="6" t="s">
        <v>44</v>
      </c>
      <c r="E41" s="6" t="s">
        <v>187</v>
      </c>
      <c r="F41" s="6" t="s">
        <v>211</v>
      </c>
      <c r="G41" s="6"/>
      <c r="H41" s="6"/>
      <c r="I41" s="6"/>
      <c r="J41" s="6" t="s">
        <v>212</v>
      </c>
      <c r="K41" s="7" t="s">
        <v>213</v>
      </c>
      <c r="L41" s="7" t="s">
        <v>214</v>
      </c>
      <c r="M41" s="6" t="s">
        <v>192</v>
      </c>
      <c r="N41" s="9">
        <v>42552</v>
      </c>
      <c r="O41" s="9">
        <v>42735</v>
      </c>
      <c r="P41" s="7" t="s">
        <v>51</v>
      </c>
      <c r="Q41" s="7" t="s">
        <v>215</v>
      </c>
      <c r="R41" s="87">
        <v>0.2</v>
      </c>
      <c r="S41" s="88"/>
      <c r="T41" s="89"/>
      <c r="U41" s="89"/>
      <c r="V41" s="89"/>
      <c r="W41" s="89"/>
      <c r="X41" s="88"/>
      <c r="Y41" s="89">
        <v>0.17</v>
      </c>
      <c r="Z41" s="89">
        <v>0.17</v>
      </c>
      <c r="AA41" s="88">
        <v>0.17</v>
      </c>
      <c r="AB41" s="87">
        <v>0.17</v>
      </c>
      <c r="AC41" s="87">
        <v>0.16</v>
      </c>
      <c r="AD41" s="88">
        <v>0.16</v>
      </c>
      <c r="AE41" s="90" t="s">
        <v>513</v>
      </c>
      <c r="AF41" s="88">
        <v>0.17</v>
      </c>
      <c r="AG41" s="88">
        <f>22%+24%+42%+17%</f>
        <v>1.0499999999999998</v>
      </c>
      <c r="AH41" s="16" t="s">
        <v>646</v>
      </c>
      <c r="AK41" s="99">
        <f t="shared" si="0"/>
        <v>0.84000000000000008</v>
      </c>
      <c r="AL41" s="99">
        <f t="shared" si="1"/>
        <v>1.0499999999999998</v>
      </c>
    </row>
    <row r="42" spans="2:38" ht="105" x14ac:dyDescent="0.25">
      <c r="B42" s="6" t="s">
        <v>217</v>
      </c>
      <c r="C42" s="6" t="s">
        <v>218</v>
      </c>
      <c r="D42" s="6" t="s">
        <v>219</v>
      </c>
      <c r="E42" s="6" t="s">
        <v>220</v>
      </c>
      <c r="F42" s="6" t="s">
        <v>221</v>
      </c>
      <c r="G42" s="6"/>
      <c r="H42" s="7"/>
      <c r="I42" s="7"/>
      <c r="J42" s="6" t="s">
        <v>222</v>
      </c>
      <c r="K42" s="7" t="s">
        <v>202</v>
      </c>
      <c r="L42" s="7" t="s">
        <v>223</v>
      </c>
      <c r="M42" s="6" t="s">
        <v>192</v>
      </c>
      <c r="N42" s="9">
        <v>42552</v>
      </c>
      <c r="O42" s="9">
        <v>42856</v>
      </c>
      <c r="P42" s="7" t="s">
        <v>51</v>
      </c>
      <c r="Q42" s="7" t="s">
        <v>224</v>
      </c>
      <c r="R42" s="87">
        <v>0.5</v>
      </c>
      <c r="S42" s="88"/>
      <c r="T42" s="89"/>
      <c r="U42" s="89"/>
      <c r="V42" s="89"/>
      <c r="W42" s="89"/>
      <c r="X42" s="88"/>
      <c r="Y42" s="89">
        <v>0.16</v>
      </c>
      <c r="Z42" s="89">
        <v>0.16</v>
      </c>
      <c r="AA42" s="88">
        <v>0.17</v>
      </c>
      <c r="AB42" s="87">
        <v>0.17</v>
      </c>
      <c r="AC42" s="87">
        <v>0.17</v>
      </c>
      <c r="AD42" s="88">
        <v>0.17</v>
      </c>
      <c r="AE42" s="90" t="s">
        <v>513</v>
      </c>
      <c r="AF42" s="88">
        <v>0.17</v>
      </c>
      <c r="AG42" s="88">
        <f>16%+16%+17%+17%+17%</f>
        <v>0.83000000000000007</v>
      </c>
      <c r="AH42" s="16" t="s">
        <v>534</v>
      </c>
      <c r="AK42" s="99">
        <f t="shared" si="0"/>
        <v>0.83000000000000007</v>
      </c>
      <c r="AL42" s="99">
        <f t="shared" si="1"/>
        <v>0.83000000000000007</v>
      </c>
    </row>
    <row r="43" spans="2:38" ht="105" x14ac:dyDescent="0.25">
      <c r="B43" s="6" t="s">
        <v>217</v>
      </c>
      <c r="C43" s="6" t="s">
        <v>218</v>
      </c>
      <c r="D43" s="6" t="s">
        <v>219</v>
      </c>
      <c r="E43" s="6" t="s">
        <v>220</v>
      </c>
      <c r="F43" s="6" t="s">
        <v>221</v>
      </c>
      <c r="G43" s="6"/>
      <c r="H43" s="7"/>
      <c r="I43" s="7"/>
      <c r="J43" s="6" t="s">
        <v>226</v>
      </c>
      <c r="K43" s="7" t="s">
        <v>227</v>
      </c>
      <c r="L43" s="7" t="s">
        <v>228</v>
      </c>
      <c r="M43" s="6" t="s">
        <v>192</v>
      </c>
      <c r="N43" s="9">
        <v>42552</v>
      </c>
      <c r="O43" s="9">
        <v>42735</v>
      </c>
      <c r="P43" s="7" t="s">
        <v>51</v>
      </c>
      <c r="Q43" s="7" t="s">
        <v>229</v>
      </c>
      <c r="R43" s="87">
        <v>0.5</v>
      </c>
      <c r="S43" s="88"/>
      <c r="T43" s="89"/>
      <c r="U43" s="89"/>
      <c r="V43" s="89"/>
      <c r="W43" s="89"/>
      <c r="X43" s="88"/>
      <c r="Y43" s="89">
        <v>0.16</v>
      </c>
      <c r="Z43" s="89">
        <v>0.16</v>
      </c>
      <c r="AA43" s="88">
        <v>0.17</v>
      </c>
      <c r="AB43" s="88">
        <v>0.17</v>
      </c>
      <c r="AC43" s="88">
        <v>0.17</v>
      </c>
      <c r="AD43" s="88">
        <v>0.17</v>
      </c>
      <c r="AE43" s="90" t="s">
        <v>513</v>
      </c>
      <c r="AF43" s="88">
        <v>0.17</v>
      </c>
      <c r="AG43" s="88">
        <f>16%+16%+17%+17%+17%</f>
        <v>0.83000000000000007</v>
      </c>
      <c r="AH43" s="16" t="s">
        <v>567</v>
      </c>
      <c r="AK43" s="99">
        <f t="shared" si="0"/>
        <v>0.83000000000000007</v>
      </c>
      <c r="AL43" s="99">
        <f t="shared" si="1"/>
        <v>0.83000000000000007</v>
      </c>
    </row>
    <row r="44" spans="2:38" ht="409.5" x14ac:dyDescent="0.25">
      <c r="B44" s="6" t="s">
        <v>231</v>
      </c>
      <c r="C44" s="6" t="s">
        <v>232</v>
      </c>
      <c r="D44" s="6" t="s">
        <v>233</v>
      </c>
      <c r="E44" s="6" t="s">
        <v>234</v>
      </c>
      <c r="F44" s="6" t="s">
        <v>235</v>
      </c>
      <c r="G44" s="6"/>
      <c r="H44" s="6"/>
      <c r="I44" s="6"/>
      <c r="J44" s="6" t="s">
        <v>236</v>
      </c>
      <c r="K44" s="7" t="s">
        <v>237</v>
      </c>
      <c r="L44" s="7" t="s">
        <v>238</v>
      </c>
      <c r="M44" s="6" t="s">
        <v>111</v>
      </c>
      <c r="N44" s="9">
        <v>42552</v>
      </c>
      <c r="O44" s="9">
        <v>42735</v>
      </c>
      <c r="P44" s="7" t="s">
        <v>239</v>
      </c>
      <c r="Q44" s="7" t="s">
        <v>52</v>
      </c>
      <c r="R44" s="87">
        <v>0.03</v>
      </c>
      <c r="S44" s="88"/>
      <c r="T44" s="89"/>
      <c r="U44" s="89"/>
      <c r="V44" s="89"/>
      <c r="W44" s="89"/>
      <c r="X44" s="88">
        <v>0.14000000000000001</v>
      </c>
      <c r="Y44" s="89">
        <v>0.14000000000000001</v>
      </c>
      <c r="Z44" s="89">
        <v>0.14000000000000001</v>
      </c>
      <c r="AA44" s="88">
        <v>0.14000000000000001</v>
      </c>
      <c r="AB44" s="88">
        <v>0.14000000000000001</v>
      </c>
      <c r="AC44" s="88">
        <v>0.14000000000000001</v>
      </c>
      <c r="AD44" s="88">
        <v>0.16</v>
      </c>
      <c r="AE44" s="90" t="s">
        <v>513</v>
      </c>
      <c r="AF44" s="88">
        <v>0.14000000000000001</v>
      </c>
      <c r="AG44" s="88">
        <f>14%+14%+14%+14%+14%+14%</f>
        <v>0.84000000000000008</v>
      </c>
      <c r="AH44" s="8" t="s">
        <v>562</v>
      </c>
      <c r="AK44" s="99">
        <f t="shared" si="0"/>
        <v>0.84000000000000008</v>
      </c>
      <c r="AL44" s="99">
        <f t="shared" si="1"/>
        <v>0.84000000000000008</v>
      </c>
    </row>
    <row r="45" spans="2:38" ht="395.25" x14ac:dyDescent="0.25">
      <c r="B45" s="6" t="s">
        <v>231</v>
      </c>
      <c r="C45" s="6" t="s">
        <v>232</v>
      </c>
      <c r="D45" s="6" t="s">
        <v>233</v>
      </c>
      <c r="E45" s="6" t="s">
        <v>234</v>
      </c>
      <c r="F45" s="6" t="s">
        <v>240</v>
      </c>
      <c r="G45" s="6"/>
      <c r="H45" s="6"/>
      <c r="I45" s="6"/>
      <c r="J45" s="6" t="s">
        <v>241</v>
      </c>
      <c r="K45" s="7" t="s">
        <v>242</v>
      </c>
      <c r="L45" s="7" t="s">
        <v>243</v>
      </c>
      <c r="M45" s="6" t="s">
        <v>111</v>
      </c>
      <c r="N45" s="9">
        <v>42552</v>
      </c>
      <c r="O45" s="9">
        <v>42735</v>
      </c>
      <c r="P45" s="7" t="s">
        <v>244</v>
      </c>
      <c r="Q45" s="7" t="s">
        <v>245</v>
      </c>
      <c r="R45" s="87">
        <v>0.03</v>
      </c>
      <c r="S45" s="88"/>
      <c r="T45" s="89"/>
      <c r="U45" s="89"/>
      <c r="V45" s="89"/>
      <c r="W45" s="89"/>
      <c r="X45" s="88">
        <v>0.14000000000000001</v>
      </c>
      <c r="Y45" s="89">
        <v>0.14000000000000001</v>
      </c>
      <c r="Z45" s="89">
        <v>0.14000000000000001</v>
      </c>
      <c r="AA45" s="88">
        <v>0.14000000000000001</v>
      </c>
      <c r="AB45" s="88">
        <v>0.14000000000000001</v>
      </c>
      <c r="AC45" s="88">
        <v>0.14000000000000001</v>
      </c>
      <c r="AD45" s="88">
        <v>0.16</v>
      </c>
      <c r="AE45" s="90" t="s">
        <v>513</v>
      </c>
      <c r="AF45" s="88">
        <v>0.14000000000000001</v>
      </c>
      <c r="AG45" s="88">
        <f>14%+14%+14%+14%+14%+14%</f>
        <v>0.84000000000000008</v>
      </c>
      <c r="AH45" s="8" t="s">
        <v>563</v>
      </c>
      <c r="AK45" s="99">
        <f t="shared" si="0"/>
        <v>0.84000000000000008</v>
      </c>
      <c r="AL45" s="99">
        <f t="shared" si="1"/>
        <v>0.84000000000000008</v>
      </c>
    </row>
    <row r="46" spans="2:38" ht="120" x14ac:dyDescent="0.25">
      <c r="B46" s="6" t="s">
        <v>231</v>
      </c>
      <c r="C46" s="6" t="s">
        <v>232</v>
      </c>
      <c r="D46" s="6" t="s">
        <v>233</v>
      </c>
      <c r="E46" s="6" t="s">
        <v>234</v>
      </c>
      <c r="F46" s="6" t="s">
        <v>235</v>
      </c>
      <c r="G46" s="6"/>
      <c r="H46" s="6"/>
      <c r="I46" s="6"/>
      <c r="J46" s="6" t="s">
        <v>246</v>
      </c>
      <c r="K46" s="7" t="s">
        <v>247</v>
      </c>
      <c r="L46" s="7" t="s">
        <v>248</v>
      </c>
      <c r="M46" s="6" t="s">
        <v>111</v>
      </c>
      <c r="N46" s="9">
        <v>42614</v>
      </c>
      <c r="O46" s="9">
        <v>42705</v>
      </c>
      <c r="P46" s="7" t="s">
        <v>51</v>
      </c>
      <c r="Q46" s="7" t="s">
        <v>52</v>
      </c>
      <c r="R46" s="87">
        <v>0.03</v>
      </c>
      <c r="S46" s="88"/>
      <c r="T46" s="89"/>
      <c r="U46" s="89"/>
      <c r="V46" s="89"/>
      <c r="W46" s="89"/>
      <c r="X46" s="88"/>
      <c r="Y46" s="89"/>
      <c r="Z46" s="89"/>
      <c r="AA46" s="88">
        <v>0.33</v>
      </c>
      <c r="AB46" s="88">
        <v>0.34</v>
      </c>
      <c r="AC46" s="88">
        <v>0.33</v>
      </c>
      <c r="AD46" s="88"/>
      <c r="AE46" s="90" t="s">
        <v>513</v>
      </c>
      <c r="AF46" s="88"/>
      <c r="AG46" s="88">
        <f>33%+67%</f>
        <v>1</v>
      </c>
      <c r="AH46" s="7"/>
      <c r="AK46" s="99">
        <f t="shared" si="0"/>
        <v>1</v>
      </c>
      <c r="AL46" s="99">
        <f t="shared" si="1"/>
        <v>1</v>
      </c>
    </row>
    <row r="47" spans="2:38" ht="75" x14ac:dyDescent="0.25">
      <c r="B47" s="6" t="s">
        <v>231</v>
      </c>
      <c r="C47" s="6" t="s">
        <v>232</v>
      </c>
      <c r="D47" s="6" t="s">
        <v>233</v>
      </c>
      <c r="E47" s="6" t="s">
        <v>234</v>
      </c>
      <c r="F47" s="6" t="s">
        <v>235</v>
      </c>
      <c r="G47" s="6"/>
      <c r="H47" s="6"/>
      <c r="I47" s="6"/>
      <c r="J47" s="6" t="s">
        <v>249</v>
      </c>
      <c r="K47" s="7" t="s">
        <v>250</v>
      </c>
      <c r="L47" s="7" t="s">
        <v>251</v>
      </c>
      <c r="M47" s="6" t="s">
        <v>252</v>
      </c>
      <c r="N47" s="9">
        <v>42566</v>
      </c>
      <c r="O47" s="9">
        <v>42643</v>
      </c>
      <c r="P47" s="7" t="s">
        <v>184</v>
      </c>
      <c r="Q47" s="7" t="s">
        <v>52</v>
      </c>
      <c r="R47" s="87">
        <v>0.03</v>
      </c>
      <c r="S47" s="88"/>
      <c r="T47" s="89"/>
      <c r="U47" s="89"/>
      <c r="V47" s="89"/>
      <c r="W47" s="89"/>
      <c r="X47" s="88">
        <v>0.25</v>
      </c>
      <c r="Y47" s="89">
        <v>0.25</v>
      </c>
      <c r="Z47" s="89">
        <v>0.25</v>
      </c>
      <c r="AA47" s="88">
        <v>0.25</v>
      </c>
      <c r="AB47" s="88"/>
      <c r="AC47" s="88"/>
      <c r="AD47" s="88"/>
      <c r="AE47" s="90" t="s">
        <v>513</v>
      </c>
      <c r="AF47" s="88"/>
      <c r="AG47" s="88">
        <f>25%+25%+25%+25%</f>
        <v>1</v>
      </c>
      <c r="AH47" s="7"/>
      <c r="AK47" s="99">
        <f t="shared" si="0"/>
        <v>1</v>
      </c>
      <c r="AL47" s="99">
        <f t="shared" si="1"/>
        <v>1</v>
      </c>
    </row>
    <row r="48" spans="2:38" ht="75" x14ac:dyDescent="0.25">
      <c r="B48" s="6" t="s">
        <v>231</v>
      </c>
      <c r="C48" s="6" t="s">
        <v>232</v>
      </c>
      <c r="D48" s="6" t="s">
        <v>233</v>
      </c>
      <c r="E48" s="6" t="s">
        <v>234</v>
      </c>
      <c r="F48" s="6" t="s">
        <v>235</v>
      </c>
      <c r="G48" s="6"/>
      <c r="H48" s="6"/>
      <c r="I48" s="6"/>
      <c r="J48" s="6" t="s">
        <v>254</v>
      </c>
      <c r="K48" s="7" t="s">
        <v>255</v>
      </c>
      <c r="L48" s="7" t="s">
        <v>256</v>
      </c>
      <c r="M48" s="6" t="s">
        <v>252</v>
      </c>
      <c r="N48" s="9">
        <v>42583</v>
      </c>
      <c r="O48" s="9">
        <v>42735</v>
      </c>
      <c r="P48" s="7" t="s">
        <v>184</v>
      </c>
      <c r="Q48" s="7" t="s">
        <v>52</v>
      </c>
      <c r="R48" s="87">
        <v>0.03</v>
      </c>
      <c r="S48" s="88"/>
      <c r="T48" s="89"/>
      <c r="U48" s="89"/>
      <c r="V48" s="89"/>
      <c r="W48" s="89"/>
      <c r="X48" s="88">
        <v>0.15</v>
      </c>
      <c r="Y48" s="89">
        <v>0.15</v>
      </c>
      <c r="Z48" s="89">
        <v>0.15</v>
      </c>
      <c r="AA48" s="88">
        <v>0.15</v>
      </c>
      <c r="AB48" s="88">
        <v>0.15</v>
      </c>
      <c r="AC48" s="88">
        <v>0.15</v>
      </c>
      <c r="AD48" s="88">
        <v>0.1</v>
      </c>
      <c r="AE48" s="90" t="s">
        <v>513</v>
      </c>
      <c r="AF48" s="88">
        <v>0.15</v>
      </c>
      <c r="AG48" s="88">
        <f>15%+15%+15%+15%+15%+15%</f>
        <v>0.9</v>
      </c>
      <c r="AH48" s="7" t="s">
        <v>556</v>
      </c>
      <c r="AK48" s="99">
        <f t="shared" si="0"/>
        <v>0.9</v>
      </c>
      <c r="AL48" s="99">
        <f t="shared" si="1"/>
        <v>0.9</v>
      </c>
    </row>
    <row r="49" spans="2:38" ht="75" x14ac:dyDescent="0.25">
      <c r="B49" s="6" t="s">
        <v>231</v>
      </c>
      <c r="C49" s="6" t="s">
        <v>232</v>
      </c>
      <c r="D49" s="6" t="s">
        <v>233</v>
      </c>
      <c r="E49" s="6" t="s">
        <v>234</v>
      </c>
      <c r="F49" s="6" t="s">
        <v>235</v>
      </c>
      <c r="G49" s="6"/>
      <c r="H49" s="6"/>
      <c r="I49" s="6"/>
      <c r="J49" s="6" t="s">
        <v>258</v>
      </c>
      <c r="K49" s="7" t="s">
        <v>259</v>
      </c>
      <c r="L49" s="7" t="s">
        <v>260</v>
      </c>
      <c r="M49" s="6" t="s">
        <v>252</v>
      </c>
      <c r="N49" s="9">
        <v>42583</v>
      </c>
      <c r="O49" s="9">
        <v>42735</v>
      </c>
      <c r="P49" s="7" t="s">
        <v>261</v>
      </c>
      <c r="Q49" s="7" t="s">
        <v>52</v>
      </c>
      <c r="R49" s="87">
        <v>0.03</v>
      </c>
      <c r="S49" s="88"/>
      <c r="T49" s="89"/>
      <c r="U49" s="89"/>
      <c r="V49" s="89"/>
      <c r="W49" s="89"/>
      <c r="X49" s="88"/>
      <c r="Y49" s="89"/>
      <c r="Z49" s="89"/>
      <c r="AA49" s="88"/>
      <c r="AB49" s="88">
        <v>0.3</v>
      </c>
      <c r="AC49" s="88">
        <v>0.3</v>
      </c>
      <c r="AD49" s="88">
        <v>0.4</v>
      </c>
      <c r="AE49" s="90" t="s">
        <v>513</v>
      </c>
      <c r="AF49" s="88"/>
      <c r="AG49" s="88">
        <v>1</v>
      </c>
      <c r="AH49" s="16"/>
      <c r="AK49" s="99">
        <f t="shared" si="0"/>
        <v>0.6</v>
      </c>
      <c r="AL49" s="99">
        <f t="shared" si="1"/>
        <v>1</v>
      </c>
    </row>
    <row r="50" spans="2:38" ht="90" x14ac:dyDescent="0.25">
      <c r="B50" s="6" t="s">
        <v>231</v>
      </c>
      <c r="C50" s="6" t="s">
        <v>232</v>
      </c>
      <c r="D50" s="6" t="s">
        <v>233</v>
      </c>
      <c r="E50" s="6" t="s">
        <v>234</v>
      </c>
      <c r="F50" s="6" t="s">
        <v>235</v>
      </c>
      <c r="G50" s="6"/>
      <c r="H50" s="6"/>
      <c r="I50" s="6"/>
      <c r="J50" s="6" t="s">
        <v>263</v>
      </c>
      <c r="K50" s="7" t="s">
        <v>264</v>
      </c>
      <c r="L50" s="7" t="s">
        <v>265</v>
      </c>
      <c r="M50" s="6" t="s">
        <v>252</v>
      </c>
      <c r="N50" s="9">
        <v>42644</v>
      </c>
      <c r="O50" s="9">
        <v>42735</v>
      </c>
      <c r="P50" s="7" t="s">
        <v>52</v>
      </c>
      <c r="Q50" s="7" t="s">
        <v>52</v>
      </c>
      <c r="R50" s="87">
        <v>0.03</v>
      </c>
      <c r="S50" s="88"/>
      <c r="T50" s="89"/>
      <c r="U50" s="89"/>
      <c r="V50" s="89"/>
      <c r="W50" s="89"/>
      <c r="X50" s="88"/>
      <c r="Y50" s="89"/>
      <c r="Z50" s="89"/>
      <c r="AA50" s="88"/>
      <c r="AB50" s="88">
        <v>0.3</v>
      </c>
      <c r="AC50" s="88">
        <v>0.3</v>
      </c>
      <c r="AD50" s="88">
        <v>0.4</v>
      </c>
      <c r="AE50" s="90" t="s">
        <v>513</v>
      </c>
      <c r="AF50" s="88">
        <v>0.3</v>
      </c>
      <c r="AG50" s="88">
        <f>30%+30%</f>
        <v>0.6</v>
      </c>
      <c r="AH50" s="7" t="s">
        <v>557</v>
      </c>
      <c r="AK50" s="99">
        <f t="shared" si="0"/>
        <v>0.6</v>
      </c>
      <c r="AL50" s="99">
        <f t="shared" si="1"/>
        <v>0.6</v>
      </c>
    </row>
    <row r="51" spans="2:38" ht="120" x14ac:dyDescent="0.25">
      <c r="B51" s="6" t="s">
        <v>231</v>
      </c>
      <c r="C51" s="6" t="s">
        <v>232</v>
      </c>
      <c r="D51" s="6" t="s">
        <v>233</v>
      </c>
      <c r="E51" s="6" t="s">
        <v>234</v>
      </c>
      <c r="F51" s="6" t="s">
        <v>235</v>
      </c>
      <c r="G51" s="6"/>
      <c r="H51" s="6"/>
      <c r="I51" s="6"/>
      <c r="J51" s="6" t="s">
        <v>263</v>
      </c>
      <c r="K51" s="7" t="s">
        <v>267</v>
      </c>
      <c r="L51" s="7" t="s">
        <v>268</v>
      </c>
      <c r="M51" s="6" t="s">
        <v>252</v>
      </c>
      <c r="N51" s="9">
        <v>42597</v>
      </c>
      <c r="O51" s="9">
        <v>42658</v>
      </c>
      <c r="P51" s="7" t="s">
        <v>52</v>
      </c>
      <c r="Q51" s="7" t="s">
        <v>52</v>
      </c>
      <c r="R51" s="87">
        <v>0.03</v>
      </c>
      <c r="S51" s="88"/>
      <c r="T51" s="89"/>
      <c r="U51" s="89"/>
      <c r="V51" s="89"/>
      <c r="W51" s="89"/>
      <c r="X51" s="88"/>
      <c r="Y51" s="89"/>
      <c r="Z51" s="89">
        <v>0.5</v>
      </c>
      <c r="AA51" s="88">
        <v>0.5</v>
      </c>
      <c r="AB51" s="88"/>
      <c r="AC51" s="88"/>
      <c r="AD51" s="88"/>
      <c r="AE51" s="90" t="s">
        <v>513</v>
      </c>
      <c r="AF51" s="88"/>
      <c r="AG51" s="88">
        <f>50%+20%</f>
        <v>0.7</v>
      </c>
      <c r="AH51" s="7" t="s">
        <v>558</v>
      </c>
      <c r="AK51" s="99">
        <f t="shared" si="0"/>
        <v>1</v>
      </c>
      <c r="AL51" s="99">
        <f t="shared" si="1"/>
        <v>0.7</v>
      </c>
    </row>
    <row r="52" spans="2:38" ht="75" x14ac:dyDescent="0.25">
      <c r="B52" s="6" t="s">
        <v>231</v>
      </c>
      <c r="C52" s="6" t="s">
        <v>232</v>
      </c>
      <c r="D52" s="6" t="s">
        <v>233</v>
      </c>
      <c r="E52" s="6" t="s">
        <v>234</v>
      </c>
      <c r="F52" s="6" t="s">
        <v>235</v>
      </c>
      <c r="G52" s="6"/>
      <c r="H52" s="6"/>
      <c r="I52" s="6"/>
      <c r="J52" s="6" t="s">
        <v>270</v>
      </c>
      <c r="K52" s="7" t="s">
        <v>271</v>
      </c>
      <c r="L52" s="7" t="s">
        <v>268</v>
      </c>
      <c r="M52" s="6" t="s">
        <v>252</v>
      </c>
      <c r="N52" s="9">
        <v>42583</v>
      </c>
      <c r="O52" s="9">
        <v>42735</v>
      </c>
      <c r="P52" s="7" t="s">
        <v>52</v>
      </c>
      <c r="Q52" s="7" t="s">
        <v>52</v>
      </c>
      <c r="R52" s="87">
        <v>0.03</v>
      </c>
      <c r="S52" s="88"/>
      <c r="T52" s="89"/>
      <c r="U52" s="89"/>
      <c r="V52" s="89"/>
      <c r="W52" s="89"/>
      <c r="X52" s="88"/>
      <c r="Y52" s="89"/>
      <c r="Z52" s="89">
        <v>0.2</v>
      </c>
      <c r="AA52" s="88">
        <v>0.2</v>
      </c>
      <c r="AB52" s="88">
        <v>0.2</v>
      </c>
      <c r="AC52" s="88">
        <v>0.2</v>
      </c>
      <c r="AD52" s="88">
        <v>0.2</v>
      </c>
      <c r="AE52" s="90" t="s">
        <v>513</v>
      </c>
      <c r="AF52" s="88">
        <v>0.2</v>
      </c>
      <c r="AG52" s="88">
        <f>20%+20%+20%+20%</f>
        <v>0.8</v>
      </c>
      <c r="AH52" s="7" t="s">
        <v>559</v>
      </c>
      <c r="AK52" s="99">
        <f t="shared" si="0"/>
        <v>0.8</v>
      </c>
      <c r="AL52" s="99">
        <f t="shared" si="1"/>
        <v>0.8</v>
      </c>
    </row>
    <row r="53" spans="2:38" ht="150" x14ac:dyDescent="0.25">
      <c r="B53" s="6" t="s">
        <v>231</v>
      </c>
      <c r="C53" s="6" t="s">
        <v>232</v>
      </c>
      <c r="D53" s="6" t="s">
        <v>233</v>
      </c>
      <c r="E53" s="6" t="s">
        <v>234</v>
      </c>
      <c r="F53" s="6" t="s">
        <v>235</v>
      </c>
      <c r="G53" s="6"/>
      <c r="H53" s="6"/>
      <c r="I53" s="6"/>
      <c r="J53" s="6" t="s">
        <v>270</v>
      </c>
      <c r="K53" s="7" t="s">
        <v>273</v>
      </c>
      <c r="L53" s="7" t="s">
        <v>268</v>
      </c>
      <c r="M53" s="6" t="s">
        <v>252</v>
      </c>
      <c r="N53" s="9">
        <v>42583</v>
      </c>
      <c r="O53" s="9">
        <v>42735</v>
      </c>
      <c r="P53" s="7" t="s">
        <v>52</v>
      </c>
      <c r="Q53" s="7" t="s">
        <v>52</v>
      </c>
      <c r="R53" s="87">
        <v>0.03</v>
      </c>
      <c r="S53" s="88"/>
      <c r="T53" s="89"/>
      <c r="U53" s="89"/>
      <c r="V53" s="89"/>
      <c r="W53" s="89"/>
      <c r="X53" s="88"/>
      <c r="Y53" s="89"/>
      <c r="Z53" s="89">
        <v>0.2</v>
      </c>
      <c r="AA53" s="88">
        <v>0.2</v>
      </c>
      <c r="AB53" s="88">
        <v>0.2</v>
      </c>
      <c r="AC53" s="88">
        <v>0.2</v>
      </c>
      <c r="AD53" s="88">
        <v>0.2</v>
      </c>
      <c r="AE53" s="90" t="s">
        <v>513</v>
      </c>
      <c r="AF53" s="88">
        <v>0.2</v>
      </c>
      <c r="AG53" s="88">
        <f>20%+20%+20%+20%</f>
        <v>0.8</v>
      </c>
      <c r="AH53" s="7" t="s">
        <v>560</v>
      </c>
      <c r="AK53" s="99">
        <f t="shared" si="0"/>
        <v>0.8</v>
      </c>
      <c r="AL53" s="99">
        <f t="shared" si="1"/>
        <v>0.8</v>
      </c>
    </row>
    <row r="54" spans="2:38" ht="75" x14ac:dyDescent="0.25">
      <c r="B54" s="6" t="s">
        <v>231</v>
      </c>
      <c r="C54" s="6" t="s">
        <v>232</v>
      </c>
      <c r="D54" s="6" t="s">
        <v>233</v>
      </c>
      <c r="E54" s="6" t="s">
        <v>234</v>
      </c>
      <c r="F54" s="6" t="s">
        <v>235</v>
      </c>
      <c r="G54" s="6"/>
      <c r="H54" s="6"/>
      <c r="I54" s="6"/>
      <c r="J54" s="6" t="s">
        <v>270</v>
      </c>
      <c r="K54" s="7" t="s">
        <v>275</v>
      </c>
      <c r="L54" s="7" t="s">
        <v>268</v>
      </c>
      <c r="M54" s="6" t="s">
        <v>252</v>
      </c>
      <c r="N54" s="9">
        <v>42614</v>
      </c>
      <c r="O54" s="9">
        <v>42735</v>
      </c>
      <c r="P54" s="7" t="s">
        <v>52</v>
      </c>
      <c r="Q54" s="7" t="s">
        <v>52</v>
      </c>
      <c r="R54" s="87">
        <v>0.03</v>
      </c>
      <c r="S54" s="88"/>
      <c r="T54" s="89"/>
      <c r="U54" s="89"/>
      <c r="V54" s="89"/>
      <c r="W54" s="89"/>
      <c r="X54" s="88"/>
      <c r="Y54" s="89"/>
      <c r="Z54" s="89"/>
      <c r="AA54" s="88">
        <v>0.25</v>
      </c>
      <c r="AB54" s="87">
        <v>0.25</v>
      </c>
      <c r="AC54" s="87">
        <v>0.25</v>
      </c>
      <c r="AD54" s="88">
        <v>0.25</v>
      </c>
      <c r="AE54" s="90" t="s">
        <v>513</v>
      </c>
      <c r="AF54" s="88">
        <v>0.25</v>
      </c>
      <c r="AG54" s="88">
        <f>25%+25%+25%</f>
        <v>0.75</v>
      </c>
      <c r="AH54" s="7" t="s">
        <v>561</v>
      </c>
      <c r="AK54" s="99">
        <f t="shared" si="0"/>
        <v>0.75</v>
      </c>
      <c r="AL54" s="99">
        <f t="shared" si="1"/>
        <v>0.75</v>
      </c>
    </row>
    <row r="55" spans="2:38" ht="85.5" x14ac:dyDescent="0.25">
      <c r="B55" s="6" t="s">
        <v>231</v>
      </c>
      <c r="C55" s="6" t="s">
        <v>232</v>
      </c>
      <c r="D55" s="6" t="s">
        <v>233</v>
      </c>
      <c r="E55" s="6" t="s">
        <v>234</v>
      </c>
      <c r="F55" s="6" t="s">
        <v>382</v>
      </c>
      <c r="G55" s="6"/>
      <c r="H55" s="6"/>
      <c r="I55" s="6"/>
      <c r="J55" s="6" t="s">
        <v>276</v>
      </c>
      <c r="K55" s="7" t="s">
        <v>277</v>
      </c>
      <c r="L55" s="7" t="s">
        <v>278</v>
      </c>
      <c r="M55" s="6" t="s">
        <v>184</v>
      </c>
      <c r="N55" s="9">
        <v>42552</v>
      </c>
      <c r="O55" s="9">
        <v>42735</v>
      </c>
      <c r="P55" s="7" t="s">
        <v>279</v>
      </c>
      <c r="Q55" s="7" t="s">
        <v>280</v>
      </c>
      <c r="R55" s="87">
        <v>0.03</v>
      </c>
      <c r="S55" s="88"/>
      <c r="T55" s="89"/>
      <c r="U55" s="89"/>
      <c r="V55" s="89"/>
      <c r="W55" s="89"/>
      <c r="X55" s="88"/>
      <c r="Y55" s="89">
        <v>0.16</v>
      </c>
      <c r="Z55" s="89">
        <v>0.16</v>
      </c>
      <c r="AA55" s="88">
        <v>0.17</v>
      </c>
      <c r="AB55" s="87">
        <v>0.17</v>
      </c>
      <c r="AC55" s="87">
        <v>0.17</v>
      </c>
      <c r="AD55" s="88">
        <v>0.17</v>
      </c>
      <c r="AE55" s="90" t="s">
        <v>513</v>
      </c>
      <c r="AF55" s="88">
        <v>0.1</v>
      </c>
      <c r="AG55" s="88">
        <f>10%+8%+17%+17%+10%</f>
        <v>0.62</v>
      </c>
      <c r="AH55" s="16" t="s">
        <v>539</v>
      </c>
      <c r="AK55" s="99">
        <f t="shared" si="0"/>
        <v>0.83000000000000007</v>
      </c>
      <c r="AL55" s="99">
        <f t="shared" si="1"/>
        <v>0.62</v>
      </c>
    </row>
    <row r="56" spans="2:38" ht="234.75" customHeight="1" x14ac:dyDescent="0.25">
      <c r="B56" s="6" t="s">
        <v>231</v>
      </c>
      <c r="C56" s="6" t="s">
        <v>232</v>
      </c>
      <c r="D56" s="6" t="s">
        <v>233</v>
      </c>
      <c r="E56" s="6" t="s">
        <v>234</v>
      </c>
      <c r="F56" s="6" t="s">
        <v>235</v>
      </c>
      <c r="G56" s="6"/>
      <c r="H56" s="6"/>
      <c r="I56" s="6"/>
      <c r="J56" s="6" t="s">
        <v>282</v>
      </c>
      <c r="K56" s="7" t="s">
        <v>283</v>
      </c>
      <c r="L56" s="7" t="s">
        <v>284</v>
      </c>
      <c r="M56" s="6" t="s">
        <v>184</v>
      </c>
      <c r="N56" s="9">
        <v>42552</v>
      </c>
      <c r="O56" s="9">
        <v>42735</v>
      </c>
      <c r="P56" s="7" t="s">
        <v>111</v>
      </c>
      <c r="Q56" s="7" t="s">
        <v>52</v>
      </c>
      <c r="R56" s="87">
        <v>0.03</v>
      </c>
      <c r="S56" s="88"/>
      <c r="T56" s="89"/>
      <c r="U56" s="89"/>
      <c r="V56" s="89"/>
      <c r="W56" s="89"/>
      <c r="X56" s="88"/>
      <c r="Y56" s="89">
        <v>0.16</v>
      </c>
      <c r="Z56" s="89">
        <v>0.16</v>
      </c>
      <c r="AA56" s="88">
        <v>0.17</v>
      </c>
      <c r="AB56" s="87">
        <v>0.17</v>
      </c>
      <c r="AC56" s="87">
        <v>0.17</v>
      </c>
      <c r="AD56" s="88">
        <v>0.17</v>
      </c>
      <c r="AE56" s="90" t="s">
        <v>513</v>
      </c>
      <c r="AF56" s="88">
        <v>0.1</v>
      </c>
      <c r="AG56" s="88">
        <f>10%+10%+10%+17%+10%</f>
        <v>0.57000000000000006</v>
      </c>
      <c r="AH56" s="16" t="s">
        <v>540</v>
      </c>
      <c r="AK56" s="99">
        <f t="shared" si="0"/>
        <v>0.83000000000000007</v>
      </c>
      <c r="AL56" s="99">
        <f t="shared" si="1"/>
        <v>0.57000000000000006</v>
      </c>
    </row>
    <row r="57" spans="2:38" ht="85.5" x14ac:dyDescent="0.25">
      <c r="B57" s="6" t="s">
        <v>231</v>
      </c>
      <c r="C57" s="6" t="s">
        <v>232</v>
      </c>
      <c r="D57" s="6" t="s">
        <v>233</v>
      </c>
      <c r="E57" s="6" t="s">
        <v>234</v>
      </c>
      <c r="F57" s="6" t="s">
        <v>235</v>
      </c>
      <c r="G57" s="6"/>
      <c r="H57" s="6"/>
      <c r="I57" s="6"/>
      <c r="J57" s="6" t="s">
        <v>286</v>
      </c>
      <c r="K57" s="7" t="s">
        <v>287</v>
      </c>
      <c r="L57" s="7" t="s">
        <v>288</v>
      </c>
      <c r="M57" s="6" t="s">
        <v>184</v>
      </c>
      <c r="N57" s="9">
        <v>42552</v>
      </c>
      <c r="O57" s="9">
        <v>42735</v>
      </c>
      <c r="P57" s="7" t="s">
        <v>289</v>
      </c>
      <c r="Q57" s="7" t="s">
        <v>52</v>
      </c>
      <c r="R57" s="87">
        <v>0.03</v>
      </c>
      <c r="S57" s="88"/>
      <c r="T57" s="89"/>
      <c r="U57" s="89"/>
      <c r="V57" s="89"/>
      <c r="W57" s="89"/>
      <c r="X57" s="88"/>
      <c r="Y57" s="89">
        <v>0.16</v>
      </c>
      <c r="Z57" s="89">
        <v>0.16</v>
      </c>
      <c r="AA57" s="88">
        <v>0.17</v>
      </c>
      <c r="AB57" s="87">
        <v>0.17</v>
      </c>
      <c r="AC57" s="87">
        <v>0.17</v>
      </c>
      <c r="AD57" s="88">
        <v>0.17</v>
      </c>
      <c r="AE57" s="90" t="s">
        <v>513</v>
      </c>
      <c r="AF57" s="88">
        <v>0.1</v>
      </c>
      <c r="AG57" s="88">
        <f>10%+10%+10%+17%+10%</f>
        <v>0.57000000000000006</v>
      </c>
      <c r="AH57" s="16" t="s">
        <v>541</v>
      </c>
      <c r="AK57" s="99">
        <f t="shared" si="0"/>
        <v>0.83000000000000007</v>
      </c>
      <c r="AL57" s="99">
        <f t="shared" si="1"/>
        <v>0.57000000000000006</v>
      </c>
    </row>
    <row r="58" spans="2:38" ht="409.5" x14ac:dyDescent="0.25">
      <c r="B58" s="6" t="s">
        <v>231</v>
      </c>
      <c r="C58" s="6" t="s">
        <v>232</v>
      </c>
      <c r="D58" s="6" t="s">
        <v>233</v>
      </c>
      <c r="E58" s="6" t="s">
        <v>234</v>
      </c>
      <c r="F58" s="6" t="s">
        <v>382</v>
      </c>
      <c r="G58" s="6"/>
      <c r="H58" s="6"/>
      <c r="I58" s="6"/>
      <c r="J58" s="6" t="s">
        <v>290</v>
      </c>
      <c r="K58" s="7" t="s">
        <v>291</v>
      </c>
      <c r="L58" s="7" t="s">
        <v>292</v>
      </c>
      <c r="M58" s="6" t="s">
        <v>184</v>
      </c>
      <c r="N58" s="9">
        <v>42552</v>
      </c>
      <c r="O58" s="9">
        <v>42735</v>
      </c>
      <c r="P58" s="7" t="s">
        <v>52</v>
      </c>
      <c r="Q58" s="7" t="s">
        <v>52</v>
      </c>
      <c r="R58" s="87">
        <v>0.03</v>
      </c>
      <c r="S58" s="88"/>
      <c r="T58" s="89"/>
      <c r="U58" s="89"/>
      <c r="V58" s="89"/>
      <c r="W58" s="89"/>
      <c r="X58" s="88"/>
      <c r="Y58" s="89">
        <v>0.16</v>
      </c>
      <c r="Z58" s="89">
        <v>0.16</v>
      </c>
      <c r="AA58" s="88">
        <v>0.17</v>
      </c>
      <c r="AB58" s="87">
        <v>0.17</v>
      </c>
      <c r="AC58" s="87">
        <v>0.17</v>
      </c>
      <c r="AD58" s="88">
        <v>0.17</v>
      </c>
      <c r="AE58" s="90" t="s">
        <v>513</v>
      </c>
      <c r="AF58" s="88">
        <v>0.17</v>
      </c>
      <c r="AG58" s="88">
        <f>16%+16%+17%+17%+17%</f>
        <v>0.83000000000000007</v>
      </c>
      <c r="AH58" s="8" t="s">
        <v>542</v>
      </c>
      <c r="AK58" s="99">
        <f t="shared" si="0"/>
        <v>0.83000000000000007</v>
      </c>
      <c r="AL58" s="99">
        <f t="shared" si="1"/>
        <v>0.83000000000000007</v>
      </c>
    </row>
    <row r="59" spans="2:38" ht="120.75" customHeight="1" x14ac:dyDescent="0.25">
      <c r="B59" s="6" t="s">
        <v>231</v>
      </c>
      <c r="C59" s="6" t="s">
        <v>232</v>
      </c>
      <c r="D59" s="6" t="s">
        <v>233</v>
      </c>
      <c r="E59" s="6" t="s">
        <v>234</v>
      </c>
      <c r="F59" s="6" t="s">
        <v>382</v>
      </c>
      <c r="G59" s="6"/>
      <c r="H59" s="6"/>
      <c r="I59" s="6"/>
      <c r="J59" s="6" t="s">
        <v>294</v>
      </c>
      <c r="K59" s="7" t="s">
        <v>295</v>
      </c>
      <c r="L59" s="7" t="s">
        <v>296</v>
      </c>
      <c r="M59" s="6" t="s">
        <v>184</v>
      </c>
      <c r="N59" s="9">
        <v>42552</v>
      </c>
      <c r="O59" s="9">
        <v>42735</v>
      </c>
      <c r="P59" s="7" t="s">
        <v>297</v>
      </c>
      <c r="Q59" s="7" t="s">
        <v>52</v>
      </c>
      <c r="R59" s="87">
        <v>0.03</v>
      </c>
      <c r="S59" s="88"/>
      <c r="T59" s="89"/>
      <c r="U59" s="89"/>
      <c r="V59" s="89"/>
      <c r="W59" s="89"/>
      <c r="X59" s="88"/>
      <c r="Y59" s="89">
        <v>0.16</v>
      </c>
      <c r="Z59" s="89">
        <v>0.16</v>
      </c>
      <c r="AA59" s="88">
        <v>0.17</v>
      </c>
      <c r="AB59" s="87">
        <v>0.17</v>
      </c>
      <c r="AC59" s="87">
        <v>0.17</v>
      </c>
      <c r="AD59" s="88">
        <v>0.17</v>
      </c>
      <c r="AE59" s="90" t="s">
        <v>513</v>
      </c>
      <c r="AF59" s="88">
        <v>0.17</v>
      </c>
      <c r="AG59" s="88">
        <f>3%+16%+17%+17%+17%</f>
        <v>0.70000000000000007</v>
      </c>
      <c r="AH59" s="96" t="s">
        <v>543</v>
      </c>
      <c r="AK59" s="99">
        <f t="shared" si="0"/>
        <v>0.83000000000000007</v>
      </c>
      <c r="AL59" s="99">
        <f t="shared" si="1"/>
        <v>0.70000000000000007</v>
      </c>
    </row>
    <row r="60" spans="2:38" ht="75" x14ac:dyDescent="0.25">
      <c r="B60" s="6" t="s">
        <v>231</v>
      </c>
      <c r="C60" s="6" t="s">
        <v>232</v>
      </c>
      <c r="D60" s="6" t="s">
        <v>233</v>
      </c>
      <c r="E60" s="6" t="s">
        <v>234</v>
      </c>
      <c r="F60" s="6" t="s">
        <v>235</v>
      </c>
      <c r="G60" s="6"/>
      <c r="H60" s="6"/>
      <c r="I60" s="6"/>
      <c r="J60" s="6" t="s">
        <v>299</v>
      </c>
      <c r="K60" s="7" t="s">
        <v>300</v>
      </c>
      <c r="L60" s="7"/>
      <c r="M60" s="6" t="s">
        <v>184</v>
      </c>
      <c r="N60" s="9">
        <v>42552</v>
      </c>
      <c r="O60" s="9">
        <v>42735</v>
      </c>
      <c r="P60" s="7" t="s">
        <v>297</v>
      </c>
      <c r="Q60" s="7" t="s">
        <v>52</v>
      </c>
      <c r="R60" s="87">
        <v>0.03</v>
      </c>
      <c r="S60" s="88"/>
      <c r="T60" s="89"/>
      <c r="U60" s="89"/>
      <c r="V60" s="89"/>
      <c r="W60" s="89"/>
      <c r="X60" s="88"/>
      <c r="Y60" s="89">
        <v>0.16</v>
      </c>
      <c r="Z60" s="89">
        <v>0.16</v>
      </c>
      <c r="AA60" s="88">
        <v>0.17</v>
      </c>
      <c r="AB60" s="87">
        <v>0.17</v>
      </c>
      <c r="AC60" s="87">
        <v>0.17</v>
      </c>
      <c r="AD60" s="88">
        <v>0.17</v>
      </c>
      <c r="AE60" s="90" t="s">
        <v>513</v>
      </c>
      <c r="AF60" s="88">
        <v>0.17</v>
      </c>
      <c r="AG60" s="88">
        <f>16%+16%+17%+17%+17%</f>
        <v>0.83000000000000007</v>
      </c>
      <c r="AH60" s="97" t="s">
        <v>544</v>
      </c>
      <c r="AK60" s="99">
        <f t="shared" si="0"/>
        <v>0.83000000000000007</v>
      </c>
      <c r="AL60" s="99">
        <f t="shared" si="1"/>
        <v>0.83000000000000007</v>
      </c>
    </row>
    <row r="61" spans="2:38" ht="75" x14ac:dyDescent="0.25">
      <c r="B61" s="6" t="s">
        <v>231</v>
      </c>
      <c r="C61" s="6" t="s">
        <v>232</v>
      </c>
      <c r="D61" s="6" t="s">
        <v>233</v>
      </c>
      <c r="E61" s="6" t="s">
        <v>234</v>
      </c>
      <c r="F61" s="6" t="s">
        <v>302</v>
      </c>
      <c r="G61" s="6"/>
      <c r="H61" s="6"/>
      <c r="I61" s="6"/>
      <c r="J61" s="6" t="s">
        <v>303</v>
      </c>
      <c r="K61" s="7" t="s">
        <v>304</v>
      </c>
      <c r="L61" s="7" t="s">
        <v>305</v>
      </c>
      <c r="M61" s="6" t="s">
        <v>184</v>
      </c>
      <c r="N61" s="9">
        <v>42552</v>
      </c>
      <c r="O61" s="9">
        <v>42735</v>
      </c>
      <c r="P61" s="7" t="s">
        <v>289</v>
      </c>
      <c r="Q61" s="7" t="s">
        <v>52</v>
      </c>
      <c r="R61" s="87">
        <v>0.03</v>
      </c>
      <c r="S61" s="88"/>
      <c r="T61" s="89"/>
      <c r="U61" s="89"/>
      <c r="V61" s="89"/>
      <c r="W61" s="89"/>
      <c r="X61" s="88"/>
      <c r="Y61" s="89">
        <v>0.16</v>
      </c>
      <c r="Z61" s="89">
        <v>0.16</v>
      </c>
      <c r="AA61" s="88">
        <v>0.17</v>
      </c>
      <c r="AB61" s="87">
        <v>0.17</v>
      </c>
      <c r="AC61" s="87">
        <v>0.17</v>
      </c>
      <c r="AD61" s="88">
        <v>0.17</v>
      </c>
      <c r="AE61" s="90" t="s">
        <v>513</v>
      </c>
      <c r="AF61" s="88">
        <v>0.17</v>
      </c>
      <c r="AG61" s="88">
        <f>16%+16%+17%+17%+17%</f>
        <v>0.83000000000000007</v>
      </c>
      <c r="AH61" s="97" t="s">
        <v>545</v>
      </c>
      <c r="AK61" s="99">
        <f t="shared" si="0"/>
        <v>0.83000000000000007</v>
      </c>
      <c r="AL61" s="99">
        <f t="shared" si="1"/>
        <v>0.83000000000000007</v>
      </c>
    </row>
    <row r="62" spans="2:38" ht="75" x14ac:dyDescent="0.25">
      <c r="B62" s="6" t="s">
        <v>231</v>
      </c>
      <c r="C62" s="6" t="s">
        <v>232</v>
      </c>
      <c r="D62" s="6" t="s">
        <v>233</v>
      </c>
      <c r="E62" s="6" t="s">
        <v>234</v>
      </c>
      <c r="F62" s="6" t="s">
        <v>307</v>
      </c>
      <c r="G62" s="6"/>
      <c r="H62" s="6"/>
      <c r="I62" s="6"/>
      <c r="J62" s="6" t="s">
        <v>308</v>
      </c>
      <c r="K62" s="7" t="s">
        <v>309</v>
      </c>
      <c r="L62" s="7" t="s">
        <v>310</v>
      </c>
      <c r="M62" s="6" t="s">
        <v>184</v>
      </c>
      <c r="N62" s="9">
        <v>42552</v>
      </c>
      <c r="O62" s="9">
        <v>42735</v>
      </c>
      <c r="P62" s="7" t="s">
        <v>289</v>
      </c>
      <c r="Q62" s="7" t="s">
        <v>52</v>
      </c>
      <c r="R62" s="87">
        <v>0.03</v>
      </c>
      <c r="S62" s="88"/>
      <c r="T62" s="89"/>
      <c r="U62" s="89"/>
      <c r="V62" s="89"/>
      <c r="W62" s="89"/>
      <c r="X62" s="88"/>
      <c r="Y62" s="89">
        <v>0.16</v>
      </c>
      <c r="Z62" s="89">
        <v>0.16</v>
      </c>
      <c r="AA62" s="88">
        <v>0.17</v>
      </c>
      <c r="AB62" s="87">
        <v>0.17</v>
      </c>
      <c r="AC62" s="87">
        <v>0.17</v>
      </c>
      <c r="AD62" s="88">
        <v>0.17</v>
      </c>
      <c r="AE62" s="90" t="s">
        <v>513</v>
      </c>
      <c r="AF62" s="88">
        <v>0.17</v>
      </c>
      <c r="AG62" s="88">
        <f>16%+16%+17%+17%+17%</f>
        <v>0.83000000000000007</v>
      </c>
      <c r="AH62" s="7" t="s">
        <v>546</v>
      </c>
      <c r="AK62" s="99">
        <f t="shared" si="0"/>
        <v>0.83000000000000007</v>
      </c>
      <c r="AL62" s="99">
        <f t="shared" si="1"/>
        <v>0.83000000000000007</v>
      </c>
    </row>
    <row r="63" spans="2:38" ht="128.25" customHeight="1" x14ac:dyDescent="0.25">
      <c r="B63" s="6" t="s">
        <v>231</v>
      </c>
      <c r="C63" s="6" t="s">
        <v>232</v>
      </c>
      <c r="D63" s="6" t="s">
        <v>233</v>
      </c>
      <c r="E63" s="6" t="s">
        <v>234</v>
      </c>
      <c r="F63" s="6" t="s">
        <v>307</v>
      </c>
      <c r="G63" s="6"/>
      <c r="H63" s="6"/>
      <c r="I63" s="6"/>
      <c r="J63" s="6" t="s">
        <v>312</v>
      </c>
      <c r="K63" s="7" t="s">
        <v>313</v>
      </c>
      <c r="L63" s="7" t="s">
        <v>314</v>
      </c>
      <c r="M63" s="6" t="s">
        <v>184</v>
      </c>
      <c r="N63" s="9">
        <v>42552</v>
      </c>
      <c r="O63" s="9">
        <v>42735</v>
      </c>
      <c r="P63" s="7" t="s">
        <v>315</v>
      </c>
      <c r="Q63" s="7" t="s">
        <v>316</v>
      </c>
      <c r="R63" s="87">
        <v>0.03</v>
      </c>
      <c r="S63" s="88"/>
      <c r="T63" s="89"/>
      <c r="U63" s="89"/>
      <c r="V63" s="89"/>
      <c r="W63" s="89"/>
      <c r="X63" s="88"/>
      <c r="Y63" s="89">
        <v>0.16</v>
      </c>
      <c r="Z63" s="89">
        <v>0.16</v>
      </c>
      <c r="AA63" s="88">
        <v>0.17</v>
      </c>
      <c r="AB63" s="87">
        <v>0.17</v>
      </c>
      <c r="AC63" s="87">
        <v>0.17</v>
      </c>
      <c r="AD63" s="88">
        <v>0.17</v>
      </c>
      <c r="AE63" s="90" t="s">
        <v>513</v>
      </c>
      <c r="AF63" s="88">
        <v>0.1</v>
      </c>
      <c r="AG63" s="88">
        <f>16%+16%+17%+17%+10%</f>
        <v>0.76</v>
      </c>
      <c r="AH63" s="16" t="s">
        <v>547</v>
      </c>
      <c r="AK63" s="99">
        <f t="shared" si="0"/>
        <v>0.83000000000000007</v>
      </c>
      <c r="AL63" s="99">
        <f t="shared" si="1"/>
        <v>0.76</v>
      </c>
    </row>
    <row r="64" spans="2:38" ht="75" x14ac:dyDescent="0.25">
      <c r="B64" s="6" t="s">
        <v>231</v>
      </c>
      <c r="C64" s="6" t="s">
        <v>232</v>
      </c>
      <c r="D64" s="6" t="s">
        <v>233</v>
      </c>
      <c r="E64" s="6" t="s">
        <v>234</v>
      </c>
      <c r="F64" s="6" t="s">
        <v>235</v>
      </c>
      <c r="G64" s="6"/>
      <c r="H64" s="6"/>
      <c r="I64" s="6"/>
      <c r="J64" s="6" t="s">
        <v>317</v>
      </c>
      <c r="K64" s="7" t="s">
        <v>318</v>
      </c>
      <c r="L64" s="7" t="s">
        <v>319</v>
      </c>
      <c r="M64" s="6" t="s">
        <v>184</v>
      </c>
      <c r="N64" s="9">
        <v>42552</v>
      </c>
      <c r="O64" s="9">
        <v>42735</v>
      </c>
      <c r="P64" s="7" t="s">
        <v>52</v>
      </c>
      <c r="Q64" s="7" t="s">
        <v>52</v>
      </c>
      <c r="R64" s="87">
        <v>0.03</v>
      </c>
      <c r="S64" s="88"/>
      <c r="T64" s="89"/>
      <c r="U64" s="89"/>
      <c r="V64" s="89"/>
      <c r="W64" s="89"/>
      <c r="X64" s="88"/>
      <c r="Y64" s="89">
        <v>0.16</v>
      </c>
      <c r="Z64" s="89">
        <v>0.16</v>
      </c>
      <c r="AA64" s="88">
        <v>0.17</v>
      </c>
      <c r="AB64" s="87">
        <v>0.17</v>
      </c>
      <c r="AC64" s="87">
        <v>0.17</v>
      </c>
      <c r="AD64" s="88">
        <v>0.17</v>
      </c>
      <c r="AE64" s="90" t="s">
        <v>513</v>
      </c>
      <c r="AF64" s="88">
        <v>0.1</v>
      </c>
      <c r="AG64" s="88">
        <f>30%+20%+17%+17%+10%</f>
        <v>0.94000000000000006</v>
      </c>
      <c r="AH64" s="16" t="s">
        <v>548</v>
      </c>
      <c r="AK64" s="99">
        <f t="shared" si="0"/>
        <v>0.83000000000000007</v>
      </c>
      <c r="AL64" s="99">
        <f t="shared" si="1"/>
        <v>0.94000000000000006</v>
      </c>
    </row>
    <row r="65" spans="2:38" ht="75" x14ac:dyDescent="0.25">
      <c r="B65" s="6" t="s">
        <v>231</v>
      </c>
      <c r="C65" s="6" t="s">
        <v>232</v>
      </c>
      <c r="D65" s="6" t="s">
        <v>233</v>
      </c>
      <c r="E65" s="6" t="s">
        <v>234</v>
      </c>
      <c r="F65" s="6" t="s">
        <v>235</v>
      </c>
      <c r="G65" s="6"/>
      <c r="H65" s="6"/>
      <c r="I65" s="6"/>
      <c r="J65" s="6" t="s">
        <v>320</v>
      </c>
      <c r="K65" s="7" t="s">
        <v>321</v>
      </c>
      <c r="L65" s="7" t="s">
        <v>322</v>
      </c>
      <c r="M65" s="6" t="s">
        <v>184</v>
      </c>
      <c r="N65" s="9">
        <v>42552</v>
      </c>
      <c r="O65" s="9">
        <v>42735</v>
      </c>
      <c r="P65" s="7" t="s">
        <v>52</v>
      </c>
      <c r="Q65" s="7" t="s">
        <v>52</v>
      </c>
      <c r="R65" s="87">
        <v>0.03</v>
      </c>
      <c r="S65" s="88"/>
      <c r="T65" s="89"/>
      <c r="U65" s="89"/>
      <c r="V65" s="89"/>
      <c r="W65" s="89"/>
      <c r="X65" s="88"/>
      <c r="Y65" s="89">
        <v>0.16</v>
      </c>
      <c r="Z65" s="89">
        <v>0.16</v>
      </c>
      <c r="AA65" s="88">
        <v>0.17</v>
      </c>
      <c r="AB65" s="87">
        <v>0.17</v>
      </c>
      <c r="AC65" s="87">
        <v>0.17</v>
      </c>
      <c r="AD65" s="88">
        <v>0.17</v>
      </c>
      <c r="AE65" s="90" t="s">
        <v>513</v>
      </c>
      <c r="AF65" s="88"/>
      <c r="AG65" s="88">
        <f>80%+10%+10%</f>
        <v>1</v>
      </c>
      <c r="AH65" s="16"/>
      <c r="AK65" s="99">
        <f t="shared" si="0"/>
        <v>0.83000000000000007</v>
      </c>
      <c r="AL65" s="99">
        <f t="shared" si="1"/>
        <v>1</v>
      </c>
    </row>
    <row r="66" spans="2:38" ht="75" x14ac:dyDescent="0.25">
      <c r="B66" s="6" t="s">
        <v>231</v>
      </c>
      <c r="C66" s="6" t="s">
        <v>232</v>
      </c>
      <c r="D66" s="6" t="s">
        <v>233</v>
      </c>
      <c r="E66" s="6" t="s">
        <v>234</v>
      </c>
      <c r="F66" s="6" t="s">
        <v>235</v>
      </c>
      <c r="G66" s="6"/>
      <c r="H66" s="6"/>
      <c r="I66" s="6"/>
      <c r="J66" s="6" t="s">
        <v>323</v>
      </c>
      <c r="K66" s="7" t="s">
        <v>324</v>
      </c>
      <c r="L66" s="7" t="s">
        <v>325</v>
      </c>
      <c r="M66" s="6" t="s">
        <v>184</v>
      </c>
      <c r="N66" s="9">
        <v>42552</v>
      </c>
      <c r="O66" s="9">
        <v>42735</v>
      </c>
      <c r="P66" s="7" t="s">
        <v>326</v>
      </c>
      <c r="Q66" s="7" t="s">
        <v>52</v>
      </c>
      <c r="R66" s="87">
        <v>0.03</v>
      </c>
      <c r="S66" s="88"/>
      <c r="T66" s="89"/>
      <c r="U66" s="89"/>
      <c r="V66" s="89"/>
      <c r="W66" s="89"/>
      <c r="X66" s="88"/>
      <c r="Y66" s="89">
        <v>0.16</v>
      </c>
      <c r="Z66" s="89">
        <v>0.16</v>
      </c>
      <c r="AA66" s="88">
        <v>0.17</v>
      </c>
      <c r="AB66" s="87">
        <v>0.17</v>
      </c>
      <c r="AC66" s="87">
        <v>0.17</v>
      </c>
      <c r="AD66" s="88">
        <v>0.17</v>
      </c>
      <c r="AE66" s="90" t="s">
        <v>513</v>
      </c>
      <c r="AF66" s="88">
        <v>0.17</v>
      </c>
      <c r="AG66" s="88">
        <f>16%+16%+17%+17%+17%</f>
        <v>0.83000000000000007</v>
      </c>
      <c r="AH66" s="16" t="s">
        <v>549</v>
      </c>
      <c r="AK66" s="99">
        <f t="shared" si="0"/>
        <v>0.83000000000000007</v>
      </c>
      <c r="AL66" s="99">
        <f t="shared" si="1"/>
        <v>0.83000000000000007</v>
      </c>
    </row>
    <row r="67" spans="2:38" ht="75" x14ac:dyDescent="0.25">
      <c r="B67" s="6" t="s">
        <v>231</v>
      </c>
      <c r="C67" s="6" t="s">
        <v>232</v>
      </c>
      <c r="D67" s="6" t="s">
        <v>233</v>
      </c>
      <c r="E67" s="6" t="s">
        <v>234</v>
      </c>
      <c r="F67" s="6" t="s">
        <v>382</v>
      </c>
      <c r="G67" s="6"/>
      <c r="H67" s="6"/>
      <c r="I67" s="6"/>
      <c r="J67" s="6" t="s">
        <v>327</v>
      </c>
      <c r="K67" s="7" t="s">
        <v>328</v>
      </c>
      <c r="L67" s="7" t="s">
        <v>329</v>
      </c>
      <c r="M67" s="6" t="s">
        <v>184</v>
      </c>
      <c r="N67" s="9">
        <v>42552</v>
      </c>
      <c r="O67" s="9">
        <v>42735</v>
      </c>
      <c r="P67" s="7" t="s">
        <v>297</v>
      </c>
      <c r="Q67" s="7" t="s">
        <v>52</v>
      </c>
      <c r="R67" s="87">
        <v>0.03</v>
      </c>
      <c r="S67" s="88"/>
      <c r="T67" s="89"/>
      <c r="U67" s="89"/>
      <c r="V67" s="89"/>
      <c r="W67" s="89"/>
      <c r="X67" s="88"/>
      <c r="Y67" s="89">
        <v>0.16</v>
      </c>
      <c r="Z67" s="89">
        <v>0.16</v>
      </c>
      <c r="AA67" s="88">
        <v>0.17</v>
      </c>
      <c r="AB67" s="87">
        <v>0.17</v>
      </c>
      <c r="AC67" s="87">
        <v>0.17</v>
      </c>
      <c r="AD67" s="88">
        <v>0.17</v>
      </c>
      <c r="AE67" s="90" t="s">
        <v>513</v>
      </c>
      <c r="AF67" s="88">
        <v>0.17</v>
      </c>
      <c r="AG67" s="88">
        <f>16%+16%+17%+17%+17%</f>
        <v>0.83000000000000007</v>
      </c>
      <c r="AH67" s="94" t="s">
        <v>550</v>
      </c>
      <c r="AK67" s="99">
        <f t="shared" si="0"/>
        <v>0.83000000000000007</v>
      </c>
      <c r="AL67" s="99">
        <f t="shared" si="1"/>
        <v>0.83000000000000007</v>
      </c>
    </row>
    <row r="68" spans="2:38" ht="105" x14ac:dyDescent="0.25">
      <c r="B68" s="6" t="s">
        <v>231</v>
      </c>
      <c r="C68" s="6" t="s">
        <v>232</v>
      </c>
      <c r="D68" s="6" t="s">
        <v>233</v>
      </c>
      <c r="E68" s="6" t="s">
        <v>234</v>
      </c>
      <c r="F68" s="6" t="s">
        <v>235</v>
      </c>
      <c r="G68" s="6"/>
      <c r="H68" s="6"/>
      <c r="I68" s="6"/>
      <c r="J68" s="6" t="s">
        <v>331</v>
      </c>
      <c r="K68" s="7" t="s">
        <v>332</v>
      </c>
      <c r="L68" s="7" t="s">
        <v>333</v>
      </c>
      <c r="M68" s="6" t="s">
        <v>51</v>
      </c>
      <c r="N68" s="9">
        <v>42522</v>
      </c>
      <c r="O68" s="9">
        <v>42704</v>
      </c>
      <c r="P68" s="7" t="s">
        <v>297</v>
      </c>
      <c r="Q68" s="7" t="s">
        <v>52</v>
      </c>
      <c r="R68" s="87">
        <v>0.03</v>
      </c>
      <c r="S68" s="88"/>
      <c r="T68" s="89"/>
      <c r="U68" s="89"/>
      <c r="V68" s="89"/>
      <c r="W68" s="89"/>
      <c r="X68" s="88">
        <v>0.15</v>
      </c>
      <c r="Y68" s="89">
        <v>0.15</v>
      </c>
      <c r="Z68" s="89">
        <v>0.15</v>
      </c>
      <c r="AA68" s="88">
        <v>0.15</v>
      </c>
      <c r="AB68" s="87">
        <v>0.2</v>
      </c>
      <c r="AC68" s="87">
        <v>0.2</v>
      </c>
      <c r="AD68" s="88"/>
      <c r="AE68" s="90" t="s">
        <v>513</v>
      </c>
      <c r="AF68" s="88">
        <v>0.2</v>
      </c>
      <c r="AG68" s="88">
        <f>45%+15%+20%+20%</f>
        <v>1</v>
      </c>
      <c r="AH68" s="16" t="s">
        <v>514</v>
      </c>
      <c r="AK68" s="99">
        <f t="shared" si="0"/>
        <v>1</v>
      </c>
      <c r="AL68" s="99">
        <f t="shared" si="1"/>
        <v>1</v>
      </c>
    </row>
    <row r="69" spans="2:38" ht="186.75" customHeight="1" x14ac:dyDescent="0.25">
      <c r="B69" s="6" t="s">
        <v>231</v>
      </c>
      <c r="C69" s="6" t="s">
        <v>232</v>
      </c>
      <c r="D69" s="6" t="s">
        <v>233</v>
      </c>
      <c r="E69" s="6" t="s">
        <v>234</v>
      </c>
      <c r="F69" s="6" t="s">
        <v>382</v>
      </c>
      <c r="G69" s="6"/>
      <c r="H69" s="6"/>
      <c r="I69" s="6"/>
      <c r="J69" s="6" t="s">
        <v>335</v>
      </c>
      <c r="K69" s="7" t="s">
        <v>336</v>
      </c>
      <c r="L69" s="7" t="s">
        <v>337</v>
      </c>
      <c r="M69" s="6" t="s">
        <v>297</v>
      </c>
      <c r="N69" s="9">
        <v>42552</v>
      </c>
      <c r="O69" s="9">
        <v>42735</v>
      </c>
      <c r="P69" s="7" t="s">
        <v>338</v>
      </c>
      <c r="Q69" s="7" t="s">
        <v>52</v>
      </c>
      <c r="R69" s="87">
        <v>0.04</v>
      </c>
      <c r="S69" s="88"/>
      <c r="T69" s="89"/>
      <c r="U69" s="89"/>
      <c r="V69" s="89"/>
      <c r="W69" s="89"/>
      <c r="X69" s="88"/>
      <c r="Y69" s="89">
        <v>0.1</v>
      </c>
      <c r="Z69" s="89">
        <v>0.1</v>
      </c>
      <c r="AA69" s="88">
        <v>0.2</v>
      </c>
      <c r="AB69" s="87">
        <v>0.2</v>
      </c>
      <c r="AC69" s="87">
        <v>0.3</v>
      </c>
      <c r="AD69" s="88">
        <v>0.1</v>
      </c>
      <c r="AE69" s="90" t="s">
        <v>513</v>
      </c>
      <c r="AF69" s="88">
        <v>0.3</v>
      </c>
      <c r="AG69" s="88">
        <f>8%+10%+20%+20%+30%</f>
        <v>0.88000000000000012</v>
      </c>
      <c r="AH69" s="8" t="s">
        <v>515</v>
      </c>
      <c r="AK69" s="99">
        <f t="shared" si="0"/>
        <v>0.90000000000000013</v>
      </c>
      <c r="AL69" s="99">
        <f t="shared" si="1"/>
        <v>0.88000000000000012</v>
      </c>
    </row>
    <row r="70" spans="2:38" ht="75" x14ac:dyDescent="0.25">
      <c r="B70" s="6" t="s">
        <v>231</v>
      </c>
      <c r="C70" s="6" t="s">
        <v>232</v>
      </c>
      <c r="D70" s="6" t="s">
        <v>233</v>
      </c>
      <c r="E70" s="6" t="s">
        <v>234</v>
      </c>
      <c r="F70" s="6" t="s">
        <v>235</v>
      </c>
      <c r="G70" s="6"/>
      <c r="H70" s="6"/>
      <c r="I70" s="6"/>
      <c r="J70" s="6" t="s">
        <v>339</v>
      </c>
      <c r="K70" s="7" t="s">
        <v>340</v>
      </c>
      <c r="L70" s="7" t="s">
        <v>341</v>
      </c>
      <c r="M70" s="6" t="s">
        <v>297</v>
      </c>
      <c r="N70" s="9">
        <v>42552</v>
      </c>
      <c r="O70" s="9">
        <v>42735</v>
      </c>
      <c r="P70" s="7" t="s">
        <v>342</v>
      </c>
      <c r="Q70" s="7" t="s">
        <v>52</v>
      </c>
      <c r="R70" s="87">
        <v>0.04</v>
      </c>
      <c r="S70" s="88"/>
      <c r="T70" s="89"/>
      <c r="U70" s="89"/>
      <c r="V70" s="89"/>
      <c r="W70" s="89"/>
      <c r="X70" s="88"/>
      <c r="Y70" s="89">
        <v>0.4</v>
      </c>
      <c r="Z70" s="89">
        <v>0.4</v>
      </c>
      <c r="AA70" s="88">
        <v>0.2</v>
      </c>
      <c r="AB70" s="87"/>
      <c r="AC70" s="87"/>
      <c r="AD70" s="88"/>
      <c r="AE70" s="90" t="s">
        <v>513</v>
      </c>
      <c r="AF70" s="88">
        <v>0.05</v>
      </c>
      <c r="AG70" s="88">
        <f>30%+30%+15%+5%</f>
        <v>0.8</v>
      </c>
      <c r="AH70" s="16" t="s">
        <v>516</v>
      </c>
      <c r="AK70" s="99">
        <f t="shared" si="0"/>
        <v>1</v>
      </c>
      <c r="AL70" s="99">
        <f t="shared" si="1"/>
        <v>0.8</v>
      </c>
    </row>
    <row r="71" spans="2:38" ht="300" x14ac:dyDescent="0.25">
      <c r="B71" s="6" t="s">
        <v>231</v>
      </c>
      <c r="C71" s="6" t="s">
        <v>232</v>
      </c>
      <c r="D71" s="6" t="s">
        <v>233</v>
      </c>
      <c r="E71" s="6" t="s">
        <v>234</v>
      </c>
      <c r="F71" s="6" t="s">
        <v>235</v>
      </c>
      <c r="G71" s="6"/>
      <c r="H71" s="6"/>
      <c r="I71" s="6"/>
      <c r="J71" s="6" t="s">
        <v>343</v>
      </c>
      <c r="K71" s="7" t="s">
        <v>344</v>
      </c>
      <c r="L71" s="7" t="s">
        <v>345</v>
      </c>
      <c r="M71" s="6" t="s">
        <v>297</v>
      </c>
      <c r="N71" s="9">
        <v>42594</v>
      </c>
      <c r="O71" s="9">
        <v>42735</v>
      </c>
      <c r="P71" s="7" t="s">
        <v>346</v>
      </c>
      <c r="Q71" s="7" t="s">
        <v>52</v>
      </c>
      <c r="R71" s="87">
        <v>0.04</v>
      </c>
      <c r="S71" s="88"/>
      <c r="T71" s="89"/>
      <c r="U71" s="89"/>
      <c r="V71" s="89"/>
      <c r="W71" s="89"/>
      <c r="X71" s="88"/>
      <c r="Y71" s="89">
        <v>0.1</v>
      </c>
      <c r="Z71" s="89">
        <v>0.25</v>
      </c>
      <c r="AA71" s="88">
        <v>0.1</v>
      </c>
      <c r="AB71" s="87">
        <v>0.15</v>
      </c>
      <c r="AC71" s="87">
        <v>0.1</v>
      </c>
      <c r="AD71" s="88">
        <v>0.3</v>
      </c>
      <c r="AE71" s="90" t="s">
        <v>513</v>
      </c>
      <c r="AF71" s="88">
        <v>0.1</v>
      </c>
      <c r="AG71" s="88">
        <f>10%+20%+10%+15%+10%</f>
        <v>0.65</v>
      </c>
      <c r="AH71" s="7" t="s">
        <v>517</v>
      </c>
      <c r="AK71" s="99">
        <f t="shared" si="0"/>
        <v>0.7</v>
      </c>
      <c r="AL71" s="99">
        <f t="shared" si="1"/>
        <v>0.65</v>
      </c>
    </row>
    <row r="72" spans="2:38" ht="75" x14ac:dyDescent="0.25">
      <c r="B72" s="6" t="s">
        <v>231</v>
      </c>
      <c r="C72" s="6" t="s">
        <v>232</v>
      </c>
      <c r="D72" s="6" t="s">
        <v>233</v>
      </c>
      <c r="E72" s="6" t="s">
        <v>234</v>
      </c>
      <c r="F72" s="6" t="s">
        <v>382</v>
      </c>
      <c r="G72" s="6"/>
      <c r="H72" s="6"/>
      <c r="I72" s="6"/>
      <c r="J72" s="6" t="s">
        <v>347</v>
      </c>
      <c r="K72" s="7" t="s">
        <v>348</v>
      </c>
      <c r="L72" s="7" t="s">
        <v>349</v>
      </c>
      <c r="M72" s="6" t="s">
        <v>297</v>
      </c>
      <c r="N72" s="9">
        <v>42552</v>
      </c>
      <c r="O72" s="9">
        <v>42674</v>
      </c>
      <c r="P72" s="7" t="s">
        <v>350</v>
      </c>
      <c r="Q72" s="7" t="s">
        <v>149</v>
      </c>
      <c r="R72" s="87">
        <v>0.04</v>
      </c>
      <c r="S72" s="88"/>
      <c r="T72" s="89"/>
      <c r="U72" s="89"/>
      <c r="V72" s="89"/>
      <c r="W72" s="89"/>
      <c r="X72" s="88"/>
      <c r="Y72" s="89"/>
      <c r="Z72" s="89">
        <v>0.5</v>
      </c>
      <c r="AA72" s="88">
        <v>0.5</v>
      </c>
      <c r="AB72" s="87"/>
      <c r="AC72" s="87"/>
      <c r="AD72" s="88"/>
      <c r="AE72" s="90" t="s">
        <v>513</v>
      </c>
      <c r="AF72" s="88">
        <v>0.2</v>
      </c>
      <c r="AG72" s="88">
        <f>15%+20%+15%+20%</f>
        <v>0.7</v>
      </c>
      <c r="AH72" s="16" t="s">
        <v>518</v>
      </c>
      <c r="AK72" s="99">
        <f t="shared" ref="AK72:AK76" si="2">+X72+Y72+Z72+AA72+AB72+AC72</f>
        <v>1</v>
      </c>
      <c r="AL72" s="99">
        <f t="shared" ref="AL72:AL76" si="3">+AG72</f>
        <v>0.7</v>
      </c>
    </row>
    <row r="73" spans="2:38" ht="105" x14ac:dyDescent="0.25">
      <c r="B73" s="6" t="s">
        <v>231</v>
      </c>
      <c r="C73" s="6" t="s">
        <v>232</v>
      </c>
      <c r="D73" s="6" t="s">
        <v>233</v>
      </c>
      <c r="E73" s="6" t="s">
        <v>234</v>
      </c>
      <c r="F73" s="6" t="s">
        <v>235</v>
      </c>
      <c r="G73" s="6"/>
      <c r="H73" s="6"/>
      <c r="I73" s="6"/>
      <c r="J73" s="6" t="s">
        <v>351</v>
      </c>
      <c r="K73" s="8" t="s">
        <v>352</v>
      </c>
      <c r="L73" s="7"/>
      <c r="M73" s="6" t="s">
        <v>353</v>
      </c>
      <c r="N73" s="9">
        <v>42552</v>
      </c>
      <c r="O73" s="9">
        <v>42735</v>
      </c>
      <c r="P73" s="7" t="s">
        <v>354</v>
      </c>
      <c r="Q73" s="6" t="s">
        <v>52</v>
      </c>
      <c r="R73" s="87">
        <v>0.02</v>
      </c>
      <c r="S73" s="88"/>
      <c r="T73" s="89"/>
      <c r="U73" s="89"/>
      <c r="V73" s="89"/>
      <c r="W73" s="89"/>
      <c r="X73" s="88"/>
      <c r="Y73" s="89"/>
      <c r="Z73" s="89">
        <v>0.5</v>
      </c>
      <c r="AA73" s="88"/>
      <c r="AB73" s="87"/>
      <c r="AC73" s="87"/>
      <c r="AD73" s="88">
        <v>0.5</v>
      </c>
      <c r="AE73" s="90" t="s">
        <v>513</v>
      </c>
      <c r="AF73" s="88"/>
      <c r="AG73" s="88">
        <v>0.5</v>
      </c>
      <c r="AH73" s="16"/>
      <c r="AK73" s="99">
        <f t="shared" si="2"/>
        <v>0.5</v>
      </c>
      <c r="AL73" s="99">
        <f t="shared" si="3"/>
        <v>0.5</v>
      </c>
    </row>
    <row r="74" spans="2:38" ht="114.75" x14ac:dyDescent="0.25">
      <c r="B74" s="6" t="s">
        <v>231</v>
      </c>
      <c r="C74" s="6" t="s">
        <v>232</v>
      </c>
      <c r="D74" s="6" t="s">
        <v>233</v>
      </c>
      <c r="E74" s="6" t="s">
        <v>234</v>
      </c>
      <c r="F74" s="6" t="s">
        <v>235</v>
      </c>
      <c r="G74" s="6"/>
      <c r="H74" s="6"/>
      <c r="I74" s="6"/>
      <c r="J74" s="6" t="s">
        <v>356</v>
      </c>
      <c r="K74" s="8" t="s">
        <v>357</v>
      </c>
      <c r="L74" s="7"/>
      <c r="M74" s="6" t="s">
        <v>353</v>
      </c>
      <c r="N74" s="9">
        <v>42552</v>
      </c>
      <c r="O74" s="9">
        <v>42735</v>
      </c>
      <c r="P74" s="7" t="s">
        <v>289</v>
      </c>
      <c r="Q74" s="6" t="s">
        <v>52</v>
      </c>
      <c r="R74" s="87">
        <v>0.02</v>
      </c>
      <c r="S74" s="88"/>
      <c r="T74" s="89"/>
      <c r="U74" s="89"/>
      <c r="V74" s="89"/>
      <c r="W74" s="89"/>
      <c r="X74" s="88"/>
      <c r="Y74" s="89">
        <v>0.16</v>
      </c>
      <c r="Z74" s="89">
        <v>0.16</v>
      </c>
      <c r="AA74" s="88">
        <v>0.16</v>
      </c>
      <c r="AB74" s="87">
        <v>0.16</v>
      </c>
      <c r="AC74" s="87">
        <v>0.18</v>
      </c>
      <c r="AD74" s="88">
        <v>0.18</v>
      </c>
      <c r="AE74" s="90" t="s">
        <v>513</v>
      </c>
      <c r="AF74" s="88">
        <v>0.18</v>
      </c>
      <c r="AG74" s="88">
        <f>16%+16%+16%+16%+18%</f>
        <v>0.82000000000000006</v>
      </c>
      <c r="AH74" s="16" t="s">
        <v>519</v>
      </c>
      <c r="AK74" s="99">
        <f t="shared" si="2"/>
        <v>0.82000000000000006</v>
      </c>
      <c r="AL74" s="99">
        <f t="shared" si="3"/>
        <v>0.82000000000000006</v>
      </c>
    </row>
    <row r="75" spans="2:38" ht="89.25" x14ac:dyDescent="0.25">
      <c r="B75" s="6" t="s">
        <v>231</v>
      </c>
      <c r="C75" s="6" t="s">
        <v>232</v>
      </c>
      <c r="D75" s="6" t="s">
        <v>233</v>
      </c>
      <c r="E75" s="6" t="s">
        <v>234</v>
      </c>
      <c r="F75" s="6" t="s">
        <v>382</v>
      </c>
      <c r="G75" s="6"/>
      <c r="H75" s="6"/>
      <c r="I75" s="6"/>
      <c r="J75" s="6" t="s">
        <v>358</v>
      </c>
      <c r="K75" s="8" t="s">
        <v>359</v>
      </c>
      <c r="L75" s="7"/>
      <c r="M75" s="6" t="s">
        <v>353</v>
      </c>
      <c r="N75" s="9">
        <v>42552</v>
      </c>
      <c r="O75" s="9">
        <v>42735</v>
      </c>
      <c r="P75" s="7" t="s">
        <v>289</v>
      </c>
      <c r="Q75" s="6" t="s">
        <v>52</v>
      </c>
      <c r="R75" s="87">
        <v>0.03</v>
      </c>
      <c r="S75" s="88"/>
      <c r="T75" s="89"/>
      <c r="U75" s="89"/>
      <c r="V75" s="89"/>
      <c r="W75" s="89"/>
      <c r="X75" s="88"/>
      <c r="Y75" s="89">
        <v>0.14000000000000001</v>
      </c>
      <c r="Z75" s="89">
        <v>0.22</v>
      </c>
      <c r="AA75" s="88">
        <v>0.14000000000000001</v>
      </c>
      <c r="AB75" s="87">
        <v>0.14000000000000001</v>
      </c>
      <c r="AC75" s="87">
        <v>0.22</v>
      </c>
      <c r="AD75" s="88">
        <v>0.14000000000000001</v>
      </c>
      <c r="AE75" s="90" t="s">
        <v>513</v>
      </c>
      <c r="AF75" s="88">
        <v>0.18</v>
      </c>
      <c r="AG75" s="88">
        <f>14%+22%+14%+14%+18%</f>
        <v>0.82000000000000006</v>
      </c>
      <c r="AH75" s="7" t="s">
        <v>520</v>
      </c>
      <c r="AK75" s="99">
        <f t="shared" si="2"/>
        <v>0.86</v>
      </c>
      <c r="AL75" s="99">
        <f t="shared" si="3"/>
        <v>0.82000000000000006</v>
      </c>
    </row>
    <row r="76" spans="2:38" ht="120" customHeight="1" x14ac:dyDescent="0.25">
      <c r="B76" s="6" t="s">
        <v>231</v>
      </c>
      <c r="C76" s="6" t="s">
        <v>232</v>
      </c>
      <c r="D76" s="6" t="s">
        <v>233</v>
      </c>
      <c r="E76" s="6" t="s">
        <v>234</v>
      </c>
      <c r="F76" s="6" t="s">
        <v>235</v>
      </c>
      <c r="G76" s="6"/>
      <c r="H76" s="6"/>
      <c r="I76" s="6"/>
      <c r="J76" s="6" t="s">
        <v>361</v>
      </c>
      <c r="K76" s="7" t="s">
        <v>362</v>
      </c>
      <c r="L76" s="7"/>
      <c r="M76" s="6" t="s">
        <v>353</v>
      </c>
      <c r="N76" s="9">
        <v>42552</v>
      </c>
      <c r="O76" s="9">
        <v>42735</v>
      </c>
      <c r="P76" s="7" t="s">
        <v>289</v>
      </c>
      <c r="Q76" s="8" t="s">
        <v>363</v>
      </c>
      <c r="R76" s="87">
        <v>0.02</v>
      </c>
      <c r="S76" s="88"/>
      <c r="T76" s="89"/>
      <c r="U76" s="89"/>
      <c r="V76" s="89"/>
      <c r="W76" s="89"/>
      <c r="X76" s="88"/>
      <c r="Y76" s="89">
        <v>0.5</v>
      </c>
      <c r="Z76" s="89">
        <v>0.08</v>
      </c>
      <c r="AA76" s="88">
        <v>0.17</v>
      </c>
      <c r="AB76" s="87">
        <v>0.08</v>
      </c>
      <c r="AC76" s="87">
        <v>0.08</v>
      </c>
      <c r="AD76" s="88">
        <v>0.09</v>
      </c>
      <c r="AE76" s="90" t="s">
        <v>513</v>
      </c>
      <c r="AF76" s="88">
        <v>0.08</v>
      </c>
      <c r="AG76" s="88">
        <f>50%+8%+17%+8%+8%</f>
        <v>0.90999999999999992</v>
      </c>
      <c r="AH76" s="16" t="s">
        <v>555</v>
      </c>
      <c r="AK76" s="99">
        <f t="shared" si="2"/>
        <v>0.90999999999999992</v>
      </c>
      <c r="AL76" s="99">
        <f t="shared" si="3"/>
        <v>0.90999999999999992</v>
      </c>
    </row>
  </sheetData>
  <autoFilter ref="B6:AH76"/>
  <mergeCells count="8">
    <mergeCell ref="B1:C2"/>
    <mergeCell ref="D1:AH1"/>
    <mergeCell ref="D2:AH2"/>
    <mergeCell ref="B5:F5"/>
    <mergeCell ref="G5:I5"/>
    <mergeCell ref="J5:R5"/>
    <mergeCell ref="S5:AD5"/>
    <mergeCell ref="AE5:AH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O76"/>
  <sheetViews>
    <sheetView topLeftCell="S1" zoomScale="80" zoomScaleNormal="80" workbookViewId="0">
      <pane ySplit="6" topLeftCell="A7" activePane="bottomLeft" state="frozen"/>
      <selection activeCell="AF12" sqref="AF12"/>
      <selection pane="bottomLeft" activeCell="AI7" sqref="AI7"/>
    </sheetView>
  </sheetViews>
  <sheetFormatPr baseColWidth="10" defaultRowHeight="15" x14ac:dyDescent="0.25"/>
  <cols>
    <col min="1" max="1" width="1.7109375" style="1" customWidth="1"/>
    <col min="2" max="2" width="17.28515625" style="2" customWidth="1"/>
    <col min="3" max="3" width="32.7109375" style="2" customWidth="1"/>
    <col min="4" max="4" width="20" style="1" customWidth="1"/>
    <col min="5" max="5" width="23.85546875" style="1" customWidth="1"/>
    <col min="6" max="6" width="30.5703125" style="1" customWidth="1"/>
    <col min="7" max="7" width="26.5703125" style="1" hidden="1" customWidth="1"/>
    <col min="8" max="8" width="27.5703125" style="1" hidden="1" customWidth="1"/>
    <col min="9" max="9" width="26.28515625" style="1" hidden="1" customWidth="1"/>
    <col min="10" max="10" width="33" style="1" customWidth="1"/>
    <col min="11" max="11" width="44.85546875" style="1" customWidth="1"/>
    <col min="12" max="12" width="46.42578125" style="1" hidden="1" customWidth="1"/>
    <col min="13" max="13" width="22" style="1" customWidth="1"/>
    <col min="14" max="14" width="15.85546875" style="1" hidden="1" customWidth="1"/>
    <col min="15" max="15" width="15.140625" style="1" hidden="1" customWidth="1"/>
    <col min="16" max="17" width="24.7109375" style="1" hidden="1" customWidth="1"/>
    <col min="18" max="18" width="15.7109375" style="1" hidden="1" customWidth="1"/>
    <col min="19" max="19" width="6.140625" style="1" customWidth="1"/>
    <col min="20" max="20" width="6" style="1" customWidth="1"/>
    <col min="21" max="21" width="6.42578125" style="1" customWidth="1"/>
    <col min="22" max="23" width="6.28515625" style="1" customWidth="1"/>
    <col min="24" max="24" width="6.7109375" style="1" customWidth="1"/>
    <col min="25" max="25" width="5.85546875" style="1" customWidth="1"/>
    <col min="26" max="26" width="6.42578125" style="1" customWidth="1"/>
    <col min="27" max="29" width="5.85546875" style="1" customWidth="1"/>
    <col min="30" max="30" width="6.28515625" style="1" customWidth="1"/>
    <col min="31" max="32" width="14.28515625" style="1" customWidth="1"/>
    <col min="33" max="33" width="17.85546875" style="1" customWidth="1"/>
    <col min="34" max="34" width="60.85546875" style="1" customWidth="1"/>
    <col min="35" max="36" width="11.42578125" style="1"/>
    <col min="37" max="37" width="15.42578125" style="1" customWidth="1"/>
    <col min="38" max="38" width="15" style="1" customWidth="1"/>
    <col min="39" max="16384" width="11.42578125" style="1"/>
  </cols>
  <sheetData>
    <row r="1" spans="2:41" ht="58.5" customHeight="1" x14ac:dyDescent="0.25">
      <c r="B1" s="66"/>
      <c r="C1" s="66"/>
      <c r="D1" s="67" t="s">
        <v>0</v>
      </c>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9"/>
    </row>
    <row r="2" spans="2:41" ht="51.75" customHeight="1" x14ac:dyDescent="0.25">
      <c r="B2" s="66"/>
      <c r="C2" s="66"/>
      <c r="D2" s="67" t="s">
        <v>1</v>
      </c>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9"/>
      <c r="AI2" s="42"/>
      <c r="AJ2" s="42"/>
      <c r="AK2" s="42"/>
      <c r="AL2" s="42"/>
      <c r="AM2" s="42"/>
      <c r="AN2" s="42"/>
      <c r="AO2" s="42"/>
    </row>
    <row r="3" spans="2:41" x14ac:dyDescent="0.25">
      <c r="AI3" s="59"/>
      <c r="AJ3" s="42">
        <v>500</v>
      </c>
      <c r="AK3" s="42">
        <v>100</v>
      </c>
      <c r="AL3" s="42"/>
      <c r="AM3" s="42">
        <v>6300</v>
      </c>
      <c r="AN3" s="42">
        <v>100</v>
      </c>
      <c r="AO3" s="42"/>
    </row>
    <row r="4" spans="2:41" x14ac:dyDescent="0.25">
      <c r="AI4" s="59"/>
      <c r="AJ4" s="42">
        <v>87</v>
      </c>
      <c r="AK4" s="42">
        <f>+(AJ4*AK3)/AJ3</f>
        <v>17.399999999999999</v>
      </c>
      <c r="AL4" s="42"/>
      <c r="AM4" s="42">
        <v>218</v>
      </c>
      <c r="AN4" s="42">
        <f>+(AM4*AN3)/AM3</f>
        <v>3.4603174603174605</v>
      </c>
      <c r="AO4" s="42"/>
    </row>
    <row r="5" spans="2:41" ht="34.5" customHeight="1" x14ac:dyDescent="0.25">
      <c r="B5" s="70" t="s">
        <v>2</v>
      </c>
      <c r="C5" s="71"/>
      <c r="D5" s="71"/>
      <c r="E5" s="71"/>
      <c r="F5" s="72"/>
      <c r="G5" s="73" t="s">
        <v>3</v>
      </c>
      <c r="H5" s="74"/>
      <c r="I5" s="75"/>
      <c r="J5" s="76" t="s">
        <v>4</v>
      </c>
      <c r="K5" s="76"/>
      <c r="L5" s="76"/>
      <c r="M5" s="76"/>
      <c r="N5" s="76"/>
      <c r="O5" s="76"/>
      <c r="P5" s="76"/>
      <c r="Q5" s="76"/>
      <c r="R5" s="76"/>
      <c r="S5" s="77" t="s">
        <v>5</v>
      </c>
      <c r="T5" s="78"/>
      <c r="U5" s="78"/>
      <c r="V5" s="78"/>
      <c r="W5" s="78"/>
      <c r="X5" s="78"/>
      <c r="Y5" s="78"/>
      <c r="Z5" s="78"/>
      <c r="AA5" s="78"/>
      <c r="AB5" s="78"/>
      <c r="AC5" s="78"/>
      <c r="AD5" s="79"/>
      <c r="AE5" s="70" t="s">
        <v>6</v>
      </c>
      <c r="AF5" s="71"/>
      <c r="AG5" s="71"/>
      <c r="AH5" s="72"/>
      <c r="AI5" s="42"/>
      <c r="AJ5" s="42"/>
      <c r="AK5" s="42"/>
      <c r="AL5" s="42"/>
      <c r="AM5" s="42"/>
      <c r="AN5" s="42"/>
      <c r="AO5" s="42"/>
    </row>
    <row r="6" spans="2:41" ht="78.75" x14ac:dyDescent="0.25">
      <c r="B6" s="3" t="s">
        <v>7</v>
      </c>
      <c r="C6" s="3" t="s">
        <v>8</v>
      </c>
      <c r="D6" s="3" t="s">
        <v>9</v>
      </c>
      <c r="E6" s="3" t="s">
        <v>10</v>
      </c>
      <c r="F6" s="3" t="s">
        <v>11</v>
      </c>
      <c r="G6" s="3" t="s">
        <v>12</v>
      </c>
      <c r="H6" s="3" t="s">
        <v>13</v>
      </c>
      <c r="I6" s="3" t="s">
        <v>14</v>
      </c>
      <c r="J6" s="3" t="s">
        <v>15</v>
      </c>
      <c r="K6" s="4" t="s">
        <v>16</v>
      </c>
      <c r="L6" s="3" t="s">
        <v>17</v>
      </c>
      <c r="M6" s="3" t="s">
        <v>18</v>
      </c>
      <c r="N6" s="3" t="s">
        <v>19</v>
      </c>
      <c r="O6" s="3" t="s">
        <v>20</v>
      </c>
      <c r="P6" s="3" t="s">
        <v>21</v>
      </c>
      <c r="Q6" s="3" t="s">
        <v>22</v>
      </c>
      <c r="R6" s="3" t="s">
        <v>23</v>
      </c>
      <c r="S6" s="3" t="s">
        <v>24</v>
      </c>
      <c r="T6" s="3" t="s">
        <v>25</v>
      </c>
      <c r="U6" s="3" t="s">
        <v>26</v>
      </c>
      <c r="V6" s="3" t="s">
        <v>27</v>
      </c>
      <c r="W6" s="3" t="s">
        <v>28</v>
      </c>
      <c r="X6" s="3" t="s">
        <v>29</v>
      </c>
      <c r="Y6" s="3" t="s">
        <v>30</v>
      </c>
      <c r="Z6" s="3" t="s">
        <v>31</v>
      </c>
      <c r="AA6" s="3" t="s">
        <v>32</v>
      </c>
      <c r="AB6" s="3" t="s">
        <v>33</v>
      </c>
      <c r="AC6" s="3" t="s">
        <v>34</v>
      </c>
      <c r="AD6" s="3" t="s">
        <v>35</v>
      </c>
      <c r="AE6" s="3" t="s">
        <v>36</v>
      </c>
      <c r="AF6" s="3" t="s">
        <v>37</v>
      </c>
      <c r="AG6" s="3" t="s">
        <v>38</v>
      </c>
      <c r="AH6" s="3" t="s">
        <v>39</v>
      </c>
      <c r="AK6" s="3" t="s">
        <v>40</v>
      </c>
      <c r="AL6" s="3" t="s">
        <v>41</v>
      </c>
    </row>
    <row r="7" spans="2:41" ht="138" customHeight="1" x14ac:dyDescent="0.25">
      <c r="B7" s="5" t="s">
        <v>42</v>
      </c>
      <c r="C7" s="5" t="s">
        <v>43</v>
      </c>
      <c r="D7" s="5" t="s">
        <v>44</v>
      </c>
      <c r="E7" s="5" t="s">
        <v>45</v>
      </c>
      <c r="F7" s="5" t="s">
        <v>46</v>
      </c>
      <c r="G7" s="5"/>
      <c r="H7" s="5"/>
      <c r="I7" s="5"/>
      <c r="J7" s="6" t="s">
        <v>47</v>
      </c>
      <c r="K7" s="7" t="s">
        <v>48</v>
      </c>
      <c r="L7" s="8" t="s">
        <v>49</v>
      </c>
      <c r="M7" s="6" t="s">
        <v>50</v>
      </c>
      <c r="N7" s="9">
        <v>42583</v>
      </c>
      <c r="O7" s="9">
        <v>42705</v>
      </c>
      <c r="P7" s="6" t="s">
        <v>51</v>
      </c>
      <c r="Q7" s="6" t="s">
        <v>52</v>
      </c>
      <c r="R7" s="10">
        <v>0.03</v>
      </c>
      <c r="S7" s="11"/>
      <c r="T7" s="12"/>
      <c r="U7" s="12"/>
      <c r="V7" s="12"/>
      <c r="W7" s="12"/>
      <c r="X7" s="11"/>
      <c r="Y7" s="12"/>
      <c r="Z7" s="12">
        <v>0.25</v>
      </c>
      <c r="AA7" s="11">
        <v>0.25</v>
      </c>
      <c r="AB7" s="11">
        <v>0.25</v>
      </c>
      <c r="AC7" s="11">
        <v>0.25</v>
      </c>
      <c r="AD7" s="11"/>
      <c r="AE7" s="13"/>
      <c r="AF7" s="11"/>
      <c r="AG7" s="11">
        <f>25%+25%+50%</f>
        <v>1</v>
      </c>
      <c r="AH7" s="52" t="s">
        <v>602</v>
      </c>
      <c r="AK7" s="14">
        <f>+X7+Y7+Z7+AA7+AB7+AC7+AD7</f>
        <v>1</v>
      </c>
      <c r="AL7" s="14">
        <f>+AG7</f>
        <v>1</v>
      </c>
    </row>
    <row r="8" spans="2:41" ht="90" x14ac:dyDescent="0.25">
      <c r="B8" s="5" t="s">
        <v>42</v>
      </c>
      <c r="C8" s="5" t="s">
        <v>43</v>
      </c>
      <c r="D8" s="5" t="s">
        <v>44</v>
      </c>
      <c r="E8" s="5" t="s">
        <v>45</v>
      </c>
      <c r="F8" s="5" t="s">
        <v>46</v>
      </c>
      <c r="G8" s="5"/>
      <c r="H8" s="5"/>
      <c r="I8" s="5"/>
      <c r="J8" s="6" t="s">
        <v>55</v>
      </c>
      <c r="K8" s="7" t="s">
        <v>56</v>
      </c>
      <c r="L8" s="7"/>
      <c r="M8" s="6" t="s">
        <v>50</v>
      </c>
      <c r="N8" s="9">
        <v>42614</v>
      </c>
      <c r="O8" s="9">
        <v>42644</v>
      </c>
      <c r="P8" s="6" t="s">
        <v>52</v>
      </c>
      <c r="Q8" s="6" t="s">
        <v>52</v>
      </c>
      <c r="R8" s="10">
        <v>0.03</v>
      </c>
      <c r="S8" s="11"/>
      <c r="T8" s="12"/>
      <c r="U8" s="12"/>
      <c r="V8" s="12"/>
      <c r="W8" s="12"/>
      <c r="X8" s="11"/>
      <c r="Y8" s="12"/>
      <c r="Z8" s="12"/>
      <c r="AA8" s="11">
        <v>1</v>
      </c>
      <c r="AB8" s="11"/>
      <c r="AC8" s="11"/>
      <c r="AD8" s="11"/>
      <c r="AE8" s="13"/>
      <c r="AF8" s="13"/>
      <c r="AG8" s="11">
        <v>1</v>
      </c>
      <c r="AH8" s="52"/>
      <c r="AK8" s="14">
        <f t="shared" ref="AK8:AK71" si="0">+X8+Y8+Z8+AA8+AB8+AC8+AD8</f>
        <v>1</v>
      </c>
      <c r="AL8" s="14">
        <f t="shared" ref="AL8:AL71" si="1">+AG8</f>
        <v>1</v>
      </c>
    </row>
    <row r="9" spans="2:41" ht="90" x14ac:dyDescent="0.25">
      <c r="B9" s="5" t="s">
        <v>42</v>
      </c>
      <c r="C9" s="5" t="s">
        <v>43</v>
      </c>
      <c r="D9" s="5" t="s">
        <v>44</v>
      </c>
      <c r="E9" s="5" t="s">
        <v>45</v>
      </c>
      <c r="F9" s="5" t="s">
        <v>46</v>
      </c>
      <c r="G9" s="5"/>
      <c r="H9" s="5"/>
      <c r="I9" s="5"/>
      <c r="J9" s="6" t="s">
        <v>57</v>
      </c>
      <c r="K9" s="7" t="s">
        <v>58</v>
      </c>
      <c r="L9" s="7" t="s">
        <v>59</v>
      </c>
      <c r="M9" s="6" t="s">
        <v>50</v>
      </c>
      <c r="N9" s="9">
        <v>42552</v>
      </c>
      <c r="O9" s="9">
        <v>42735</v>
      </c>
      <c r="P9" s="6" t="s">
        <v>60</v>
      </c>
      <c r="Q9" s="6" t="s">
        <v>52</v>
      </c>
      <c r="R9" s="10">
        <v>0.03</v>
      </c>
      <c r="S9" s="11"/>
      <c r="T9" s="12"/>
      <c r="U9" s="12"/>
      <c r="V9" s="12"/>
      <c r="W9" s="12"/>
      <c r="X9" s="11">
        <v>0.14000000000000001</v>
      </c>
      <c r="Y9" s="12">
        <v>0.14000000000000001</v>
      </c>
      <c r="Z9" s="12">
        <v>0.14000000000000001</v>
      </c>
      <c r="AA9" s="11">
        <v>0.14000000000000001</v>
      </c>
      <c r="AB9" s="11">
        <v>0.14000000000000001</v>
      </c>
      <c r="AC9" s="11">
        <v>0.15</v>
      </c>
      <c r="AD9" s="11">
        <v>0.15</v>
      </c>
      <c r="AE9" s="13" t="s">
        <v>569</v>
      </c>
      <c r="AF9" s="11">
        <v>0.44</v>
      </c>
      <c r="AG9" s="11">
        <f>14%+28%+14%+44%</f>
        <v>1</v>
      </c>
      <c r="AH9" s="52" t="s">
        <v>603</v>
      </c>
      <c r="AK9" s="14">
        <f t="shared" si="0"/>
        <v>1</v>
      </c>
      <c r="AL9" s="14">
        <f t="shared" si="1"/>
        <v>1</v>
      </c>
    </row>
    <row r="10" spans="2:41" ht="120" x14ac:dyDescent="0.25">
      <c r="B10" s="5" t="s">
        <v>42</v>
      </c>
      <c r="C10" s="5" t="s">
        <v>43</v>
      </c>
      <c r="D10" s="5" t="s">
        <v>44</v>
      </c>
      <c r="E10" s="5" t="s">
        <v>45</v>
      </c>
      <c r="F10" s="5" t="s">
        <v>46</v>
      </c>
      <c r="G10" s="5"/>
      <c r="H10" s="5"/>
      <c r="I10" s="5"/>
      <c r="J10" s="6" t="s">
        <v>62</v>
      </c>
      <c r="K10" s="7" t="s">
        <v>63</v>
      </c>
      <c r="L10" s="7" t="s">
        <v>64</v>
      </c>
      <c r="M10" s="6" t="s">
        <v>50</v>
      </c>
      <c r="N10" s="9">
        <v>42552</v>
      </c>
      <c r="O10" s="9">
        <v>42734</v>
      </c>
      <c r="P10" s="6" t="s">
        <v>52</v>
      </c>
      <c r="Q10" s="6" t="s">
        <v>52</v>
      </c>
      <c r="R10" s="10">
        <v>0.04</v>
      </c>
      <c r="S10" s="11"/>
      <c r="T10" s="12"/>
      <c r="U10" s="12"/>
      <c r="V10" s="12"/>
      <c r="W10" s="12"/>
      <c r="X10" s="11">
        <v>0.14000000000000001</v>
      </c>
      <c r="Y10" s="12">
        <v>0.14000000000000001</v>
      </c>
      <c r="Z10" s="12">
        <v>0.14000000000000001</v>
      </c>
      <c r="AA10" s="11">
        <v>0.14000000000000001</v>
      </c>
      <c r="AB10" s="11">
        <v>0.14000000000000001</v>
      </c>
      <c r="AC10" s="11">
        <v>0.15</v>
      </c>
      <c r="AD10" s="11">
        <v>0.15</v>
      </c>
      <c r="AE10" s="13" t="s">
        <v>569</v>
      </c>
      <c r="AF10" s="11">
        <v>0.15</v>
      </c>
      <c r="AG10" s="11">
        <f>14%+14%+14%+14%+14%+15%+15%</f>
        <v>1</v>
      </c>
      <c r="AH10" s="52" t="s">
        <v>604</v>
      </c>
      <c r="AK10" s="14">
        <f t="shared" si="0"/>
        <v>1</v>
      </c>
      <c r="AL10" s="14">
        <f t="shared" si="1"/>
        <v>1</v>
      </c>
    </row>
    <row r="11" spans="2:41" ht="127.5" x14ac:dyDescent="0.25">
      <c r="B11" s="5" t="s">
        <v>42</v>
      </c>
      <c r="C11" s="5" t="s">
        <v>43</v>
      </c>
      <c r="D11" s="5" t="s">
        <v>44</v>
      </c>
      <c r="E11" s="5" t="s">
        <v>45</v>
      </c>
      <c r="F11" s="5" t="s">
        <v>46</v>
      </c>
      <c r="G11" s="5"/>
      <c r="H11" s="5"/>
      <c r="I11" s="5"/>
      <c r="J11" s="6" t="s">
        <v>66</v>
      </c>
      <c r="K11" s="7" t="s">
        <v>48</v>
      </c>
      <c r="L11" s="8" t="s">
        <v>67</v>
      </c>
      <c r="M11" s="6" t="s">
        <v>50</v>
      </c>
      <c r="N11" s="9">
        <v>42583</v>
      </c>
      <c r="O11" s="9">
        <v>42705</v>
      </c>
      <c r="P11" s="6" t="s">
        <v>51</v>
      </c>
      <c r="Q11" s="6" t="s">
        <v>52</v>
      </c>
      <c r="R11" s="10">
        <v>0.03</v>
      </c>
      <c r="S11" s="11"/>
      <c r="T11" s="12"/>
      <c r="U11" s="12"/>
      <c r="V11" s="12"/>
      <c r="W11" s="12"/>
      <c r="X11" s="11"/>
      <c r="Y11" s="12"/>
      <c r="Z11" s="12">
        <v>0.25</v>
      </c>
      <c r="AA11" s="11">
        <v>0.25</v>
      </c>
      <c r="AB11" s="11">
        <v>0.25</v>
      </c>
      <c r="AC11" s="11">
        <v>0.25</v>
      </c>
      <c r="AD11" s="11"/>
      <c r="AE11" s="13"/>
      <c r="AF11" s="11"/>
      <c r="AG11" s="11">
        <f>25%+25%+16%+34%</f>
        <v>1</v>
      </c>
      <c r="AH11" s="52" t="s">
        <v>602</v>
      </c>
      <c r="AK11" s="14">
        <f t="shared" si="0"/>
        <v>1</v>
      </c>
      <c r="AL11" s="14">
        <f t="shared" si="1"/>
        <v>1</v>
      </c>
    </row>
    <row r="12" spans="2:41" ht="90" x14ac:dyDescent="0.25">
      <c r="B12" s="5" t="s">
        <v>42</v>
      </c>
      <c r="C12" s="5" t="s">
        <v>43</v>
      </c>
      <c r="D12" s="5" t="s">
        <v>44</v>
      </c>
      <c r="E12" s="5" t="s">
        <v>45</v>
      </c>
      <c r="F12" s="5" t="s">
        <v>46</v>
      </c>
      <c r="G12" s="5"/>
      <c r="H12" s="5"/>
      <c r="I12" s="5"/>
      <c r="J12" s="6" t="s">
        <v>69</v>
      </c>
      <c r="K12" s="7" t="s">
        <v>70</v>
      </c>
      <c r="L12" s="7"/>
      <c r="M12" s="6" t="s">
        <v>50</v>
      </c>
      <c r="N12" s="9">
        <v>42614</v>
      </c>
      <c r="O12" s="9">
        <v>42644</v>
      </c>
      <c r="P12" s="6" t="s">
        <v>52</v>
      </c>
      <c r="Q12" s="6" t="s">
        <v>52</v>
      </c>
      <c r="R12" s="10">
        <v>0.03</v>
      </c>
      <c r="S12" s="11"/>
      <c r="T12" s="12"/>
      <c r="U12" s="12"/>
      <c r="V12" s="12"/>
      <c r="W12" s="12"/>
      <c r="X12" s="11"/>
      <c r="Y12" s="12"/>
      <c r="Z12" s="12"/>
      <c r="AA12" s="11">
        <v>1</v>
      </c>
      <c r="AB12" s="11"/>
      <c r="AC12" s="11"/>
      <c r="AD12" s="11"/>
      <c r="AE12" s="13"/>
      <c r="AF12" s="11"/>
      <c r="AG12" s="11">
        <v>1</v>
      </c>
      <c r="AH12" s="52"/>
      <c r="AK12" s="14">
        <f t="shared" si="0"/>
        <v>1</v>
      </c>
      <c r="AL12" s="14">
        <f t="shared" si="1"/>
        <v>1</v>
      </c>
    </row>
    <row r="13" spans="2:41" ht="90" x14ac:dyDescent="0.25">
      <c r="B13" s="5" t="s">
        <v>42</v>
      </c>
      <c r="C13" s="5" t="s">
        <v>43</v>
      </c>
      <c r="D13" s="5" t="s">
        <v>44</v>
      </c>
      <c r="E13" s="5" t="s">
        <v>45</v>
      </c>
      <c r="F13" s="5" t="s">
        <v>46</v>
      </c>
      <c r="G13" s="5"/>
      <c r="H13" s="5"/>
      <c r="I13" s="5"/>
      <c r="J13" s="6" t="s">
        <v>71</v>
      </c>
      <c r="K13" s="7" t="s">
        <v>72</v>
      </c>
      <c r="L13" s="7" t="s">
        <v>59</v>
      </c>
      <c r="M13" s="6" t="s">
        <v>50</v>
      </c>
      <c r="N13" s="9">
        <v>42583</v>
      </c>
      <c r="O13" s="9">
        <v>42705</v>
      </c>
      <c r="P13" s="6" t="s">
        <v>51</v>
      </c>
      <c r="Q13" s="6" t="s">
        <v>52</v>
      </c>
      <c r="R13" s="10">
        <v>0.03</v>
      </c>
      <c r="S13" s="11"/>
      <c r="T13" s="12"/>
      <c r="U13" s="12"/>
      <c r="V13" s="12"/>
      <c r="W13" s="12"/>
      <c r="X13" s="11"/>
      <c r="Y13" s="12"/>
      <c r="Z13" s="12">
        <v>0.25</v>
      </c>
      <c r="AA13" s="11">
        <v>0.25</v>
      </c>
      <c r="AB13" s="11">
        <v>0.25</v>
      </c>
      <c r="AC13" s="11">
        <v>0.25</v>
      </c>
      <c r="AD13" s="11"/>
      <c r="AE13" s="13" t="s">
        <v>569</v>
      </c>
      <c r="AF13" s="11">
        <v>0.75</v>
      </c>
      <c r="AG13" s="11">
        <v>0.75</v>
      </c>
      <c r="AH13" s="52" t="s">
        <v>605</v>
      </c>
      <c r="AK13" s="14">
        <f t="shared" si="0"/>
        <v>1</v>
      </c>
      <c r="AL13" s="14">
        <f t="shared" si="1"/>
        <v>0.75</v>
      </c>
    </row>
    <row r="14" spans="2:41" ht="120" x14ac:dyDescent="0.25">
      <c r="B14" s="5" t="s">
        <v>42</v>
      </c>
      <c r="C14" s="5" t="s">
        <v>43</v>
      </c>
      <c r="D14" s="5" t="s">
        <v>44</v>
      </c>
      <c r="E14" s="5" t="s">
        <v>45</v>
      </c>
      <c r="F14" s="5" t="s">
        <v>46</v>
      </c>
      <c r="G14" s="5"/>
      <c r="H14" s="5"/>
      <c r="I14" s="5"/>
      <c r="J14" s="6" t="s">
        <v>73</v>
      </c>
      <c r="K14" s="7" t="s">
        <v>74</v>
      </c>
      <c r="L14" s="7" t="s">
        <v>75</v>
      </c>
      <c r="M14" s="6" t="s">
        <v>50</v>
      </c>
      <c r="N14" s="9">
        <v>42522</v>
      </c>
      <c r="O14" s="9">
        <v>42887</v>
      </c>
      <c r="P14" s="6" t="s">
        <v>76</v>
      </c>
      <c r="Q14" s="6" t="s">
        <v>77</v>
      </c>
      <c r="R14" s="10">
        <v>0.03</v>
      </c>
      <c r="S14" s="11"/>
      <c r="T14" s="12"/>
      <c r="U14" s="12"/>
      <c r="V14" s="12"/>
      <c r="W14" s="12"/>
      <c r="X14" s="11">
        <v>0.14000000000000001</v>
      </c>
      <c r="Y14" s="12">
        <v>0.14000000000000001</v>
      </c>
      <c r="Z14" s="12">
        <v>0.14000000000000001</v>
      </c>
      <c r="AA14" s="11">
        <v>0.14000000000000001</v>
      </c>
      <c r="AB14" s="11">
        <v>0.14000000000000001</v>
      </c>
      <c r="AC14" s="11">
        <v>0.15</v>
      </c>
      <c r="AD14" s="11">
        <v>0.15</v>
      </c>
      <c r="AE14" s="13" t="s">
        <v>569</v>
      </c>
      <c r="AF14" s="11">
        <v>0.15</v>
      </c>
      <c r="AG14" s="11">
        <f>14%+14%+14%+14%+14%+15%+15%</f>
        <v>1</v>
      </c>
      <c r="AH14" s="52" t="s">
        <v>606</v>
      </c>
      <c r="AK14" s="14">
        <f t="shared" si="0"/>
        <v>1</v>
      </c>
      <c r="AL14" s="14">
        <f t="shared" si="1"/>
        <v>1</v>
      </c>
    </row>
    <row r="15" spans="2:41" ht="90" x14ac:dyDescent="0.25">
      <c r="B15" s="5" t="s">
        <v>42</v>
      </c>
      <c r="C15" s="5" t="s">
        <v>43</v>
      </c>
      <c r="D15" s="5" t="s">
        <v>44</v>
      </c>
      <c r="E15" s="5" t="s">
        <v>45</v>
      </c>
      <c r="F15" s="5" t="s">
        <v>46</v>
      </c>
      <c r="G15" s="5"/>
      <c r="H15" s="5"/>
      <c r="I15" s="5"/>
      <c r="J15" s="6" t="s">
        <v>79</v>
      </c>
      <c r="K15" s="7" t="s">
        <v>80</v>
      </c>
      <c r="L15" s="7" t="s">
        <v>81</v>
      </c>
      <c r="M15" s="6" t="s">
        <v>50</v>
      </c>
      <c r="N15" s="9">
        <v>42566</v>
      </c>
      <c r="O15" s="9">
        <v>42597</v>
      </c>
      <c r="P15" s="6" t="s">
        <v>82</v>
      </c>
      <c r="Q15" s="6" t="s">
        <v>83</v>
      </c>
      <c r="R15" s="10">
        <v>0.04</v>
      </c>
      <c r="S15" s="11"/>
      <c r="T15" s="12"/>
      <c r="U15" s="12"/>
      <c r="V15" s="12"/>
      <c r="W15" s="12"/>
      <c r="X15" s="11"/>
      <c r="Y15" s="12">
        <v>0.5</v>
      </c>
      <c r="Z15" s="12">
        <v>0.5</v>
      </c>
      <c r="AA15" s="11"/>
      <c r="AB15" s="11"/>
      <c r="AC15" s="11"/>
      <c r="AD15" s="11"/>
      <c r="AE15" s="13"/>
      <c r="AF15" s="11"/>
      <c r="AG15" s="11">
        <f>50%+50%</f>
        <v>1</v>
      </c>
      <c r="AH15" s="52"/>
      <c r="AK15" s="14">
        <f t="shared" si="0"/>
        <v>1</v>
      </c>
      <c r="AL15" s="14">
        <f t="shared" si="1"/>
        <v>1</v>
      </c>
    </row>
    <row r="16" spans="2:41" ht="90" x14ac:dyDescent="0.25">
      <c r="B16" s="5" t="s">
        <v>42</v>
      </c>
      <c r="C16" s="5" t="s">
        <v>43</v>
      </c>
      <c r="D16" s="5" t="s">
        <v>44</v>
      </c>
      <c r="E16" s="5" t="s">
        <v>45</v>
      </c>
      <c r="F16" s="5" t="s">
        <v>46</v>
      </c>
      <c r="G16" s="5"/>
      <c r="H16" s="5"/>
      <c r="I16" s="5"/>
      <c r="J16" s="6" t="s">
        <v>85</v>
      </c>
      <c r="K16" s="7" t="s">
        <v>86</v>
      </c>
      <c r="L16" s="7" t="s">
        <v>87</v>
      </c>
      <c r="M16" s="6" t="s">
        <v>50</v>
      </c>
      <c r="N16" s="9">
        <v>42552</v>
      </c>
      <c r="O16" s="9">
        <v>42705</v>
      </c>
      <c r="P16" s="6" t="s">
        <v>88</v>
      </c>
      <c r="Q16" s="6" t="s">
        <v>52</v>
      </c>
      <c r="R16" s="10">
        <v>0.04</v>
      </c>
      <c r="S16" s="11"/>
      <c r="T16" s="12"/>
      <c r="U16" s="12"/>
      <c r="V16" s="12"/>
      <c r="W16" s="12"/>
      <c r="X16" s="11"/>
      <c r="Y16" s="12">
        <v>0.2</v>
      </c>
      <c r="Z16" s="12">
        <v>0.2</v>
      </c>
      <c r="AA16" s="11">
        <v>0.2</v>
      </c>
      <c r="AB16" s="11">
        <v>0.2</v>
      </c>
      <c r="AC16" s="11">
        <v>0.2</v>
      </c>
      <c r="AD16" s="11"/>
      <c r="AE16" s="13" t="s">
        <v>569</v>
      </c>
      <c r="AF16" s="11"/>
      <c r="AG16" s="11">
        <f>20%+20%+20%</f>
        <v>0.60000000000000009</v>
      </c>
      <c r="AH16" s="52" t="s">
        <v>607</v>
      </c>
      <c r="AK16" s="14">
        <f t="shared" si="0"/>
        <v>1</v>
      </c>
      <c r="AL16" s="14">
        <f t="shared" si="1"/>
        <v>0.60000000000000009</v>
      </c>
    </row>
    <row r="17" spans="2:38" ht="90" x14ac:dyDescent="0.25">
      <c r="B17" s="5" t="s">
        <v>42</v>
      </c>
      <c r="C17" s="5" t="s">
        <v>43</v>
      </c>
      <c r="D17" s="5" t="s">
        <v>44</v>
      </c>
      <c r="E17" s="5" t="s">
        <v>45</v>
      </c>
      <c r="F17" s="5" t="s">
        <v>46</v>
      </c>
      <c r="G17" s="5"/>
      <c r="H17" s="5"/>
      <c r="I17" s="5"/>
      <c r="J17" s="6" t="s">
        <v>90</v>
      </c>
      <c r="K17" s="7" t="s">
        <v>91</v>
      </c>
      <c r="L17" s="7" t="s">
        <v>92</v>
      </c>
      <c r="M17" s="6" t="s">
        <v>50</v>
      </c>
      <c r="N17" s="9">
        <v>42552</v>
      </c>
      <c r="O17" s="9">
        <v>42767</v>
      </c>
      <c r="P17" s="6" t="s">
        <v>93</v>
      </c>
      <c r="Q17" s="6" t="s">
        <v>94</v>
      </c>
      <c r="R17" s="10">
        <v>0.03</v>
      </c>
      <c r="S17" s="11"/>
      <c r="T17" s="12"/>
      <c r="U17" s="12"/>
      <c r="V17" s="12"/>
      <c r="W17" s="12"/>
      <c r="X17" s="11">
        <v>0.14000000000000001</v>
      </c>
      <c r="Y17" s="12">
        <v>0.14000000000000001</v>
      </c>
      <c r="Z17" s="12">
        <v>0.14000000000000001</v>
      </c>
      <c r="AA17" s="11">
        <v>0.14000000000000001</v>
      </c>
      <c r="AB17" s="11">
        <v>0.14000000000000001</v>
      </c>
      <c r="AC17" s="11">
        <v>0.15</v>
      </c>
      <c r="AD17" s="11">
        <v>0.15</v>
      </c>
      <c r="AE17" s="13"/>
      <c r="AF17" s="11"/>
      <c r="AG17" s="11">
        <f>14%+14%+14%+14%+14%+30%</f>
        <v>1</v>
      </c>
      <c r="AH17" s="52" t="s">
        <v>565</v>
      </c>
      <c r="AK17" s="14">
        <f t="shared" si="0"/>
        <v>1</v>
      </c>
      <c r="AL17" s="14">
        <f t="shared" si="1"/>
        <v>1</v>
      </c>
    </row>
    <row r="18" spans="2:38" ht="120" x14ac:dyDescent="0.25">
      <c r="B18" s="5" t="s">
        <v>42</v>
      </c>
      <c r="C18" s="5" t="s">
        <v>43</v>
      </c>
      <c r="D18" s="5" t="s">
        <v>44</v>
      </c>
      <c r="E18" s="5" t="s">
        <v>45</v>
      </c>
      <c r="F18" s="5" t="s">
        <v>96</v>
      </c>
      <c r="G18" s="5"/>
      <c r="H18" s="5"/>
      <c r="I18" s="5"/>
      <c r="J18" s="6" t="s">
        <v>97</v>
      </c>
      <c r="K18" s="7" t="s">
        <v>98</v>
      </c>
      <c r="L18" s="7" t="s">
        <v>99</v>
      </c>
      <c r="M18" s="6" t="s">
        <v>100</v>
      </c>
      <c r="N18" s="9">
        <v>42618</v>
      </c>
      <c r="O18" s="9">
        <v>42983</v>
      </c>
      <c r="P18" s="7" t="s">
        <v>101</v>
      </c>
      <c r="Q18" s="6" t="s">
        <v>102</v>
      </c>
      <c r="R18" s="10">
        <v>0.03</v>
      </c>
      <c r="S18" s="11"/>
      <c r="T18" s="12"/>
      <c r="U18" s="12"/>
      <c r="V18" s="12"/>
      <c r="W18" s="12"/>
      <c r="X18" s="11"/>
      <c r="Y18" s="12"/>
      <c r="Z18" s="12"/>
      <c r="AA18" s="11"/>
      <c r="AB18" s="11"/>
      <c r="AC18" s="11"/>
      <c r="AD18" s="11">
        <v>1</v>
      </c>
      <c r="AE18" s="13" t="s">
        <v>569</v>
      </c>
      <c r="AF18" s="11">
        <v>0</v>
      </c>
      <c r="AG18" s="11">
        <f>25%+25%</f>
        <v>0.5</v>
      </c>
      <c r="AH18" s="53" t="s">
        <v>576</v>
      </c>
      <c r="AK18" s="14">
        <f t="shared" si="0"/>
        <v>1</v>
      </c>
      <c r="AL18" s="14">
        <f t="shared" si="1"/>
        <v>0.5</v>
      </c>
    </row>
    <row r="19" spans="2:38" ht="141.75" customHeight="1" x14ac:dyDescent="0.25">
      <c r="B19" s="5" t="s">
        <v>42</v>
      </c>
      <c r="C19" s="5" t="s">
        <v>43</v>
      </c>
      <c r="D19" s="5" t="s">
        <v>44</v>
      </c>
      <c r="E19" s="5" t="s">
        <v>45</v>
      </c>
      <c r="F19" s="5" t="s">
        <v>96</v>
      </c>
      <c r="G19" s="5"/>
      <c r="H19" s="5"/>
      <c r="I19" s="5"/>
      <c r="J19" s="6" t="s">
        <v>104</v>
      </c>
      <c r="K19" s="45" t="s">
        <v>523</v>
      </c>
      <c r="L19" s="7" t="s">
        <v>106</v>
      </c>
      <c r="M19" s="6" t="s">
        <v>100</v>
      </c>
      <c r="N19" s="9">
        <v>42583</v>
      </c>
      <c r="O19" s="9">
        <v>42735</v>
      </c>
      <c r="P19" s="7" t="s">
        <v>101</v>
      </c>
      <c r="Q19" s="6" t="s">
        <v>107</v>
      </c>
      <c r="R19" s="10">
        <v>0.04</v>
      </c>
      <c r="S19" s="11"/>
      <c r="T19" s="12"/>
      <c r="U19" s="12"/>
      <c r="V19" s="12"/>
      <c r="W19" s="12"/>
      <c r="X19" s="11"/>
      <c r="Y19" s="12"/>
      <c r="Z19" s="12">
        <v>0.1</v>
      </c>
      <c r="AA19" s="11">
        <v>0.2</v>
      </c>
      <c r="AB19" s="11">
        <v>0.2</v>
      </c>
      <c r="AC19" s="11">
        <v>0.3</v>
      </c>
      <c r="AD19" s="11">
        <v>0.2</v>
      </c>
      <c r="AE19" s="13" t="s">
        <v>569</v>
      </c>
      <c r="AF19" s="11">
        <v>0.04</v>
      </c>
      <c r="AG19" s="11">
        <f>95%+4%</f>
        <v>0.99</v>
      </c>
      <c r="AH19" s="53" t="s">
        <v>577</v>
      </c>
      <c r="AK19" s="14">
        <f t="shared" si="0"/>
        <v>1</v>
      </c>
      <c r="AL19" s="14">
        <f t="shared" si="1"/>
        <v>0.99</v>
      </c>
    </row>
    <row r="20" spans="2:38" ht="90" x14ac:dyDescent="0.25">
      <c r="B20" s="5" t="s">
        <v>42</v>
      </c>
      <c r="C20" s="5" t="s">
        <v>43</v>
      </c>
      <c r="D20" s="5" t="s">
        <v>44</v>
      </c>
      <c r="E20" s="5" t="s">
        <v>45</v>
      </c>
      <c r="F20" s="5" t="s">
        <v>96</v>
      </c>
      <c r="G20" s="5"/>
      <c r="H20" s="5"/>
      <c r="I20" s="5"/>
      <c r="J20" s="6" t="s">
        <v>108</v>
      </c>
      <c r="K20" s="7" t="s">
        <v>109</v>
      </c>
      <c r="L20" s="7" t="s">
        <v>110</v>
      </c>
      <c r="M20" s="6" t="s">
        <v>100</v>
      </c>
      <c r="N20" s="9">
        <v>42614</v>
      </c>
      <c r="O20" s="9">
        <v>42735</v>
      </c>
      <c r="P20" s="7" t="s">
        <v>111</v>
      </c>
      <c r="Q20" s="6" t="s">
        <v>52</v>
      </c>
      <c r="R20" s="10">
        <v>0.03</v>
      </c>
      <c r="S20" s="13"/>
      <c r="T20" s="15"/>
      <c r="U20" s="15"/>
      <c r="V20" s="15"/>
      <c r="W20" s="15"/>
      <c r="X20" s="13"/>
      <c r="Y20" s="15"/>
      <c r="Z20" s="12">
        <v>0.05</v>
      </c>
      <c r="AA20" s="11">
        <v>0.15</v>
      </c>
      <c r="AB20" s="11">
        <v>0.25</v>
      </c>
      <c r="AC20" s="11">
        <v>0.5</v>
      </c>
      <c r="AD20" s="11">
        <v>0.05</v>
      </c>
      <c r="AE20" s="13"/>
      <c r="AF20" s="11"/>
      <c r="AG20" s="11">
        <f>5%+5%+90%</f>
        <v>1</v>
      </c>
      <c r="AH20" s="52"/>
      <c r="AK20" s="14">
        <f t="shared" si="0"/>
        <v>1</v>
      </c>
      <c r="AL20" s="14">
        <f t="shared" si="1"/>
        <v>1</v>
      </c>
    </row>
    <row r="21" spans="2:38" ht="90" x14ac:dyDescent="0.25">
      <c r="B21" s="5" t="s">
        <v>42</v>
      </c>
      <c r="C21" s="5" t="s">
        <v>43</v>
      </c>
      <c r="D21" s="5" t="s">
        <v>44</v>
      </c>
      <c r="E21" s="5" t="s">
        <v>45</v>
      </c>
      <c r="F21" s="5" t="s">
        <v>113</v>
      </c>
      <c r="G21" s="5"/>
      <c r="H21" s="5"/>
      <c r="I21" s="5"/>
      <c r="J21" s="6" t="s">
        <v>114</v>
      </c>
      <c r="K21" s="7" t="s">
        <v>115</v>
      </c>
      <c r="L21" s="7" t="s">
        <v>116</v>
      </c>
      <c r="M21" s="6" t="s">
        <v>100</v>
      </c>
      <c r="N21" s="9">
        <v>42614</v>
      </c>
      <c r="O21" s="9">
        <v>42826</v>
      </c>
      <c r="P21" s="7"/>
      <c r="Q21" s="6"/>
      <c r="R21" s="10">
        <v>0.04</v>
      </c>
      <c r="S21" s="11"/>
      <c r="T21" s="12"/>
      <c r="U21" s="12"/>
      <c r="V21" s="12"/>
      <c r="W21" s="12"/>
      <c r="X21" s="11"/>
      <c r="Y21" s="12"/>
      <c r="Z21" s="12"/>
      <c r="AA21" s="11">
        <v>0.25</v>
      </c>
      <c r="AB21" s="11">
        <v>0.25</v>
      </c>
      <c r="AC21" s="11">
        <v>0.25</v>
      </c>
      <c r="AD21" s="11">
        <v>0.25</v>
      </c>
      <c r="AE21" s="13" t="s">
        <v>569</v>
      </c>
      <c r="AF21" s="11">
        <v>0</v>
      </c>
      <c r="AG21" s="11">
        <f>10%+5%</f>
        <v>0.15000000000000002</v>
      </c>
      <c r="AH21" s="52" t="s">
        <v>524</v>
      </c>
      <c r="AK21" s="14">
        <f t="shared" si="0"/>
        <v>1</v>
      </c>
      <c r="AL21" s="14">
        <f t="shared" si="1"/>
        <v>0.15000000000000002</v>
      </c>
    </row>
    <row r="22" spans="2:38" ht="195" x14ac:dyDescent="0.25">
      <c r="B22" s="5" t="s">
        <v>42</v>
      </c>
      <c r="C22" s="5" t="s">
        <v>43</v>
      </c>
      <c r="D22" s="5" t="s">
        <v>44</v>
      </c>
      <c r="E22" s="5" t="s">
        <v>45</v>
      </c>
      <c r="F22" s="5" t="s">
        <v>113</v>
      </c>
      <c r="G22" s="5"/>
      <c r="H22" s="5"/>
      <c r="I22" s="5"/>
      <c r="J22" s="6" t="s">
        <v>117</v>
      </c>
      <c r="K22" s="7" t="s">
        <v>118</v>
      </c>
      <c r="L22" s="7" t="s">
        <v>119</v>
      </c>
      <c r="M22" s="6" t="s">
        <v>100</v>
      </c>
      <c r="N22" s="9">
        <v>42614</v>
      </c>
      <c r="O22" s="9">
        <v>42735</v>
      </c>
      <c r="P22" s="7" t="s">
        <v>120</v>
      </c>
      <c r="Q22" s="6" t="s">
        <v>121</v>
      </c>
      <c r="R22" s="10">
        <v>0.04</v>
      </c>
      <c r="S22" s="11"/>
      <c r="T22" s="12"/>
      <c r="U22" s="12"/>
      <c r="V22" s="12"/>
      <c r="W22" s="12"/>
      <c r="X22" s="11"/>
      <c r="Y22" s="12"/>
      <c r="Z22" s="12"/>
      <c r="AA22" s="11">
        <v>0.25</v>
      </c>
      <c r="AB22" s="11">
        <v>0.25</v>
      </c>
      <c r="AC22" s="11">
        <v>0.25</v>
      </c>
      <c r="AD22" s="11">
        <v>0.25</v>
      </c>
      <c r="AE22" s="13" t="s">
        <v>569</v>
      </c>
      <c r="AF22" s="11">
        <v>0.25</v>
      </c>
      <c r="AG22" s="11">
        <f>25%+25%+25%+25%</f>
        <v>1</v>
      </c>
      <c r="AH22" s="52" t="s">
        <v>578</v>
      </c>
      <c r="AK22" s="14">
        <f t="shared" si="0"/>
        <v>1</v>
      </c>
      <c r="AL22" s="14">
        <f t="shared" si="1"/>
        <v>1</v>
      </c>
    </row>
    <row r="23" spans="2:38" ht="90" x14ac:dyDescent="0.25">
      <c r="B23" s="5" t="s">
        <v>42</v>
      </c>
      <c r="C23" s="5" t="s">
        <v>43</v>
      </c>
      <c r="D23" s="5" t="s">
        <v>44</v>
      </c>
      <c r="E23" s="5" t="s">
        <v>45</v>
      </c>
      <c r="F23" s="5" t="s">
        <v>113</v>
      </c>
      <c r="G23" s="5"/>
      <c r="H23" s="5"/>
      <c r="I23" s="5"/>
      <c r="J23" s="6" t="s">
        <v>122</v>
      </c>
      <c r="K23" s="7" t="s">
        <v>123</v>
      </c>
      <c r="L23" s="7" t="s">
        <v>124</v>
      </c>
      <c r="M23" s="6" t="s">
        <v>100</v>
      </c>
      <c r="N23" s="9">
        <v>42583</v>
      </c>
      <c r="O23" s="9">
        <v>42735</v>
      </c>
      <c r="P23" s="7" t="s">
        <v>51</v>
      </c>
      <c r="Q23" s="6"/>
      <c r="R23" s="10">
        <v>0.03</v>
      </c>
      <c r="S23" s="11"/>
      <c r="T23" s="12"/>
      <c r="U23" s="12"/>
      <c r="V23" s="12"/>
      <c r="W23" s="12"/>
      <c r="X23" s="11"/>
      <c r="Y23" s="12"/>
      <c r="Z23" s="12">
        <v>0.2</v>
      </c>
      <c r="AA23" s="11">
        <v>0.2</v>
      </c>
      <c r="AB23" s="11">
        <v>0.2</v>
      </c>
      <c r="AC23" s="11">
        <v>0.2</v>
      </c>
      <c r="AD23" s="11">
        <v>0.2</v>
      </c>
      <c r="AE23" s="13" t="s">
        <v>569</v>
      </c>
      <c r="AF23" s="11">
        <v>0.2</v>
      </c>
      <c r="AG23" s="11">
        <f>20%+20%+20%+20%</f>
        <v>0.8</v>
      </c>
      <c r="AH23" s="53" t="s">
        <v>579</v>
      </c>
      <c r="AK23" s="14">
        <f t="shared" si="0"/>
        <v>1</v>
      </c>
      <c r="AL23" s="14">
        <f t="shared" si="1"/>
        <v>0.8</v>
      </c>
    </row>
    <row r="24" spans="2:38" ht="258.75" customHeight="1" x14ac:dyDescent="0.25">
      <c r="B24" s="5" t="s">
        <v>42</v>
      </c>
      <c r="C24" s="5" t="s">
        <v>43</v>
      </c>
      <c r="D24" s="5" t="s">
        <v>44</v>
      </c>
      <c r="E24" s="5" t="s">
        <v>45</v>
      </c>
      <c r="F24" s="5" t="s">
        <v>113</v>
      </c>
      <c r="G24" s="5"/>
      <c r="H24" s="5"/>
      <c r="I24" s="5"/>
      <c r="J24" s="6" t="s">
        <v>126</v>
      </c>
      <c r="K24" s="7" t="s">
        <v>127</v>
      </c>
      <c r="L24" s="7" t="s">
        <v>128</v>
      </c>
      <c r="M24" s="6" t="s">
        <v>100</v>
      </c>
      <c r="N24" s="9">
        <v>42614</v>
      </c>
      <c r="O24" s="9">
        <v>42767</v>
      </c>
      <c r="P24" s="7" t="s">
        <v>129</v>
      </c>
      <c r="Q24" s="6" t="s">
        <v>130</v>
      </c>
      <c r="R24" s="10">
        <v>0.04</v>
      </c>
      <c r="S24" s="11"/>
      <c r="T24" s="12"/>
      <c r="U24" s="12"/>
      <c r="V24" s="12"/>
      <c r="W24" s="12"/>
      <c r="X24" s="11"/>
      <c r="Y24" s="12"/>
      <c r="Z24" s="12"/>
      <c r="AA24" s="11">
        <v>0.25</v>
      </c>
      <c r="AB24" s="11">
        <v>0.25</v>
      </c>
      <c r="AC24" s="11">
        <v>0.25</v>
      </c>
      <c r="AD24" s="11">
        <v>0.25</v>
      </c>
      <c r="AE24" s="13" t="s">
        <v>569</v>
      </c>
      <c r="AF24" s="11">
        <v>0</v>
      </c>
      <c r="AG24" s="11">
        <f>25%+25%+25%</f>
        <v>0.75</v>
      </c>
      <c r="AH24" s="52" t="s">
        <v>580</v>
      </c>
      <c r="AK24" s="14">
        <f t="shared" si="0"/>
        <v>1</v>
      </c>
      <c r="AL24" s="14">
        <f t="shared" si="1"/>
        <v>0.75</v>
      </c>
    </row>
    <row r="25" spans="2:38" ht="345" x14ac:dyDescent="0.25">
      <c r="B25" s="5" t="s">
        <v>42</v>
      </c>
      <c r="C25" s="5" t="s">
        <v>43</v>
      </c>
      <c r="D25" s="5" t="s">
        <v>44</v>
      </c>
      <c r="E25" s="5" t="s">
        <v>45</v>
      </c>
      <c r="F25" s="5" t="s">
        <v>113</v>
      </c>
      <c r="G25" s="5"/>
      <c r="H25" s="5"/>
      <c r="I25" s="5"/>
      <c r="J25" s="6" t="s">
        <v>131</v>
      </c>
      <c r="K25" s="7" t="s">
        <v>132</v>
      </c>
      <c r="L25" s="7" t="s">
        <v>133</v>
      </c>
      <c r="M25" s="6" t="s">
        <v>100</v>
      </c>
      <c r="N25" s="9">
        <v>42614</v>
      </c>
      <c r="O25" s="9">
        <v>42735</v>
      </c>
      <c r="P25" s="7" t="s">
        <v>111</v>
      </c>
      <c r="Q25" s="6" t="s">
        <v>134</v>
      </c>
      <c r="R25" s="17">
        <v>0.03</v>
      </c>
      <c r="S25" s="11"/>
      <c r="T25" s="12"/>
      <c r="U25" s="12"/>
      <c r="V25" s="12"/>
      <c r="W25" s="12"/>
      <c r="X25" s="11"/>
      <c r="Y25" s="12"/>
      <c r="Z25" s="12"/>
      <c r="AA25" s="11"/>
      <c r="AB25" s="11">
        <v>0.3</v>
      </c>
      <c r="AC25" s="11">
        <v>0.6</v>
      </c>
      <c r="AD25" s="11">
        <v>0.1</v>
      </c>
      <c r="AE25" s="13" t="s">
        <v>569</v>
      </c>
      <c r="AF25" s="58">
        <v>0.1</v>
      </c>
      <c r="AG25" s="11">
        <f>10%+20%+60%+10%</f>
        <v>1</v>
      </c>
      <c r="AH25" s="52" t="s">
        <v>581</v>
      </c>
      <c r="AK25" s="14">
        <f t="shared" si="0"/>
        <v>0.99999999999999989</v>
      </c>
      <c r="AL25" s="14">
        <f t="shared" si="1"/>
        <v>1</v>
      </c>
    </row>
    <row r="26" spans="2:38" ht="185.25" customHeight="1" x14ac:dyDescent="0.25">
      <c r="B26" s="5" t="s">
        <v>42</v>
      </c>
      <c r="C26" s="5" t="s">
        <v>43</v>
      </c>
      <c r="D26" s="5" t="s">
        <v>44</v>
      </c>
      <c r="E26" s="5" t="s">
        <v>45</v>
      </c>
      <c r="F26" s="5" t="s">
        <v>113</v>
      </c>
      <c r="G26" s="5"/>
      <c r="H26" s="5"/>
      <c r="I26" s="5"/>
      <c r="J26" s="6" t="s">
        <v>135</v>
      </c>
      <c r="K26" s="7" t="s">
        <v>136</v>
      </c>
      <c r="L26" s="7" t="s">
        <v>137</v>
      </c>
      <c r="M26" s="6" t="s">
        <v>100</v>
      </c>
      <c r="N26" s="9">
        <v>42597</v>
      </c>
      <c r="O26" s="9">
        <v>42809</v>
      </c>
      <c r="P26" s="7" t="s">
        <v>138</v>
      </c>
      <c r="Q26" s="6" t="s">
        <v>139</v>
      </c>
      <c r="R26" s="10">
        <v>0.03</v>
      </c>
      <c r="S26" s="11"/>
      <c r="T26" s="12"/>
      <c r="U26" s="12"/>
      <c r="V26" s="12"/>
      <c r="W26" s="12"/>
      <c r="X26" s="11"/>
      <c r="Y26" s="12"/>
      <c r="Z26" s="12">
        <v>0.2</v>
      </c>
      <c r="AA26" s="11">
        <v>0.2</v>
      </c>
      <c r="AB26" s="11">
        <v>0.2</v>
      </c>
      <c r="AC26" s="11">
        <v>0.2</v>
      </c>
      <c r="AD26" s="11">
        <v>0.2</v>
      </c>
      <c r="AE26" s="13" t="s">
        <v>569</v>
      </c>
      <c r="AF26" s="58">
        <v>0</v>
      </c>
      <c r="AG26" s="11">
        <f>7%+10%</f>
        <v>0.17</v>
      </c>
      <c r="AH26" s="53" t="s">
        <v>524</v>
      </c>
      <c r="AK26" s="14">
        <f t="shared" si="0"/>
        <v>1</v>
      </c>
      <c r="AL26" s="14">
        <f t="shared" si="1"/>
        <v>0.17</v>
      </c>
    </row>
    <row r="27" spans="2:38" ht="195" x14ac:dyDescent="0.25">
      <c r="B27" s="5" t="s">
        <v>42</v>
      </c>
      <c r="C27" s="5" t="s">
        <v>43</v>
      </c>
      <c r="D27" s="5" t="s">
        <v>44</v>
      </c>
      <c r="E27" s="5" t="s">
        <v>45</v>
      </c>
      <c r="F27" s="5" t="s">
        <v>113</v>
      </c>
      <c r="G27" s="5"/>
      <c r="H27" s="5"/>
      <c r="I27" s="5"/>
      <c r="J27" s="6" t="s">
        <v>141</v>
      </c>
      <c r="K27" s="7" t="s">
        <v>142</v>
      </c>
      <c r="L27" s="7" t="s">
        <v>143</v>
      </c>
      <c r="M27" s="6" t="s">
        <v>100</v>
      </c>
      <c r="N27" s="9">
        <v>42614</v>
      </c>
      <c r="O27" s="9">
        <v>42704</v>
      </c>
      <c r="P27" s="7" t="s">
        <v>144</v>
      </c>
      <c r="Q27" s="6" t="s">
        <v>145</v>
      </c>
      <c r="R27" s="10">
        <v>0.03</v>
      </c>
      <c r="S27" s="11"/>
      <c r="T27" s="12"/>
      <c r="U27" s="12"/>
      <c r="V27" s="12"/>
      <c r="W27" s="12"/>
      <c r="X27" s="11"/>
      <c r="Y27" s="12"/>
      <c r="Z27" s="12"/>
      <c r="AA27" s="11">
        <v>0.33</v>
      </c>
      <c r="AB27" s="11">
        <v>0.34</v>
      </c>
      <c r="AC27" s="11">
        <v>0.33</v>
      </c>
      <c r="AD27" s="11"/>
      <c r="AE27" s="13"/>
      <c r="AF27" s="58"/>
      <c r="AG27" s="11">
        <f>33%+34%+33%</f>
        <v>1</v>
      </c>
      <c r="AH27" s="52"/>
      <c r="AK27" s="14">
        <f t="shared" si="0"/>
        <v>1</v>
      </c>
      <c r="AL27" s="14">
        <f t="shared" si="1"/>
        <v>1</v>
      </c>
    </row>
    <row r="28" spans="2:38" ht="195" x14ac:dyDescent="0.25">
      <c r="B28" s="5" t="s">
        <v>42</v>
      </c>
      <c r="C28" s="5" t="s">
        <v>43</v>
      </c>
      <c r="D28" s="5" t="s">
        <v>44</v>
      </c>
      <c r="E28" s="5" t="s">
        <v>45</v>
      </c>
      <c r="F28" s="5" t="s">
        <v>113</v>
      </c>
      <c r="G28" s="5"/>
      <c r="H28" s="5"/>
      <c r="I28" s="5"/>
      <c r="J28" s="6" t="s">
        <v>146</v>
      </c>
      <c r="K28" s="7" t="s">
        <v>147</v>
      </c>
      <c r="L28" s="7" t="s">
        <v>148</v>
      </c>
      <c r="M28" s="6" t="s">
        <v>100</v>
      </c>
      <c r="N28" s="9">
        <v>42614</v>
      </c>
      <c r="O28" s="9">
        <v>42735</v>
      </c>
      <c r="P28" s="7" t="s">
        <v>144</v>
      </c>
      <c r="Q28" s="6" t="s">
        <v>149</v>
      </c>
      <c r="R28" s="10">
        <v>0.03</v>
      </c>
      <c r="S28" s="11"/>
      <c r="T28" s="12"/>
      <c r="U28" s="12"/>
      <c r="V28" s="12"/>
      <c r="W28" s="12"/>
      <c r="X28" s="11"/>
      <c r="Y28" s="12"/>
      <c r="Z28" s="12"/>
      <c r="AA28" s="11">
        <v>0.25</v>
      </c>
      <c r="AB28" s="11">
        <v>0.25</v>
      </c>
      <c r="AC28" s="11">
        <v>0.25</v>
      </c>
      <c r="AD28" s="11">
        <v>0.25</v>
      </c>
      <c r="AE28" s="13" t="s">
        <v>569</v>
      </c>
      <c r="AF28" s="11">
        <v>0.43</v>
      </c>
      <c r="AG28" s="11">
        <f>7%+20%+5%+5%+43%</f>
        <v>0.8</v>
      </c>
      <c r="AH28" s="53" t="s">
        <v>582</v>
      </c>
      <c r="AK28" s="14">
        <f t="shared" si="0"/>
        <v>1</v>
      </c>
      <c r="AL28" s="14">
        <f t="shared" si="1"/>
        <v>0.8</v>
      </c>
    </row>
    <row r="29" spans="2:38" ht="90" x14ac:dyDescent="0.25">
      <c r="B29" s="5" t="s">
        <v>42</v>
      </c>
      <c r="C29" s="5" t="s">
        <v>43</v>
      </c>
      <c r="D29" s="5" t="s">
        <v>44</v>
      </c>
      <c r="E29" s="5" t="s">
        <v>45</v>
      </c>
      <c r="F29" s="20" t="s">
        <v>96</v>
      </c>
      <c r="G29" s="5"/>
      <c r="H29" s="5"/>
      <c r="I29" s="5"/>
      <c r="J29" s="6" t="s">
        <v>151</v>
      </c>
      <c r="K29" s="7" t="s">
        <v>152</v>
      </c>
      <c r="L29" s="7" t="s">
        <v>153</v>
      </c>
      <c r="M29" s="6" t="s">
        <v>100</v>
      </c>
      <c r="N29" s="9">
        <v>42628</v>
      </c>
      <c r="O29" s="9">
        <v>42689</v>
      </c>
      <c r="P29" s="7" t="s">
        <v>154</v>
      </c>
      <c r="Q29" s="6" t="s">
        <v>155</v>
      </c>
      <c r="R29" s="10">
        <v>0.03</v>
      </c>
      <c r="S29" s="11"/>
      <c r="T29" s="12"/>
      <c r="U29" s="12"/>
      <c r="V29" s="12"/>
      <c r="W29" s="12"/>
      <c r="X29" s="11"/>
      <c r="Y29" s="12"/>
      <c r="Z29" s="12"/>
      <c r="AA29" s="11">
        <v>0.33</v>
      </c>
      <c r="AB29" s="11">
        <v>0.34</v>
      </c>
      <c r="AC29" s="11">
        <v>0.33</v>
      </c>
      <c r="AD29" s="11"/>
      <c r="AE29" s="13"/>
      <c r="AF29" s="11"/>
      <c r="AG29" s="11">
        <v>1</v>
      </c>
      <c r="AH29" s="52"/>
      <c r="AK29" s="14">
        <f t="shared" si="0"/>
        <v>1</v>
      </c>
      <c r="AL29" s="14">
        <f t="shared" si="1"/>
        <v>1</v>
      </c>
    </row>
    <row r="30" spans="2:38" ht="105" x14ac:dyDescent="0.25">
      <c r="B30" s="5" t="s">
        <v>42</v>
      </c>
      <c r="C30" s="5" t="s">
        <v>43</v>
      </c>
      <c r="D30" s="5" t="s">
        <v>44</v>
      </c>
      <c r="E30" s="5" t="s">
        <v>45</v>
      </c>
      <c r="F30" s="5" t="s">
        <v>150</v>
      </c>
      <c r="G30" s="5"/>
      <c r="H30" s="5"/>
      <c r="I30" s="5"/>
      <c r="J30" s="6" t="s">
        <v>156</v>
      </c>
      <c r="K30" s="7" t="s">
        <v>157</v>
      </c>
      <c r="L30" s="7" t="s">
        <v>158</v>
      </c>
      <c r="M30" s="6" t="s">
        <v>100</v>
      </c>
      <c r="N30" s="9">
        <v>42614</v>
      </c>
      <c r="O30" s="9">
        <v>42735</v>
      </c>
      <c r="P30" s="7" t="s">
        <v>159</v>
      </c>
      <c r="Q30" s="6" t="s">
        <v>160</v>
      </c>
      <c r="R30" s="10">
        <v>0.03</v>
      </c>
      <c r="S30" s="11"/>
      <c r="T30" s="12"/>
      <c r="U30" s="12"/>
      <c r="V30" s="12"/>
      <c r="W30" s="12"/>
      <c r="X30" s="11"/>
      <c r="Y30" s="12"/>
      <c r="Z30" s="12"/>
      <c r="AA30" s="11">
        <v>0.25</v>
      </c>
      <c r="AB30" s="11">
        <v>0.25</v>
      </c>
      <c r="AC30" s="11">
        <v>0.25</v>
      </c>
      <c r="AD30" s="11">
        <v>0.25</v>
      </c>
      <c r="AE30" s="13" t="s">
        <v>569</v>
      </c>
      <c r="AF30" s="11">
        <v>0.2</v>
      </c>
      <c r="AG30" s="11">
        <f>10%+20%+20%</f>
        <v>0.5</v>
      </c>
      <c r="AH30" s="52" t="s">
        <v>583</v>
      </c>
      <c r="AK30" s="14">
        <f t="shared" si="0"/>
        <v>1</v>
      </c>
      <c r="AL30" s="14">
        <f t="shared" si="1"/>
        <v>0.5</v>
      </c>
    </row>
    <row r="31" spans="2:38" ht="165" x14ac:dyDescent="0.25">
      <c r="B31" s="5" t="s">
        <v>42</v>
      </c>
      <c r="C31" s="5" t="s">
        <v>43</v>
      </c>
      <c r="D31" s="5" t="s">
        <v>44</v>
      </c>
      <c r="E31" s="5" t="s">
        <v>45</v>
      </c>
      <c r="F31" s="5" t="s">
        <v>161</v>
      </c>
      <c r="G31" s="5"/>
      <c r="H31" s="5"/>
      <c r="I31" s="5"/>
      <c r="J31" s="6" t="s">
        <v>162</v>
      </c>
      <c r="K31" s="7" t="s">
        <v>163</v>
      </c>
      <c r="L31" s="7" t="s">
        <v>164</v>
      </c>
      <c r="M31" s="6" t="s">
        <v>60</v>
      </c>
      <c r="N31" s="9">
        <v>42644</v>
      </c>
      <c r="O31" s="9">
        <v>42887</v>
      </c>
      <c r="P31" s="7" t="s">
        <v>138</v>
      </c>
      <c r="Q31" s="7" t="s">
        <v>165</v>
      </c>
      <c r="R31" s="10">
        <v>0.04</v>
      </c>
      <c r="S31" s="11"/>
      <c r="T31" s="12"/>
      <c r="U31" s="12"/>
      <c r="V31" s="12"/>
      <c r="W31" s="12"/>
      <c r="X31" s="11"/>
      <c r="Y31" s="12"/>
      <c r="Z31" s="12"/>
      <c r="AA31" s="11"/>
      <c r="AB31" s="11">
        <v>1</v>
      </c>
      <c r="AC31" s="11"/>
      <c r="AD31" s="11"/>
      <c r="AE31" s="13" t="s">
        <v>569</v>
      </c>
      <c r="AF31" s="11">
        <v>1</v>
      </c>
      <c r="AG31" s="11">
        <v>1</v>
      </c>
      <c r="AH31" s="52" t="s">
        <v>612</v>
      </c>
      <c r="AK31" s="14">
        <f t="shared" si="0"/>
        <v>1</v>
      </c>
      <c r="AL31" s="14">
        <f t="shared" si="1"/>
        <v>1</v>
      </c>
    </row>
    <row r="32" spans="2:38" ht="315" x14ac:dyDescent="0.25">
      <c r="B32" s="5" t="s">
        <v>42</v>
      </c>
      <c r="C32" s="5" t="s">
        <v>43</v>
      </c>
      <c r="D32" s="5" t="s">
        <v>44</v>
      </c>
      <c r="E32" s="5" t="s">
        <v>45</v>
      </c>
      <c r="F32" s="5" t="s">
        <v>161</v>
      </c>
      <c r="G32" s="5"/>
      <c r="H32" s="5"/>
      <c r="I32" s="5"/>
      <c r="J32" s="6" t="s">
        <v>166</v>
      </c>
      <c r="K32" s="7" t="s">
        <v>167</v>
      </c>
      <c r="L32" s="7" t="s">
        <v>168</v>
      </c>
      <c r="M32" s="6" t="s">
        <v>60</v>
      </c>
      <c r="N32" s="9">
        <v>42614</v>
      </c>
      <c r="O32" s="9">
        <v>42979</v>
      </c>
      <c r="P32" s="7" t="s">
        <v>138</v>
      </c>
      <c r="Q32" s="7" t="s">
        <v>169</v>
      </c>
      <c r="R32" s="10">
        <v>0.03</v>
      </c>
      <c r="S32" s="11"/>
      <c r="T32" s="12"/>
      <c r="U32" s="12"/>
      <c r="V32" s="12"/>
      <c r="W32" s="12"/>
      <c r="X32" s="11"/>
      <c r="Y32" s="12"/>
      <c r="Z32" s="12"/>
      <c r="AA32" s="11">
        <v>0.14000000000000001</v>
      </c>
      <c r="AB32" s="11">
        <v>0.28999999999999998</v>
      </c>
      <c r="AC32" s="11">
        <v>0.56999999999999995</v>
      </c>
      <c r="AD32" s="11"/>
      <c r="AE32" s="13" t="s">
        <v>569</v>
      </c>
      <c r="AF32" s="11">
        <v>0.86</v>
      </c>
      <c r="AG32" s="11">
        <v>0.86</v>
      </c>
      <c r="AH32" s="52" t="s">
        <v>613</v>
      </c>
      <c r="AK32" s="14">
        <f t="shared" si="0"/>
        <v>1</v>
      </c>
      <c r="AL32" s="14">
        <f t="shared" si="1"/>
        <v>0.86</v>
      </c>
    </row>
    <row r="33" spans="2:38" ht="90" x14ac:dyDescent="0.25">
      <c r="B33" s="5" t="s">
        <v>42</v>
      </c>
      <c r="C33" s="5" t="s">
        <v>43</v>
      </c>
      <c r="D33" s="5" t="s">
        <v>44</v>
      </c>
      <c r="E33" s="5" t="s">
        <v>45</v>
      </c>
      <c r="F33" s="5" t="s">
        <v>161</v>
      </c>
      <c r="G33" s="5"/>
      <c r="H33" s="5"/>
      <c r="I33" s="5"/>
      <c r="J33" s="6" t="s">
        <v>170</v>
      </c>
      <c r="K33" s="7" t="s">
        <v>171</v>
      </c>
      <c r="L33" s="7" t="s">
        <v>172</v>
      </c>
      <c r="M33" s="6" t="s">
        <v>60</v>
      </c>
      <c r="N33" s="9">
        <v>42644</v>
      </c>
      <c r="O33" s="9">
        <v>42948</v>
      </c>
      <c r="P33" s="7" t="s">
        <v>138</v>
      </c>
      <c r="Q33" s="7" t="s">
        <v>165</v>
      </c>
      <c r="R33" s="10">
        <v>0.03</v>
      </c>
      <c r="S33" s="11"/>
      <c r="T33" s="12"/>
      <c r="U33" s="12"/>
      <c r="V33" s="12"/>
      <c r="W33" s="12"/>
      <c r="X33" s="11"/>
      <c r="Y33" s="12"/>
      <c r="Z33" s="12"/>
      <c r="AA33" s="11"/>
      <c r="AB33" s="11">
        <v>1</v>
      </c>
      <c r="AC33" s="11"/>
      <c r="AD33" s="11"/>
      <c r="AE33" s="13"/>
      <c r="AF33" s="11"/>
      <c r="AG33" s="11">
        <v>1</v>
      </c>
      <c r="AH33" s="52" t="s">
        <v>614</v>
      </c>
      <c r="AK33" s="14">
        <f t="shared" si="0"/>
        <v>1</v>
      </c>
      <c r="AL33" s="14">
        <f t="shared" si="1"/>
        <v>1</v>
      </c>
    </row>
    <row r="34" spans="2:38" ht="168.75" customHeight="1" x14ac:dyDescent="0.25">
      <c r="B34" s="5" t="s">
        <v>42</v>
      </c>
      <c r="C34" s="5" t="s">
        <v>43</v>
      </c>
      <c r="D34" s="5" t="s">
        <v>44</v>
      </c>
      <c r="E34" s="5" t="s">
        <v>45</v>
      </c>
      <c r="F34" s="5" t="s">
        <v>161</v>
      </c>
      <c r="G34" s="5"/>
      <c r="H34" s="5"/>
      <c r="I34" s="5"/>
      <c r="J34" s="6" t="s">
        <v>173</v>
      </c>
      <c r="K34" s="7" t="s">
        <v>174</v>
      </c>
      <c r="L34" s="7" t="s">
        <v>175</v>
      </c>
      <c r="M34" s="6" t="s">
        <v>60</v>
      </c>
      <c r="N34" s="9">
        <v>42583</v>
      </c>
      <c r="O34" s="9">
        <v>42735</v>
      </c>
      <c r="P34" s="7" t="s">
        <v>138</v>
      </c>
      <c r="Q34" s="7" t="s">
        <v>176</v>
      </c>
      <c r="R34" s="10">
        <v>0.04</v>
      </c>
      <c r="S34" s="11"/>
      <c r="T34" s="12"/>
      <c r="U34" s="12"/>
      <c r="V34" s="12"/>
      <c r="W34" s="12"/>
      <c r="X34" s="11"/>
      <c r="Y34" s="12"/>
      <c r="Z34" s="12">
        <v>1</v>
      </c>
      <c r="AA34" s="11"/>
      <c r="AB34" s="11"/>
      <c r="AC34" s="11"/>
      <c r="AD34" s="11"/>
      <c r="AE34" s="13" t="s">
        <v>569</v>
      </c>
      <c r="AF34" s="11">
        <v>0.25</v>
      </c>
      <c r="AG34" s="11">
        <f>25%+25%+25%+25%</f>
        <v>1</v>
      </c>
      <c r="AH34" s="53" t="s">
        <v>615</v>
      </c>
      <c r="AK34" s="14">
        <f t="shared" si="0"/>
        <v>1</v>
      </c>
      <c r="AL34" s="14">
        <f t="shared" si="1"/>
        <v>1</v>
      </c>
    </row>
    <row r="35" spans="2:38" ht="90" x14ac:dyDescent="0.25">
      <c r="B35" s="5" t="s">
        <v>42</v>
      </c>
      <c r="C35" s="5" t="s">
        <v>43</v>
      </c>
      <c r="D35" s="5" t="s">
        <v>44</v>
      </c>
      <c r="E35" s="5" t="s">
        <v>45</v>
      </c>
      <c r="F35" s="5" t="s">
        <v>161</v>
      </c>
      <c r="G35" s="5"/>
      <c r="H35" s="5"/>
      <c r="I35" s="5"/>
      <c r="J35" s="6" t="s">
        <v>173</v>
      </c>
      <c r="K35" s="7" t="s">
        <v>178</v>
      </c>
      <c r="L35" s="7" t="s">
        <v>175</v>
      </c>
      <c r="M35" s="6" t="s">
        <v>60</v>
      </c>
      <c r="N35" s="9">
        <v>42658</v>
      </c>
      <c r="O35" s="9">
        <v>42901</v>
      </c>
      <c r="P35" s="7" t="s">
        <v>138</v>
      </c>
      <c r="Q35" s="7" t="s">
        <v>179</v>
      </c>
      <c r="R35" s="10">
        <v>0.04</v>
      </c>
      <c r="S35" s="11"/>
      <c r="T35" s="12"/>
      <c r="U35" s="12"/>
      <c r="V35" s="12"/>
      <c r="W35" s="12"/>
      <c r="X35" s="11"/>
      <c r="Y35" s="12"/>
      <c r="Z35" s="12"/>
      <c r="AA35" s="11"/>
      <c r="AB35" s="11">
        <v>1</v>
      </c>
      <c r="AC35" s="11"/>
      <c r="AD35" s="11"/>
      <c r="AE35" s="13" t="s">
        <v>569</v>
      </c>
      <c r="AF35" s="11">
        <v>0</v>
      </c>
      <c r="AG35" s="11">
        <v>0</v>
      </c>
      <c r="AH35" s="7" t="s">
        <v>616</v>
      </c>
      <c r="AK35" s="14">
        <f t="shared" si="0"/>
        <v>1</v>
      </c>
      <c r="AL35" s="14">
        <f t="shared" si="1"/>
        <v>0</v>
      </c>
    </row>
    <row r="36" spans="2:38" ht="150" x14ac:dyDescent="0.25">
      <c r="B36" s="5" t="s">
        <v>42</v>
      </c>
      <c r="C36" s="5" t="s">
        <v>43</v>
      </c>
      <c r="D36" s="5" t="s">
        <v>44</v>
      </c>
      <c r="E36" s="5" t="s">
        <v>45</v>
      </c>
      <c r="F36" s="5" t="s">
        <v>161</v>
      </c>
      <c r="G36" s="5"/>
      <c r="H36" s="5"/>
      <c r="I36" s="5"/>
      <c r="J36" s="6" t="s">
        <v>181</v>
      </c>
      <c r="K36" s="7" t="s">
        <v>182</v>
      </c>
      <c r="L36" s="7" t="s">
        <v>183</v>
      </c>
      <c r="M36" s="6" t="s">
        <v>60</v>
      </c>
      <c r="N36" s="9">
        <v>42522</v>
      </c>
      <c r="O36" s="9">
        <v>42705</v>
      </c>
      <c r="P36" s="7" t="s">
        <v>184</v>
      </c>
      <c r="Q36" s="7" t="s">
        <v>185</v>
      </c>
      <c r="R36" s="10">
        <v>0.03</v>
      </c>
      <c r="S36" s="11"/>
      <c r="T36" s="12"/>
      <c r="U36" s="12"/>
      <c r="V36" s="12"/>
      <c r="W36" s="12"/>
      <c r="X36" s="11"/>
      <c r="Y36" s="12"/>
      <c r="Z36" s="12"/>
      <c r="AA36" s="11"/>
      <c r="AB36" s="11"/>
      <c r="AC36" s="11"/>
      <c r="AD36" s="11">
        <v>1</v>
      </c>
      <c r="AE36" s="13" t="s">
        <v>569</v>
      </c>
      <c r="AF36" s="11">
        <v>1</v>
      </c>
      <c r="AG36" s="11">
        <v>1</v>
      </c>
      <c r="AH36" s="52" t="s">
        <v>617</v>
      </c>
      <c r="AK36" s="14">
        <f t="shared" si="0"/>
        <v>1</v>
      </c>
      <c r="AL36" s="14">
        <f t="shared" si="1"/>
        <v>1</v>
      </c>
    </row>
    <row r="37" spans="2:38" ht="120" x14ac:dyDescent="0.25">
      <c r="B37" s="5" t="s">
        <v>42</v>
      </c>
      <c r="C37" s="6" t="s">
        <v>186</v>
      </c>
      <c r="D37" s="5" t="s">
        <v>44</v>
      </c>
      <c r="E37" s="6" t="s">
        <v>187</v>
      </c>
      <c r="F37" s="6" t="s">
        <v>188</v>
      </c>
      <c r="G37" s="5"/>
      <c r="H37" s="6"/>
      <c r="I37" s="18"/>
      <c r="J37" s="6" t="s">
        <v>189</v>
      </c>
      <c r="K37" s="7" t="s">
        <v>190</v>
      </c>
      <c r="L37" s="7" t="s">
        <v>191</v>
      </c>
      <c r="M37" s="6" t="s">
        <v>192</v>
      </c>
      <c r="N37" s="9">
        <v>42552</v>
      </c>
      <c r="O37" s="9">
        <v>42735</v>
      </c>
      <c r="P37" s="7" t="s">
        <v>51</v>
      </c>
      <c r="Q37" s="7" t="s">
        <v>193</v>
      </c>
      <c r="R37" s="10">
        <v>0.2</v>
      </c>
      <c r="S37" s="11"/>
      <c r="T37" s="12"/>
      <c r="U37" s="12"/>
      <c r="V37" s="12"/>
      <c r="W37" s="12"/>
      <c r="X37" s="11"/>
      <c r="Y37" s="12">
        <v>0.16</v>
      </c>
      <c r="Z37" s="12">
        <v>0.16</v>
      </c>
      <c r="AA37" s="11">
        <v>0.17</v>
      </c>
      <c r="AB37" s="10">
        <v>0.17</v>
      </c>
      <c r="AC37" s="10">
        <v>0.17</v>
      </c>
      <c r="AD37" s="11">
        <v>0.17</v>
      </c>
      <c r="AE37" s="13" t="s">
        <v>569</v>
      </c>
      <c r="AF37" s="11">
        <v>0.17</v>
      </c>
      <c r="AG37" s="11">
        <f>50%+17%+17%</f>
        <v>0.84000000000000008</v>
      </c>
      <c r="AH37" s="52" t="s">
        <v>570</v>
      </c>
      <c r="AK37" s="14">
        <f t="shared" si="0"/>
        <v>1</v>
      </c>
      <c r="AL37" s="14">
        <f t="shared" si="1"/>
        <v>0.84000000000000008</v>
      </c>
    </row>
    <row r="38" spans="2:38" ht="159.75" customHeight="1" x14ac:dyDescent="0.25">
      <c r="B38" s="5" t="s">
        <v>42</v>
      </c>
      <c r="C38" s="6" t="s">
        <v>186</v>
      </c>
      <c r="D38" s="5" t="s">
        <v>44</v>
      </c>
      <c r="E38" s="6" t="s">
        <v>187</v>
      </c>
      <c r="F38" s="6" t="s">
        <v>188</v>
      </c>
      <c r="G38" s="5"/>
      <c r="H38" s="6"/>
      <c r="I38" s="18"/>
      <c r="J38" s="6" t="s">
        <v>195</v>
      </c>
      <c r="K38" s="7" t="s">
        <v>196</v>
      </c>
      <c r="L38" s="7" t="s">
        <v>197</v>
      </c>
      <c r="M38" s="6" t="s">
        <v>192</v>
      </c>
      <c r="N38" s="9">
        <v>42552</v>
      </c>
      <c r="O38" s="9">
        <v>42735</v>
      </c>
      <c r="P38" s="7" t="s">
        <v>51</v>
      </c>
      <c r="Q38" s="7" t="s">
        <v>198</v>
      </c>
      <c r="R38" s="10">
        <v>0.2</v>
      </c>
      <c r="S38" s="11"/>
      <c r="T38" s="12"/>
      <c r="U38" s="12"/>
      <c r="V38" s="12"/>
      <c r="W38" s="12"/>
      <c r="X38" s="11"/>
      <c r="Y38" s="12">
        <v>0.16</v>
      </c>
      <c r="Z38" s="12">
        <v>0.16</v>
      </c>
      <c r="AA38" s="11">
        <v>0.17</v>
      </c>
      <c r="AB38" s="10">
        <v>0.17</v>
      </c>
      <c r="AC38" s="10">
        <v>0.17</v>
      </c>
      <c r="AD38" s="11">
        <v>0.17</v>
      </c>
      <c r="AE38" s="13" t="s">
        <v>569</v>
      </c>
      <c r="AF38" s="11">
        <v>0.17</v>
      </c>
      <c r="AG38" s="11">
        <f>16%+16%+16%+17%+17%+17%</f>
        <v>0.9900000000000001</v>
      </c>
      <c r="AH38" s="53" t="s">
        <v>571</v>
      </c>
      <c r="AK38" s="14">
        <f t="shared" si="0"/>
        <v>1</v>
      </c>
      <c r="AL38" s="14">
        <f t="shared" si="1"/>
        <v>0.9900000000000001</v>
      </c>
    </row>
    <row r="39" spans="2:38" ht="120" x14ac:dyDescent="0.25">
      <c r="B39" s="5" t="s">
        <v>42</v>
      </c>
      <c r="C39" s="6" t="s">
        <v>186</v>
      </c>
      <c r="D39" s="5" t="s">
        <v>44</v>
      </c>
      <c r="E39" s="6" t="s">
        <v>187</v>
      </c>
      <c r="F39" s="6" t="s">
        <v>200</v>
      </c>
      <c r="G39" s="5"/>
      <c r="H39" s="6"/>
      <c r="I39" s="18"/>
      <c r="J39" s="6" t="s">
        <v>201</v>
      </c>
      <c r="K39" s="7" t="s">
        <v>202</v>
      </c>
      <c r="L39" s="7" t="s">
        <v>203</v>
      </c>
      <c r="M39" s="6" t="s">
        <v>192</v>
      </c>
      <c r="N39" s="9">
        <v>42552</v>
      </c>
      <c r="O39" s="9">
        <v>42917</v>
      </c>
      <c r="P39" s="7" t="s">
        <v>51</v>
      </c>
      <c r="Q39" s="7" t="s">
        <v>204</v>
      </c>
      <c r="R39" s="10">
        <v>0.2</v>
      </c>
      <c r="S39" s="11"/>
      <c r="T39" s="12"/>
      <c r="U39" s="12"/>
      <c r="V39" s="12"/>
      <c r="W39" s="12"/>
      <c r="X39" s="11"/>
      <c r="Y39" s="12">
        <v>0.1</v>
      </c>
      <c r="Z39" s="12">
        <v>0.3</v>
      </c>
      <c r="AA39" s="11">
        <v>0.15</v>
      </c>
      <c r="AB39" s="10">
        <v>0.15</v>
      </c>
      <c r="AC39" s="10">
        <v>0.15</v>
      </c>
      <c r="AD39" s="11">
        <v>0.15</v>
      </c>
      <c r="AE39" s="13" t="s">
        <v>569</v>
      </c>
      <c r="AF39" s="11">
        <v>0.15</v>
      </c>
      <c r="AG39" s="11">
        <f>10%+10%+15%+15%+15%</f>
        <v>0.65</v>
      </c>
      <c r="AH39" s="52" t="s">
        <v>572</v>
      </c>
      <c r="AK39" s="14">
        <f t="shared" si="0"/>
        <v>1</v>
      </c>
      <c r="AL39" s="14">
        <f t="shared" si="1"/>
        <v>0.65</v>
      </c>
    </row>
    <row r="40" spans="2:38" ht="120" x14ac:dyDescent="0.25">
      <c r="B40" s="5" t="s">
        <v>42</v>
      </c>
      <c r="C40" s="6" t="s">
        <v>186</v>
      </c>
      <c r="D40" s="5" t="s">
        <v>44</v>
      </c>
      <c r="E40" s="6" t="s">
        <v>187</v>
      </c>
      <c r="F40" s="6" t="s">
        <v>200</v>
      </c>
      <c r="G40" s="5"/>
      <c r="H40" s="6"/>
      <c r="I40" s="18"/>
      <c r="J40" s="6" t="s">
        <v>206</v>
      </c>
      <c r="K40" s="7" t="s">
        <v>207</v>
      </c>
      <c r="L40" s="7" t="s">
        <v>208</v>
      </c>
      <c r="M40" s="6" t="s">
        <v>192</v>
      </c>
      <c r="N40" s="9">
        <v>42552</v>
      </c>
      <c r="O40" s="9">
        <v>42675</v>
      </c>
      <c r="P40" s="7" t="s">
        <v>51</v>
      </c>
      <c r="Q40" s="7" t="s">
        <v>209</v>
      </c>
      <c r="R40" s="10">
        <v>0.2</v>
      </c>
      <c r="S40" s="11"/>
      <c r="T40" s="12"/>
      <c r="U40" s="12"/>
      <c r="V40" s="12"/>
      <c r="W40" s="12"/>
      <c r="X40" s="11"/>
      <c r="Y40" s="12">
        <v>0.16</v>
      </c>
      <c r="Z40" s="12">
        <v>0.16</v>
      </c>
      <c r="AA40" s="11">
        <v>0.17</v>
      </c>
      <c r="AB40" s="10">
        <v>0.17</v>
      </c>
      <c r="AC40" s="10">
        <v>0.17</v>
      </c>
      <c r="AD40" s="11">
        <v>0.17</v>
      </c>
      <c r="AE40" s="13" t="s">
        <v>569</v>
      </c>
      <c r="AF40" s="11">
        <v>0.17</v>
      </c>
      <c r="AG40" s="11">
        <f>30%+17%+17%+17%</f>
        <v>0.81</v>
      </c>
      <c r="AH40" s="53" t="s">
        <v>573</v>
      </c>
      <c r="AK40" s="14">
        <f t="shared" si="0"/>
        <v>1</v>
      </c>
      <c r="AL40" s="14">
        <f t="shared" si="1"/>
        <v>0.81</v>
      </c>
    </row>
    <row r="41" spans="2:38" ht="120" x14ac:dyDescent="0.25">
      <c r="B41" s="5" t="s">
        <v>42</v>
      </c>
      <c r="C41" s="5" t="s">
        <v>211</v>
      </c>
      <c r="D41" s="5" t="s">
        <v>44</v>
      </c>
      <c r="E41" s="5" t="s">
        <v>187</v>
      </c>
      <c r="F41" s="5" t="s">
        <v>211</v>
      </c>
      <c r="G41" s="5"/>
      <c r="H41" s="6"/>
      <c r="I41" s="18"/>
      <c r="J41" s="5" t="s">
        <v>212</v>
      </c>
      <c r="K41" s="7" t="s">
        <v>213</v>
      </c>
      <c r="L41" s="7" t="s">
        <v>214</v>
      </c>
      <c r="M41" s="6" t="s">
        <v>192</v>
      </c>
      <c r="N41" s="9">
        <v>42552</v>
      </c>
      <c r="O41" s="9">
        <v>42735</v>
      </c>
      <c r="P41" s="7" t="s">
        <v>51</v>
      </c>
      <c r="Q41" s="7" t="s">
        <v>215</v>
      </c>
      <c r="R41" s="10">
        <v>0.2</v>
      </c>
      <c r="S41" s="11"/>
      <c r="T41" s="12"/>
      <c r="U41" s="12"/>
      <c r="V41" s="12"/>
      <c r="W41" s="12"/>
      <c r="X41" s="11"/>
      <c r="Y41" s="12">
        <v>0.17</v>
      </c>
      <c r="Z41" s="12">
        <v>0.17</v>
      </c>
      <c r="AA41" s="11">
        <v>0.17</v>
      </c>
      <c r="AB41" s="10">
        <v>0.17</v>
      </c>
      <c r="AC41" s="10">
        <v>0.16</v>
      </c>
      <c r="AD41" s="11">
        <v>0.16</v>
      </c>
      <c r="AE41" s="13" t="s">
        <v>569</v>
      </c>
      <c r="AF41" s="11">
        <v>0.11</v>
      </c>
      <c r="AG41" s="11">
        <f>22%+24%+42%+17%+11%-16%</f>
        <v>0.99999999999999989</v>
      </c>
      <c r="AH41" s="16" t="s">
        <v>574</v>
      </c>
      <c r="AK41" s="14">
        <f t="shared" si="0"/>
        <v>1</v>
      </c>
      <c r="AL41" s="14">
        <f t="shared" si="1"/>
        <v>0.99999999999999989</v>
      </c>
    </row>
    <row r="42" spans="2:38" ht="105" x14ac:dyDescent="0.25">
      <c r="B42" s="5" t="s">
        <v>217</v>
      </c>
      <c r="C42" s="5" t="s">
        <v>218</v>
      </c>
      <c r="D42" s="5" t="s">
        <v>219</v>
      </c>
      <c r="E42" s="5" t="s">
        <v>220</v>
      </c>
      <c r="F42" s="5" t="s">
        <v>221</v>
      </c>
      <c r="G42" s="5"/>
      <c r="H42" s="19"/>
      <c r="I42" s="19"/>
      <c r="J42" s="6" t="s">
        <v>222</v>
      </c>
      <c r="K42" s="7" t="s">
        <v>202</v>
      </c>
      <c r="L42" s="7" t="s">
        <v>223</v>
      </c>
      <c r="M42" s="6" t="s">
        <v>192</v>
      </c>
      <c r="N42" s="9">
        <v>42552</v>
      </c>
      <c r="O42" s="9">
        <v>42856</v>
      </c>
      <c r="P42" s="7" t="s">
        <v>51</v>
      </c>
      <c r="Q42" s="7" t="s">
        <v>224</v>
      </c>
      <c r="R42" s="10">
        <v>0.5</v>
      </c>
      <c r="S42" s="11"/>
      <c r="T42" s="12"/>
      <c r="U42" s="12"/>
      <c r="V42" s="12"/>
      <c r="W42" s="12"/>
      <c r="X42" s="11"/>
      <c r="Y42" s="12">
        <v>0.16</v>
      </c>
      <c r="Z42" s="12">
        <v>0.16</v>
      </c>
      <c r="AA42" s="11">
        <v>0.17</v>
      </c>
      <c r="AB42" s="10">
        <v>0.17</v>
      </c>
      <c r="AC42" s="10">
        <v>0.17</v>
      </c>
      <c r="AD42" s="11">
        <v>0.17</v>
      </c>
      <c r="AE42" s="13" t="s">
        <v>569</v>
      </c>
      <c r="AF42" s="11">
        <v>0.17</v>
      </c>
      <c r="AG42" s="11">
        <f>16%+16%+17%+17%+17%+17%</f>
        <v>1</v>
      </c>
      <c r="AH42" s="16" t="s">
        <v>575</v>
      </c>
      <c r="AK42" s="14">
        <f t="shared" si="0"/>
        <v>1</v>
      </c>
      <c r="AL42" s="14">
        <f t="shared" si="1"/>
        <v>1</v>
      </c>
    </row>
    <row r="43" spans="2:38" ht="105" x14ac:dyDescent="0.25">
      <c r="B43" s="5" t="s">
        <v>217</v>
      </c>
      <c r="C43" s="5" t="s">
        <v>218</v>
      </c>
      <c r="D43" s="5" t="s">
        <v>219</v>
      </c>
      <c r="E43" s="5" t="s">
        <v>220</v>
      </c>
      <c r="F43" s="5" t="s">
        <v>221</v>
      </c>
      <c r="G43" s="5"/>
      <c r="H43" s="19"/>
      <c r="I43" s="19"/>
      <c r="J43" s="5" t="s">
        <v>226</v>
      </c>
      <c r="K43" s="19" t="s">
        <v>227</v>
      </c>
      <c r="L43" s="19" t="s">
        <v>228</v>
      </c>
      <c r="M43" s="5" t="s">
        <v>192</v>
      </c>
      <c r="N43" s="9">
        <v>42552</v>
      </c>
      <c r="O43" s="9">
        <v>42735</v>
      </c>
      <c r="P43" s="19" t="s">
        <v>51</v>
      </c>
      <c r="Q43" s="19" t="s">
        <v>229</v>
      </c>
      <c r="R43" s="10">
        <v>0.5</v>
      </c>
      <c r="S43" s="11"/>
      <c r="T43" s="12"/>
      <c r="U43" s="12"/>
      <c r="V43" s="12"/>
      <c r="W43" s="12"/>
      <c r="X43" s="11"/>
      <c r="Y43" s="12">
        <v>0.16</v>
      </c>
      <c r="Z43" s="12">
        <v>0.16</v>
      </c>
      <c r="AA43" s="11">
        <v>0.17</v>
      </c>
      <c r="AB43" s="11">
        <v>0.17</v>
      </c>
      <c r="AC43" s="11">
        <v>0.17</v>
      </c>
      <c r="AD43" s="11">
        <v>0.17</v>
      </c>
      <c r="AE43" s="13" t="s">
        <v>569</v>
      </c>
      <c r="AF43" s="11">
        <v>0.17</v>
      </c>
      <c r="AG43" s="11">
        <f>16%+16%+17%+17%+17%+17%</f>
        <v>1</v>
      </c>
      <c r="AH43" s="53" t="s">
        <v>567</v>
      </c>
      <c r="AK43" s="14">
        <f t="shared" si="0"/>
        <v>1</v>
      </c>
      <c r="AL43" s="14">
        <f t="shared" si="1"/>
        <v>1</v>
      </c>
    </row>
    <row r="44" spans="2:38" ht="242.25" x14ac:dyDescent="0.25">
      <c r="B44" s="5" t="s">
        <v>231</v>
      </c>
      <c r="C44" s="5" t="s">
        <v>232</v>
      </c>
      <c r="D44" s="5" t="s">
        <v>233</v>
      </c>
      <c r="E44" s="5" t="s">
        <v>234</v>
      </c>
      <c r="F44" s="5" t="s">
        <v>235</v>
      </c>
      <c r="G44" s="5"/>
      <c r="H44" s="20"/>
      <c r="I44" s="5"/>
      <c r="J44" s="5" t="s">
        <v>236</v>
      </c>
      <c r="K44" s="19" t="s">
        <v>237</v>
      </c>
      <c r="L44" s="19" t="s">
        <v>238</v>
      </c>
      <c r="M44" s="5" t="s">
        <v>111</v>
      </c>
      <c r="N44" s="9">
        <v>42552</v>
      </c>
      <c r="O44" s="9">
        <v>42735</v>
      </c>
      <c r="P44" s="19" t="s">
        <v>239</v>
      </c>
      <c r="Q44" s="19" t="s">
        <v>52</v>
      </c>
      <c r="R44" s="10">
        <v>0.03</v>
      </c>
      <c r="S44" s="11"/>
      <c r="T44" s="12"/>
      <c r="U44" s="12"/>
      <c r="V44" s="12"/>
      <c r="W44" s="12"/>
      <c r="X44" s="11">
        <v>0.14000000000000001</v>
      </c>
      <c r="Y44" s="12">
        <v>0.14000000000000001</v>
      </c>
      <c r="Z44" s="12">
        <v>0.14000000000000001</v>
      </c>
      <c r="AA44" s="11">
        <v>0.14000000000000001</v>
      </c>
      <c r="AB44" s="11">
        <v>0.14000000000000001</v>
      </c>
      <c r="AC44" s="11">
        <v>0.14000000000000001</v>
      </c>
      <c r="AD44" s="11">
        <v>0.16</v>
      </c>
      <c r="AE44" s="13" t="s">
        <v>569</v>
      </c>
      <c r="AF44" s="11">
        <v>0.16</v>
      </c>
      <c r="AG44" s="11">
        <f>14%+14%+14%+14%+14%+14%+16%</f>
        <v>1</v>
      </c>
      <c r="AH44" s="54" t="s">
        <v>600</v>
      </c>
      <c r="AK44" s="14">
        <f t="shared" si="0"/>
        <v>1</v>
      </c>
      <c r="AL44" s="14">
        <f t="shared" si="1"/>
        <v>1</v>
      </c>
    </row>
    <row r="45" spans="2:38" ht="165.75" x14ac:dyDescent="0.25">
      <c r="B45" s="5" t="s">
        <v>231</v>
      </c>
      <c r="C45" s="5" t="s">
        <v>232</v>
      </c>
      <c r="D45" s="5" t="s">
        <v>233</v>
      </c>
      <c r="E45" s="5" t="s">
        <v>234</v>
      </c>
      <c r="F45" s="5" t="s">
        <v>240</v>
      </c>
      <c r="G45" s="5"/>
      <c r="H45" s="20"/>
      <c r="I45" s="5"/>
      <c r="J45" s="6" t="s">
        <v>241</v>
      </c>
      <c r="K45" s="19" t="s">
        <v>242</v>
      </c>
      <c r="L45" s="19" t="s">
        <v>243</v>
      </c>
      <c r="M45" s="5" t="s">
        <v>111</v>
      </c>
      <c r="N45" s="9">
        <v>42552</v>
      </c>
      <c r="O45" s="9">
        <v>42735</v>
      </c>
      <c r="P45" s="19" t="s">
        <v>244</v>
      </c>
      <c r="Q45" s="19" t="s">
        <v>245</v>
      </c>
      <c r="R45" s="10">
        <v>0.03</v>
      </c>
      <c r="S45" s="11"/>
      <c r="T45" s="12"/>
      <c r="U45" s="12"/>
      <c r="V45" s="12"/>
      <c r="W45" s="12"/>
      <c r="X45" s="11">
        <v>0.14000000000000001</v>
      </c>
      <c r="Y45" s="12">
        <v>0.14000000000000001</v>
      </c>
      <c r="Z45" s="12">
        <v>0.14000000000000001</v>
      </c>
      <c r="AA45" s="11">
        <v>0.14000000000000001</v>
      </c>
      <c r="AB45" s="11">
        <v>0.14000000000000001</v>
      </c>
      <c r="AC45" s="11">
        <v>0.14000000000000001</v>
      </c>
      <c r="AD45" s="11">
        <v>0.16</v>
      </c>
      <c r="AE45" s="13" t="s">
        <v>569</v>
      </c>
      <c r="AF45" s="11">
        <v>0.16</v>
      </c>
      <c r="AG45" s="11">
        <f>14%+14%+14%+14%+14%+14%+16%</f>
        <v>1</v>
      </c>
      <c r="AH45" s="54" t="s">
        <v>601</v>
      </c>
      <c r="AK45" s="14">
        <f t="shared" si="0"/>
        <v>1</v>
      </c>
      <c r="AL45" s="14">
        <f t="shared" si="1"/>
        <v>1</v>
      </c>
    </row>
    <row r="46" spans="2:38" ht="120" x14ac:dyDescent="0.25">
      <c r="B46" s="5" t="s">
        <v>231</v>
      </c>
      <c r="C46" s="5" t="s">
        <v>232</v>
      </c>
      <c r="D46" s="5" t="s">
        <v>233</v>
      </c>
      <c r="E46" s="5" t="s">
        <v>234</v>
      </c>
      <c r="F46" s="5" t="s">
        <v>235</v>
      </c>
      <c r="G46" s="5"/>
      <c r="H46" s="20"/>
      <c r="I46" s="5"/>
      <c r="J46" s="5" t="s">
        <v>246</v>
      </c>
      <c r="K46" s="19" t="s">
        <v>247</v>
      </c>
      <c r="L46" s="19" t="s">
        <v>248</v>
      </c>
      <c r="M46" s="5" t="s">
        <v>111</v>
      </c>
      <c r="N46" s="9">
        <v>42614</v>
      </c>
      <c r="O46" s="9">
        <v>42705</v>
      </c>
      <c r="P46" s="19" t="s">
        <v>51</v>
      </c>
      <c r="Q46" s="19" t="s">
        <v>52</v>
      </c>
      <c r="R46" s="10">
        <v>0.03</v>
      </c>
      <c r="S46" s="11"/>
      <c r="T46" s="12"/>
      <c r="U46" s="12"/>
      <c r="V46" s="12"/>
      <c r="W46" s="12"/>
      <c r="X46" s="11"/>
      <c r="Y46" s="12"/>
      <c r="Z46" s="12"/>
      <c r="AA46" s="11">
        <v>0.33</v>
      </c>
      <c r="AB46" s="11">
        <v>0.34</v>
      </c>
      <c r="AC46" s="11">
        <v>0.33</v>
      </c>
      <c r="AD46" s="11"/>
      <c r="AE46" s="13"/>
      <c r="AF46" s="11"/>
      <c r="AG46" s="11">
        <f>33%+67%</f>
        <v>1</v>
      </c>
      <c r="AH46" s="55"/>
      <c r="AK46" s="14">
        <f t="shared" si="0"/>
        <v>1</v>
      </c>
      <c r="AL46" s="14">
        <f t="shared" si="1"/>
        <v>1</v>
      </c>
    </row>
    <row r="47" spans="2:38" ht="75" x14ac:dyDescent="0.25">
      <c r="B47" s="5" t="s">
        <v>231</v>
      </c>
      <c r="C47" s="5" t="s">
        <v>232</v>
      </c>
      <c r="D47" s="5" t="s">
        <v>233</v>
      </c>
      <c r="E47" s="5" t="s">
        <v>234</v>
      </c>
      <c r="F47" s="5" t="s">
        <v>235</v>
      </c>
      <c r="G47" s="5"/>
      <c r="H47" s="5"/>
      <c r="I47" s="5"/>
      <c r="J47" s="5" t="s">
        <v>249</v>
      </c>
      <c r="K47" s="19" t="s">
        <v>250</v>
      </c>
      <c r="L47" s="19" t="s">
        <v>251</v>
      </c>
      <c r="M47" s="5" t="s">
        <v>252</v>
      </c>
      <c r="N47" s="21">
        <v>42566</v>
      </c>
      <c r="O47" s="21">
        <v>42643</v>
      </c>
      <c r="P47" s="19" t="s">
        <v>184</v>
      </c>
      <c r="Q47" s="19" t="s">
        <v>52</v>
      </c>
      <c r="R47" s="10">
        <v>0.03</v>
      </c>
      <c r="S47" s="11"/>
      <c r="T47" s="12"/>
      <c r="U47" s="12"/>
      <c r="V47" s="12"/>
      <c r="W47" s="12"/>
      <c r="X47" s="11">
        <v>0.25</v>
      </c>
      <c r="Y47" s="12">
        <v>0.25</v>
      </c>
      <c r="Z47" s="12">
        <v>0.25</v>
      </c>
      <c r="AA47" s="11">
        <v>0.25</v>
      </c>
      <c r="AB47" s="11"/>
      <c r="AC47" s="11"/>
      <c r="AD47" s="11"/>
      <c r="AE47" s="13"/>
      <c r="AF47" s="11"/>
      <c r="AG47" s="11">
        <f>25%+25%+25%+25%</f>
        <v>1</v>
      </c>
      <c r="AH47" s="55"/>
      <c r="AK47" s="14">
        <f t="shared" si="0"/>
        <v>1</v>
      </c>
      <c r="AL47" s="14">
        <f t="shared" si="1"/>
        <v>1</v>
      </c>
    </row>
    <row r="48" spans="2:38" ht="75" x14ac:dyDescent="0.25">
      <c r="B48" s="5" t="s">
        <v>231</v>
      </c>
      <c r="C48" s="5" t="s">
        <v>232</v>
      </c>
      <c r="D48" s="5" t="s">
        <v>233</v>
      </c>
      <c r="E48" s="5" t="s">
        <v>234</v>
      </c>
      <c r="F48" s="5" t="s">
        <v>235</v>
      </c>
      <c r="G48" s="5"/>
      <c r="H48" s="5"/>
      <c r="I48" s="5"/>
      <c r="J48" s="5" t="s">
        <v>254</v>
      </c>
      <c r="K48" s="19" t="s">
        <v>255</v>
      </c>
      <c r="L48" s="19" t="s">
        <v>256</v>
      </c>
      <c r="M48" s="5" t="s">
        <v>252</v>
      </c>
      <c r="N48" s="21">
        <v>42583</v>
      </c>
      <c r="O48" s="21">
        <v>42735</v>
      </c>
      <c r="P48" s="19" t="s">
        <v>184</v>
      </c>
      <c r="Q48" s="19" t="s">
        <v>52</v>
      </c>
      <c r="R48" s="10">
        <v>0.03</v>
      </c>
      <c r="S48" s="11"/>
      <c r="T48" s="12"/>
      <c r="U48" s="12"/>
      <c r="V48" s="12"/>
      <c r="W48" s="12"/>
      <c r="X48" s="11">
        <v>0.15</v>
      </c>
      <c r="Y48" s="12">
        <v>0.15</v>
      </c>
      <c r="Z48" s="12">
        <v>0.15</v>
      </c>
      <c r="AA48" s="11">
        <v>0.15</v>
      </c>
      <c r="AB48" s="11">
        <v>0.15</v>
      </c>
      <c r="AC48" s="11">
        <v>0.15</v>
      </c>
      <c r="AD48" s="11">
        <v>0.1</v>
      </c>
      <c r="AE48" s="13" t="s">
        <v>569</v>
      </c>
      <c r="AF48" s="11">
        <v>0.1</v>
      </c>
      <c r="AG48" s="11">
        <f>15%+15%+15%+15%+15%+15%+10%</f>
        <v>1</v>
      </c>
      <c r="AH48" s="55" t="s">
        <v>556</v>
      </c>
      <c r="AK48" s="14">
        <f t="shared" si="0"/>
        <v>1</v>
      </c>
      <c r="AL48" s="14">
        <f t="shared" si="1"/>
        <v>1</v>
      </c>
    </row>
    <row r="49" spans="2:38" ht="75" x14ac:dyDescent="0.25">
      <c r="B49" s="5" t="s">
        <v>231</v>
      </c>
      <c r="C49" s="5" t="s">
        <v>232</v>
      </c>
      <c r="D49" s="5" t="s">
        <v>233</v>
      </c>
      <c r="E49" s="5" t="s">
        <v>234</v>
      </c>
      <c r="F49" s="5" t="s">
        <v>235</v>
      </c>
      <c r="G49" s="5"/>
      <c r="H49" s="5"/>
      <c r="I49" s="5"/>
      <c r="J49" s="5" t="s">
        <v>258</v>
      </c>
      <c r="K49" s="19" t="s">
        <v>259</v>
      </c>
      <c r="L49" s="19" t="s">
        <v>260</v>
      </c>
      <c r="M49" s="5" t="s">
        <v>252</v>
      </c>
      <c r="N49" s="21">
        <v>42583</v>
      </c>
      <c r="O49" s="21">
        <v>42735</v>
      </c>
      <c r="P49" s="19" t="s">
        <v>261</v>
      </c>
      <c r="Q49" s="19" t="s">
        <v>52</v>
      </c>
      <c r="R49" s="10">
        <v>0.03</v>
      </c>
      <c r="S49" s="11"/>
      <c r="T49" s="12"/>
      <c r="U49" s="12"/>
      <c r="V49" s="12"/>
      <c r="W49" s="12"/>
      <c r="X49" s="11"/>
      <c r="Y49" s="12"/>
      <c r="Z49" s="12"/>
      <c r="AA49" s="11"/>
      <c r="AB49" s="11">
        <v>0.3</v>
      </c>
      <c r="AC49" s="11">
        <v>0.3</v>
      </c>
      <c r="AD49" s="11">
        <v>0.4</v>
      </c>
      <c r="AE49" s="13"/>
      <c r="AF49" s="11"/>
      <c r="AG49" s="11">
        <v>1</v>
      </c>
      <c r="AH49" s="56"/>
      <c r="AK49" s="14">
        <f t="shared" si="0"/>
        <v>1</v>
      </c>
      <c r="AL49" s="14">
        <f t="shared" si="1"/>
        <v>1</v>
      </c>
    </row>
    <row r="50" spans="2:38" ht="75" x14ac:dyDescent="0.25">
      <c r="B50" s="5" t="s">
        <v>231</v>
      </c>
      <c r="C50" s="5" t="s">
        <v>232</v>
      </c>
      <c r="D50" s="5" t="s">
        <v>233</v>
      </c>
      <c r="E50" s="5" t="s">
        <v>234</v>
      </c>
      <c r="F50" s="5" t="s">
        <v>235</v>
      </c>
      <c r="G50" s="5"/>
      <c r="H50" s="5"/>
      <c r="I50" s="5"/>
      <c r="J50" s="5" t="s">
        <v>263</v>
      </c>
      <c r="K50" s="19" t="s">
        <v>264</v>
      </c>
      <c r="L50" s="19" t="s">
        <v>265</v>
      </c>
      <c r="M50" s="5" t="s">
        <v>252</v>
      </c>
      <c r="N50" s="21">
        <v>42644</v>
      </c>
      <c r="O50" s="21">
        <v>42735</v>
      </c>
      <c r="P50" s="19" t="s">
        <v>52</v>
      </c>
      <c r="Q50" s="19" t="s">
        <v>52</v>
      </c>
      <c r="R50" s="10">
        <v>0.03</v>
      </c>
      <c r="S50" s="11"/>
      <c r="T50" s="12"/>
      <c r="U50" s="12"/>
      <c r="V50" s="12"/>
      <c r="W50" s="12"/>
      <c r="X50" s="11"/>
      <c r="Y50" s="12"/>
      <c r="Z50" s="12"/>
      <c r="AA50" s="11"/>
      <c r="AB50" s="11">
        <v>0.3</v>
      </c>
      <c r="AC50" s="11">
        <v>0.3</v>
      </c>
      <c r="AD50" s="11">
        <v>0.4</v>
      </c>
      <c r="AE50" s="13" t="s">
        <v>569</v>
      </c>
      <c r="AF50" s="11">
        <v>0.4</v>
      </c>
      <c r="AG50" s="11">
        <f>30%+30%+40%</f>
        <v>1</v>
      </c>
      <c r="AH50" s="52" t="s">
        <v>608</v>
      </c>
      <c r="AK50" s="14">
        <f t="shared" si="0"/>
        <v>1</v>
      </c>
      <c r="AL50" s="14">
        <f t="shared" si="1"/>
        <v>1</v>
      </c>
    </row>
    <row r="51" spans="2:38" ht="75" x14ac:dyDescent="0.25">
      <c r="B51" s="5" t="s">
        <v>231</v>
      </c>
      <c r="C51" s="5" t="s">
        <v>232</v>
      </c>
      <c r="D51" s="5" t="s">
        <v>233</v>
      </c>
      <c r="E51" s="5" t="s">
        <v>234</v>
      </c>
      <c r="F51" s="5" t="s">
        <v>235</v>
      </c>
      <c r="G51" s="5"/>
      <c r="H51" s="5"/>
      <c r="I51" s="5"/>
      <c r="J51" s="5" t="s">
        <v>263</v>
      </c>
      <c r="K51" s="19" t="s">
        <v>267</v>
      </c>
      <c r="L51" s="19" t="s">
        <v>268</v>
      </c>
      <c r="M51" s="5" t="s">
        <v>252</v>
      </c>
      <c r="N51" s="21">
        <v>42597</v>
      </c>
      <c r="O51" s="21">
        <v>42658</v>
      </c>
      <c r="P51" s="19" t="s">
        <v>52</v>
      </c>
      <c r="Q51" s="19" t="s">
        <v>52</v>
      </c>
      <c r="R51" s="10">
        <v>0.03</v>
      </c>
      <c r="S51" s="11"/>
      <c r="T51" s="12"/>
      <c r="U51" s="12"/>
      <c r="V51" s="12"/>
      <c r="W51" s="12"/>
      <c r="X51" s="11"/>
      <c r="Y51" s="12"/>
      <c r="Z51" s="12">
        <v>0.5</v>
      </c>
      <c r="AA51" s="11">
        <v>0.5</v>
      </c>
      <c r="AB51" s="11"/>
      <c r="AC51" s="11"/>
      <c r="AD51" s="11"/>
      <c r="AE51" s="13" t="s">
        <v>569</v>
      </c>
      <c r="AF51" s="11">
        <v>0.3</v>
      </c>
      <c r="AG51" s="11">
        <f>50%+20%+30%</f>
        <v>1</v>
      </c>
      <c r="AH51" s="55" t="s">
        <v>609</v>
      </c>
      <c r="AK51" s="14">
        <f t="shared" si="0"/>
        <v>1</v>
      </c>
      <c r="AL51" s="14">
        <f t="shared" si="1"/>
        <v>1</v>
      </c>
    </row>
    <row r="52" spans="2:38" ht="75" x14ac:dyDescent="0.25">
      <c r="B52" s="5" t="s">
        <v>231</v>
      </c>
      <c r="C52" s="5" t="s">
        <v>232</v>
      </c>
      <c r="D52" s="5" t="s">
        <v>233</v>
      </c>
      <c r="E52" s="5" t="s">
        <v>234</v>
      </c>
      <c r="F52" s="5" t="s">
        <v>235</v>
      </c>
      <c r="G52" s="5"/>
      <c r="H52" s="5"/>
      <c r="I52" s="5"/>
      <c r="J52" s="5" t="s">
        <v>270</v>
      </c>
      <c r="K52" s="19" t="s">
        <v>271</v>
      </c>
      <c r="L52" s="19" t="s">
        <v>268</v>
      </c>
      <c r="M52" s="5" t="s">
        <v>252</v>
      </c>
      <c r="N52" s="21">
        <v>42583</v>
      </c>
      <c r="O52" s="21">
        <v>42735</v>
      </c>
      <c r="P52" s="19" t="s">
        <v>52</v>
      </c>
      <c r="Q52" s="19" t="s">
        <v>52</v>
      </c>
      <c r="R52" s="10">
        <v>0.03</v>
      </c>
      <c r="S52" s="11"/>
      <c r="T52" s="12"/>
      <c r="U52" s="12"/>
      <c r="V52" s="12"/>
      <c r="W52" s="12"/>
      <c r="X52" s="11"/>
      <c r="Y52" s="12"/>
      <c r="Z52" s="12">
        <v>0.2</v>
      </c>
      <c r="AA52" s="11">
        <v>0.2</v>
      </c>
      <c r="AB52" s="11">
        <v>0.2</v>
      </c>
      <c r="AC52" s="11">
        <v>0.2</v>
      </c>
      <c r="AD52" s="11">
        <v>0.2</v>
      </c>
      <c r="AE52" s="13" t="s">
        <v>569</v>
      </c>
      <c r="AF52" s="11">
        <v>0.2</v>
      </c>
      <c r="AG52" s="11">
        <f>20%+20%+20%+20%+20%</f>
        <v>1</v>
      </c>
      <c r="AH52" s="55" t="s">
        <v>559</v>
      </c>
      <c r="AK52" s="14">
        <f t="shared" si="0"/>
        <v>1</v>
      </c>
      <c r="AL52" s="14">
        <f t="shared" si="1"/>
        <v>1</v>
      </c>
    </row>
    <row r="53" spans="2:38" ht="150" x14ac:dyDescent="0.25">
      <c r="B53" s="5" t="s">
        <v>231</v>
      </c>
      <c r="C53" s="5" t="s">
        <v>232</v>
      </c>
      <c r="D53" s="5" t="s">
        <v>233</v>
      </c>
      <c r="E53" s="5" t="s">
        <v>234</v>
      </c>
      <c r="F53" s="5" t="s">
        <v>235</v>
      </c>
      <c r="G53" s="5"/>
      <c r="H53" s="5"/>
      <c r="I53" s="5"/>
      <c r="J53" s="5" t="s">
        <v>270</v>
      </c>
      <c r="K53" s="19" t="s">
        <v>273</v>
      </c>
      <c r="L53" s="19" t="s">
        <v>268</v>
      </c>
      <c r="M53" s="5" t="s">
        <v>252</v>
      </c>
      <c r="N53" s="21">
        <v>42583</v>
      </c>
      <c r="O53" s="21">
        <v>42735</v>
      </c>
      <c r="P53" s="19" t="s">
        <v>52</v>
      </c>
      <c r="Q53" s="19" t="s">
        <v>52</v>
      </c>
      <c r="R53" s="10">
        <v>0.03</v>
      </c>
      <c r="S53" s="11"/>
      <c r="T53" s="12"/>
      <c r="U53" s="12"/>
      <c r="V53" s="12"/>
      <c r="W53" s="12"/>
      <c r="X53" s="11"/>
      <c r="Y53" s="12"/>
      <c r="Z53" s="12">
        <v>0.2</v>
      </c>
      <c r="AA53" s="11">
        <v>0.2</v>
      </c>
      <c r="AB53" s="11">
        <v>0.2</v>
      </c>
      <c r="AC53" s="11">
        <v>0.2</v>
      </c>
      <c r="AD53" s="11">
        <v>0.2</v>
      </c>
      <c r="AE53" s="13" t="s">
        <v>569</v>
      </c>
      <c r="AF53" s="11">
        <v>0.2</v>
      </c>
      <c r="AG53" s="11">
        <f>20%+20%+20%+20%+20%</f>
        <v>1</v>
      </c>
      <c r="AH53" s="55" t="s">
        <v>610</v>
      </c>
      <c r="AK53" s="14">
        <f t="shared" si="0"/>
        <v>1</v>
      </c>
      <c r="AL53" s="14">
        <f t="shared" si="1"/>
        <v>1</v>
      </c>
    </row>
    <row r="54" spans="2:38" ht="75" x14ac:dyDescent="0.25">
      <c r="B54" s="5" t="s">
        <v>231</v>
      </c>
      <c r="C54" s="5" t="s">
        <v>232</v>
      </c>
      <c r="D54" s="5" t="s">
        <v>233</v>
      </c>
      <c r="E54" s="5" t="s">
        <v>234</v>
      </c>
      <c r="F54" s="5" t="s">
        <v>235</v>
      </c>
      <c r="G54" s="5"/>
      <c r="H54" s="5"/>
      <c r="I54" s="5"/>
      <c r="J54" s="5" t="s">
        <v>270</v>
      </c>
      <c r="K54" s="19" t="s">
        <v>275</v>
      </c>
      <c r="L54" s="19" t="s">
        <v>268</v>
      </c>
      <c r="M54" s="5" t="s">
        <v>252</v>
      </c>
      <c r="N54" s="21">
        <v>42614</v>
      </c>
      <c r="O54" s="21">
        <v>42735</v>
      </c>
      <c r="P54" s="19" t="s">
        <v>52</v>
      </c>
      <c r="Q54" s="19" t="s">
        <v>52</v>
      </c>
      <c r="R54" s="10">
        <v>0.03</v>
      </c>
      <c r="S54" s="11"/>
      <c r="T54" s="12"/>
      <c r="U54" s="12"/>
      <c r="V54" s="12"/>
      <c r="W54" s="12"/>
      <c r="X54" s="11"/>
      <c r="Y54" s="12"/>
      <c r="Z54" s="12"/>
      <c r="AA54" s="11">
        <v>0.25</v>
      </c>
      <c r="AB54" s="10">
        <v>0.25</v>
      </c>
      <c r="AC54" s="10">
        <v>0.25</v>
      </c>
      <c r="AD54" s="11">
        <v>0.25</v>
      </c>
      <c r="AE54" s="13" t="s">
        <v>569</v>
      </c>
      <c r="AF54" s="11">
        <v>0.25</v>
      </c>
      <c r="AG54" s="11">
        <f>25%+25%+25%+25%</f>
        <v>1</v>
      </c>
      <c r="AH54" s="55" t="s">
        <v>611</v>
      </c>
      <c r="AK54" s="14">
        <f t="shared" si="0"/>
        <v>1</v>
      </c>
      <c r="AL54" s="14">
        <f t="shared" si="1"/>
        <v>1</v>
      </c>
    </row>
    <row r="55" spans="2:38" ht="114" x14ac:dyDescent="0.25">
      <c r="B55" s="5" t="s">
        <v>231</v>
      </c>
      <c r="C55" s="5" t="s">
        <v>232</v>
      </c>
      <c r="D55" s="5" t="s">
        <v>233</v>
      </c>
      <c r="E55" s="5" t="s">
        <v>234</v>
      </c>
      <c r="F55" s="5" t="s">
        <v>382</v>
      </c>
      <c r="G55" s="5"/>
      <c r="H55" s="20"/>
      <c r="I55" s="20"/>
      <c r="J55" s="5" t="s">
        <v>276</v>
      </c>
      <c r="K55" s="19" t="s">
        <v>277</v>
      </c>
      <c r="L55" s="19" t="s">
        <v>278</v>
      </c>
      <c r="M55" s="5" t="s">
        <v>184</v>
      </c>
      <c r="N55" s="21">
        <v>42552</v>
      </c>
      <c r="O55" s="21">
        <v>42735</v>
      </c>
      <c r="P55" s="19" t="s">
        <v>279</v>
      </c>
      <c r="Q55" s="19" t="s">
        <v>280</v>
      </c>
      <c r="R55" s="10">
        <v>0.03</v>
      </c>
      <c r="S55" s="11"/>
      <c r="T55" s="12"/>
      <c r="U55" s="12"/>
      <c r="V55" s="12"/>
      <c r="W55" s="12"/>
      <c r="X55" s="11"/>
      <c r="Y55" s="12">
        <v>0.16</v>
      </c>
      <c r="Z55" s="12">
        <v>0.16</v>
      </c>
      <c r="AA55" s="11">
        <v>0.17</v>
      </c>
      <c r="AB55" s="10">
        <v>0.17</v>
      </c>
      <c r="AC55" s="10">
        <v>0.17</v>
      </c>
      <c r="AD55" s="11">
        <v>0.17</v>
      </c>
      <c r="AE55" s="13" t="s">
        <v>569</v>
      </c>
      <c r="AF55" s="11"/>
      <c r="AG55" s="11">
        <f>10%+8%+17%+17%+10%-33%</f>
        <v>0.28999999999999998</v>
      </c>
      <c r="AH55" s="56" t="s">
        <v>589</v>
      </c>
      <c r="AK55" s="14">
        <f t="shared" si="0"/>
        <v>1</v>
      </c>
      <c r="AL55" s="14">
        <f t="shared" si="1"/>
        <v>0.28999999999999998</v>
      </c>
    </row>
    <row r="56" spans="2:38" ht="234.75" customHeight="1" x14ac:dyDescent="0.25">
      <c r="B56" s="5" t="s">
        <v>231</v>
      </c>
      <c r="C56" s="5" t="s">
        <v>232</v>
      </c>
      <c r="D56" s="5" t="s">
        <v>233</v>
      </c>
      <c r="E56" s="5" t="s">
        <v>234</v>
      </c>
      <c r="F56" s="5" t="s">
        <v>235</v>
      </c>
      <c r="G56" s="5"/>
      <c r="H56" s="20"/>
      <c r="I56" s="20"/>
      <c r="J56" s="5" t="s">
        <v>282</v>
      </c>
      <c r="K56" s="19" t="s">
        <v>283</v>
      </c>
      <c r="L56" s="19" t="s">
        <v>284</v>
      </c>
      <c r="M56" s="5" t="s">
        <v>184</v>
      </c>
      <c r="N56" s="21">
        <v>42552</v>
      </c>
      <c r="O56" s="21">
        <v>42735</v>
      </c>
      <c r="P56" s="19" t="s">
        <v>111</v>
      </c>
      <c r="Q56" s="19" t="s">
        <v>52</v>
      </c>
      <c r="R56" s="10">
        <v>0.03</v>
      </c>
      <c r="S56" s="11"/>
      <c r="T56" s="12"/>
      <c r="U56" s="12"/>
      <c r="V56" s="12"/>
      <c r="W56" s="12"/>
      <c r="X56" s="11"/>
      <c r="Y56" s="12">
        <v>0.16</v>
      </c>
      <c r="Z56" s="12">
        <v>0.16</v>
      </c>
      <c r="AA56" s="11">
        <v>0.17</v>
      </c>
      <c r="AB56" s="10">
        <v>0.17</v>
      </c>
      <c r="AC56" s="10">
        <v>0.17</v>
      </c>
      <c r="AD56" s="11">
        <v>0.17</v>
      </c>
      <c r="AE56" s="13" t="s">
        <v>569</v>
      </c>
      <c r="AF56" s="11">
        <v>0.35</v>
      </c>
      <c r="AG56" s="11">
        <f>10%+10%+10%+17%+10%+35%</f>
        <v>0.92</v>
      </c>
      <c r="AH56" s="56" t="s">
        <v>590</v>
      </c>
      <c r="AK56" s="14">
        <f t="shared" si="0"/>
        <v>1</v>
      </c>
      <c r="AL56" s="14">
        <f t="shared" si="1"/>
        <v>0.92</v>
      </c>
    </row>
    <row r="57" spans="2:38" ht="199.5" x14ac:dyDescent="0.25">
      <c r="B57" s="5" t="s">
        <v>231</v>
      </c>
      <c r="C57" s="5" t="s">
        <v>232</v>
      </c>
      <c r="D57" s="5" t="s">
        <v>233</v>
      </c>
      <c r="E57" s="5" t="s">
        <v>234</v>
      </c>
      <c r="F57" s="5" t="s">
        <v>235</v>
      </c>
      <c r="G57" s="5"/>
      <c r="H57" s="20"/>
      <c r="I57" s="20"/>
      <c r="J57" s="5" t="s">
        <v>286</v>
      </c>
      <c r="K57" s="19" t="s">
        <v>287</v>
      </c>
      <c r="L57" s="19" t="s">
        <v>288</v>
      </c>
      <c r="M57" s="5" t="s">
        <v>184</v>
      </c>
      <c r="N57" s="21">
        <v>42552</v>
      </c>
      <c r="O57" s="21">
        <v>42735</v>
      </c>
      <c r="P57" s="19" t="s">
        <v>289</v>
      </c>
      <c r="Q57" s="19" t="s">
        <v>52</v>
      </c>
      <c r="R57" s="10">
        <v>0.03</v>
      </c>
      <c r="S57" s="11"/>
      <c r="T57" s="12"/>
      <c r="U57" s="12"/>
      <c r="V57" s="12"/>
      <c r="W57" s="12"/>
      <c r="X57" s="11"/>
      <c r="Y57" s="12">
        <v>0.16</v>
      </c>
      <c r="Z57" s="12">
        <v>0.16</v>
      </c>
      <c r="AA57" s="11">
        <v>0.17</v>
      </c>
      <c r="AB57" s="10">
        <v>0.17</v>
      </c>
      <c r="AC57" s="10">
        <v>0.17</v>
      </c>
      <c r="AD57" s="11">
        <v>0.17</v>
      </c>
      <c r="AE57" s="13" t="s">
        <v>569</v>
      </c>
      <c r="AF57" s="11">
        <f>17%+18%</f>
        <v>0.35</v>
      </c>
      <c r="AG57" s="11">
        <f>10%+10%+10%+17%+10%+35%</f>
        <v>0.92</v>
      </c>
      <c r="AH57" s="56" t="s">
        <v>591</v>
      </c>
      <c r="AK57" s="14">
        <f t="shared" si="0"/>
        <v>1</v>
      </c>
      <c r="AL57" s="14">
        <f t="shared" si="1"/>
        <v>0.92</v>
      </c>
    </row>
    <row r="58" spans="2:38" ht="178.5" x14ac:dyDescent="0.25">
      <c r="B58" s="5" t="s">
        <v>231</v>
      </c>
      <c r="C58" s="5" t="s">
        <v>232</v>
      </c>
      <c r="D58" s="5" t="s">
        <v>233</v>
      </c>
      <c r="E58" s="5" t="s">
        <v>234</v>
      </c>
      <c r="F58" s="5" t="s">
        <v>382</v>
      </c>
      <c r="G58" s="5"/>
      <c r="H58" s="20"/>
      <c r="I58" s="20"/>
      <c r="J58" s="5" t="s">
        <v>290</v>
      </c>
      <c r="K58" s="19" t="s">
        <v>291</v>
      </c>
      <c r="L58" s="19" t="s">
        <v>292</v>
      </c>
      <c r="M58" s="5" t="s">
        <v>184</v>
      </c>
      <c r="N58" s="21">
        <v>42552</v>
      </c>
      <c r="O58" s="21">
        <v>42735</v>
      </c>
      <c r="P58" s="19" t="s">
        <v>52</v>
      </c>
      <c r="Q58" s="19" t="s">
        <v>52</v>
      </c>
      <c r="R58" s="10">
        <v>0.03</v>
      </c>
      <c r="S58" s="11"/>
      <c r="T58" s="12"/>
      <c r="U58" s="12"/>
      <c r="V58" s="12"/>
      <c r="W58" s="12"/>
      <c r="X58" s="11"/>
      <c r="Y58" s="12">
        <v>0.16</v>
      </c>
      <c r="Z58" s="12">
        <v>0.16</v>
      </c>
      <c r="AA58" s="11">
        <v>0.17</v>
      </c>
      <c r="AB58" s="10">
        <v>0.17</v>
      </c>
      <c r="AC58" s="10">
        <v>0.17</v>
      </c>
      <c r="AD58" s="11">
        <v>0.17</v>
      </c>
      <c r="AE58" s="13" t="s">
        <v>569</v>
      </c>
      <c r="AF58" s="11">
        <v>0.17</v>
      </c>
      <c r="AG58" s="11">
        <f>16%+16%+17%+17%+17%+17%</f>
        <v>1</v>
      </c>
      <c r="AH58" s="60" t="s">
        <v>592</v>
      </c>
      <c r="AK58" s="14">
        <f t="shared" si="0"/>
        <v>1</v>
      </c>
      <c r="AL58" s="14">
        <f t="shared" si="1"/>
        <v>1</v>
      </c>
    </row>
    <row r="59" spans="2:38" ht="120.75" customHeight="1" x14ac:dyDescent="0.25">
      <c r="B59" s="5" t="s">
        <v>231</v>
      </c>
      <c r="C59" s="5" t="s">
        <v>232</v>
      </c>
      <c r="D59" s="5" t="s">
        <v>233</v>
      </c>
      <c r="E59" s="5" t="s">
        <v>234</v>
      </c>
      <c r="F59" s="5" t="s">
        <v>382</v>
      </c>
      <c r="G59" s="5"/>
      <c r="H59" s="20"/>
      <c r="I59" s="20"/>
      <c r="J59" s="6" t="s">
        <v>294</v>
      </c>
      <c r="K59" s="19" t="s">
        <v>295</v>
      </c>
      <c r="L59" s="19" t="s">
        <v>296</v>
      </c>
      <c r="M59" s="5" t="s">
        <v>184</v>
      </c>
      <c r="N59" s="21">
        <v>42552</v>
      </c>
      <c r="O59" s="21">
        <v>42735</v>
      </c>
      <c r="P59" s="19" t="s">
        <v>297</v>
      </c>
      <c r="Q59" s="19" t="s">
        <v>52</v>
      </c>
      <c r="R59" s="10">
        <v>0.03</v>
      </c>
      <c r="S59" s="11"/>
      <c r="T59" s="12"/>
      <c r="U59" s="12"/>
      <c r="V59" s="12"/>
      <c r="W59" s="12"/>
      <c r="X59" s="11"/>
      <c r="Y59" s="12">
        <v>0.16</v>
      </c>
      <c r="Z59" s="12">
        <v>0.16</v>
      </c>
      <c r="AA59" s="11">
        <v>0.17</v>
      </c>
      <c r="AB59" s="10">
        <v>0.17</v>
      </c>
      <c r="AC59" s="10">
        <v>0.17</v>
      </c>
      <c r="AD59" s="11">
        <v>0.17</v>
      </c>
      <c r="AE59" s="13" t="s">
        <v>569</v>
      </c>
      <c r="AF59" s="11">
        <v>0.1</v>
      </c>
      <c r="AG59" s="11">
        <f>3%+16%+17%+17%+17%+10%</f>
        <v>0.8</v>
      </c>
      <c r="AH59" s="60" t="s">
        <v>593</v>
      </c>
      <c r="AK59" s="14">
        <f t="shared" si="0"/>
        <v>1</v>
      </c>
      <c r="AL59" s="14">
        <f t="shared" si="1"/>
        <v>0.8</v>
      </c>
    </row>
    <row r="60" spans="2:38" ht="75" x14ac:dyDescent="0.25">
      <c r="B60" s="5" t="s">
        <v>231</v>
      </c>
      <c r="C60" s="5" t="s">
        <v>232</v>
      </c>
      <c r="D60" s="5" t="s">
        <v>233</v>
      </c>
      <c r="E60" s="5" t="s">
        <v>234</v>
      </c>
      <c r="F60" s="5" t="s">
        <v>235</v>
      </c>
      <c r="G60" s="5"/>
      <c r="H60" s="20"/>
      <c r="I60" s="20"/>
      <c r="J60" s="6" t="s">
        <v>299</v>
      </c>
      <c r="K60" s="19" t="s">
        <v>300</v>
      </c>
      <c r="L60" s="19"/>
      <c r="M60" s="5" t="s">
        <v>184</v>
      </c>
      <c r="N60" s="21">
        <v>42552</v>
      </c>
      <c r="O60" s="21">
        <v>42735</v>
      </c>
      <c r="P60" s="19" t="s">
        <v>297</v>
      </c>
      <c r="Q60" s="19" t="s">
        <v>52</v>
      </c>
      <c r="R60" s="10">
        <v>0.03</v>
      </c>
      <c r="S60" s="11"/>
      <c r="T60" s="12"/>
      <c r="U60" s="12"/>
      <c r="V60" s="12"/>
      <c r="W60" s="12"/>
      <c r="X60" s="11"/>
      <c r="Y60" s="12">
        <v>0.16</v>
      </c>
      <c r="Z60" s="12">
        <v>0.16</v>
      </c>
      <c r="AA60" s="11">
        <v>0.17</v>
      </c>
      <c r="AB60" s="10">
        <v>0.17</v>
      </c>
      <c r="AC60" s="10">
        <v>0.17</v>
      </c>
      <c r="AD60" s="11">
        <v>0.17</v>
      </c>
      <c r="AE60" s="13" t="s">
        <v>569</v>
      </c>
      <c r="AF60" s="11">
        <v>0.17</v>
      </c>
      <c r="AG60" s="11">
        <f>16%+16%+17%+17%+17%+17%</f>
        <v>1</v>
      </c>
      <c r="AH60" s="61" t="s">
        <v>594</v>
      </c>
      <c r="AK60" s="14">
        <f t="shared" si="0"/>
        <v>1</v>
      </c>
      <c r="AL60" s="14">
        <f t="shared" si="1"/>
        <v>1</v>
      </c>
    </row>
    <row r="61" spans="2:38" ht="75" x14ac:dyDescent="0.25">
      <c r="B61" s="5" t="s">
        <v>231</v>
      </c>
      <c r="C61" s="5" t="s">
        <v>232</v>
      </c>
      <c r="D61" s="5" t="s">
        <v>233</v>
      </c>
      <c r="E61" s="5" t="s">
        <v>234</v>
      </c>
      <c r="F61" s="5" t="s">
        <v>302</v>
      </c>
      <c r="G61" s="5"/>
      <c r="H61" s="20"/>
      <c r="I61" s="20"/>
      <c r="J61" s="6" t="s">
        <v>303</v>
      </c>
      <c r="K61" s="19" t="s">
        <v>304</v>
      </c>
      <c r="L61" s="19" t="s">
        <v>305</v>
      </c>
      <c r="M61" s="5" t="s">
        <v>184</v>
      </c>
      <c r="N61" s="21">
        <v>42552</v>
      </c>
      <c r="O61" s="21">
        <v>42735</v>
      </c>
      <c r="P61" s="19" t="s">
        <v>289</v>
      </c>
      <c r="Q61" s="19" t="s">
        <v>52</v>
      </c>
      <c r="R61" s="10">
        <v>0.03</v>
      </c>
      <c r="S61" s="11"/>
      <c r="T61" s="12"/>
      <c r="U61" s="12"/>
      <c r="V61" s="12"/>
      <c r="W61" s="12"/>
      <c r="X61" s="11"/>
      <c r="Y61" s="12">
        <v>0.16</v>
      </c>
      <c r="Z61" s="12">
        <v>0.16</v>
      </c>
      <c r="AA61" s="11">
        <v>0.17</v>
      </c>
      <c r="AB61" s="10">
        <v>0.17</v>
      </c>
      <c r="AC61" s="10">
        <v>0.17</v>
      </c>
      <c r="AD61" s="11">
        <v>0.17</v>
      </c>
      <c r="AE61" s="13" t="s">
        <v>569</v>
      </c>
      <c r="AF61" s="11">
        <v>0.17</v>
      </c>
      <c r="AG61" s="11">
        <f>16%+16%+17%+17%+17%+17%</f>
        <v>1</v>
      </c>
      <c r="AH61" s="61" t="s">
        <v>545</v>
      </c>
      <c r="AK61" s="14">
        <f t="shared" si="0"/>
        <v>1</v>
      </c>
      <c r="AL61" s="14">
        <f t="shared" si="1"/>
        <v>1</v>
      </c>
    </row>
    <row r="62" spans="2:38" ht="75" x14ac:dyDescent="0.25">
      <c r="B62" s="5" t="s">
        <v>231</v>
      </c>
      <c r="C62" s="5" t="s">
        <v>232</v>
      </c>
      <c r="D62" s="5" t="s">
        <v>233</v>
      </c>
      <c r="E62" s="5" t="s">
        <v>234</v>
      </c>
      <c r="F62" s="5" t="s">
        <v>307</v>
      </c>
      <c r="G62" s="5"/>
      <c r="H62" s="20"/>
      <c r="I62" s="20"/>
      <c r="J62" s="6" t="s">
        <v>308</v>
      </c>
      <c r="K62" s="19" t="s">
        <v>309</v>
      </c>
      <c r="L62" s="19" t="s">
        <v>310</v>
      </c>
      <c r="M62" s="5" t="s">
        <v>184</v>
      </c>
      <c r="N62" s="21">
        <v>42552</v>
      </c>
      <c r="O62" s="21">
        <v>42735</v>
      </c>
      <c r="P62" s="19" t="s">
        <v>289</v>
      </c>
      <c r="Q62" s="19" t="s">
        <v>52</v>
      </c>
      <c r="R62" s="10">
        <v>0.03</v>
      </c>
      <c r="S62" s="11"/>
      <c r="T62" s="12"/>
      <c r="U62" s="12"/>
      <c r="V62" s="12"/>
      <c r="W62" s="12"/>
      <c r="X62" s="11"/>
      <c r="Y62" s="12">
        <v>0.16</v>
      </c>
      <c r="Z62" s="12">
        <v>0.16</v>
      </c>
      <c r="AA62" s="11">
        <v>0.17</v>
      </c>
      <c r="AB62" s="10">
        <v>0.17</v>
      </c>
      <c r="AC62" s="10">
        <v>0.17</v>
      </c>
      <c r="AD62" s="11">
        <v>0.17</v>
      </c>
      <c r="AE62" s="13" t="s">
        <v>569</v>
      </c>
      <c r="AF62" s="11">
        <v>0.17</v>
      </c>
      <c r="AG62" s="11">
        <f>16%+16%+17%+17%+17%+17%</f>
        <v>1</v>
      </c>
      <c r="AH62" s="55" t="s">
        <v>595</v>
      </c>
      <c r="AK62" s="14">
        <f t="shared" si="0"/>
        <v>1</v>
      </c>
      <c r="AL62" s="14">
        <f t="shared" si="1"/>
        <v>1</v>
      </c>
    </row>
    <row r="63" spans="2:38" ht="128.25" customHeight="1" x14ac:dyDescent="0.25">
      <c r="B63" s="5" t="s">
        <v>231</v>
      </c>
      <c r="C63" s="5" t="s">
        <v>232</v>
      </c>
      <c r="D63" s="5" t="s">
        <v>233</v>
      </c>
      <c r="E63" s="5" t="s">
        <v>234</v>
      </c>
      <c r="F63" s="5" t="s">
        <v>307</v>
      </c>
      <c r="G63" s="5"/>
      <c r="H63" s="20"/>
      <c r="I63" s="20"/>
      <c r="J63" s="6" t="s">
        <v>312</v>
      </c>
      <c r="K63" s="19" t="s">
        <v>313</v>
      </c>
      <c r="L63" s="19" t="s">
        <v>314</v>
      </c>
      <c r="M63" s="5" t="s">
        <v>184</v>
      </c>
      <c r="N63" s="21">
        <v>42552</v>
      </c>
      <c r="O63" s="21">
        <v>42735</v>
      </c>
      <c r="P63" s="19" t="s">
        <v>315</v>
      </c>
      <c r="Q63" s="19" t="s">
        <v>316</v>
      </c>
      <c r="R63" s="10">
        <v>0.03</v>
      </c>
      <c r="S63" s="11"/>
      <c r="T63" s="12"/>
      <c r="U63" s="12"/>
      <c r="V63" s="12"/>
      <c r="W63" s="12"/>
      <c r="X63" s="11"/>
      <c r="Y63" s="12">
        <v>0.16</v>
      </c>
      <c r="Z63" s="12">
        <v>0.16</v>
      </c>
      <c r="AA63" s="11">
        <v>0.17</v>
      </c>
      <c r="AB63" s="10">
        <v>0.17</v>
      </c>
      <c r="AC63" s="10">
        <v>0.17</v>
      </c>
      <c r="AD63" s="11">
        <v>0.17</v>
      </c>
      <c r="AE63" s="13" t="s">
        <v>569</v>
      </c>
      <c r="AF63" s="11">
        <v>0.24</v>
      </c>
      <c r="AG63" s="11">
        <f>16%+16%+17%+17%+10%+24%</f>
        <v>1</v>
      </c>
      <c r="AH63" s="56" t="s">
        <v>596</v>
      </c>
      <c r="AK63" s="14">
        <f t="shared" si="0"/>
        <v>1</v>
      </c>
      <c r="AL63" s="14">
        <f t="shared" si="1"/>
        <v>1</v>
      </c>
    </row>
    <row r="64" spans="2:38" ht="75" x14ac:dyDescent="0.25">
      <c r="B64" s="5" t="s">
        <v>231</v>
      </c>
      <c r="C64" s="5" t="s">
        <v>232</v>
      </c>
      <c r="D64" s="5" t="s">
        <v>233</v>
      </c>
      <c r="E64" s="5" t="s">
        <v>234</v>
      </c>
      <c r="F64" s="5" t="s">
        <v>235</v>
      </c>
      <c r="G64" s="5"/>
      <c r="H64" s="20"/>
      <c r="I64" s="20"/>
      <c r="J64" s="6" t="s">
        <v>317</v>
      </c>
      <c r="K64" s="19" t="s">
        <v>318</v>
      </c>
      <c r="L64" s="19" t="s">
        <v>319</v>
      </c>
      <c r="M64" s="5" t="s">
        <v>184</v>
      </c>
      <c r="N64" s="21">
        <v>42552</v>
      </c>
      <c r="O64" s="21">
        <v>42735</v>
      </c>
      <c r="P64" s="19" t="s">
        <v>52</v>
      </c>
      <c r="Q64" s="19" t="s">
        <v>52</v>
      </c>
      <c r="R64" s="10">
        <v>0.03</v>
      </c>
      <c r="S64" s="11"/>
      <c r="T64" s="12"/>
      <c r="U64" s="12"/>
      <c r="V64" s="12"/>
      <c r="W64" s="12"/>
      <c r="X64" s="11"/>
      <c r="Y64" s="12">
        <v>0.16</v>
      </c>
      <c r="Z64" s="12">
        <v>0.16</v>
      </c>
      <c r="AA64" s="11">
        <v>0.17</v>
      </c>
      <c r="AB64" s="10">
        <v>0.17</v>
      </c>
      <c r="AC64" s="10">
        <v>0.17</v>
      </c>
      <c r="AD64" s="11">
        <v>0.17</v>
      </c>
      <c r="AE64" s="13" t="s">
        <v>569</v>
      </c>
      <c r="AF64" s="11">
        <v>0.06</v>
      </c>
      <c r="AG64" s="11">
        <f>30%+20%+17%+17%+10%+6%</f>
        <v>1</v>
      </c>
      <c r="AH64" s="56" t="s">
        <v>597</v>
      </c>
      <c r="AK64" s="14">
        <f t="shared" si="0"/>
        <v>1</v>
      </c>
      <c r="AL64" s="14">
        <f t="shared" si="1"/>
        <v>1</v>
      </c>
    </row>
    <row r="65" spans="2:38" ht="75" x14ac:dyDescent="0.25">
      <c r="B65" s="5" t="s">
        <v>231</v>
      </c>
      <c r="C65" s="5" t="s">
        <v>232</v>
      </c>
      <c r="D65" s="5" t="s">
        <v>233</v>
      </c>
      <c r="E65" s="5" t="s">
        <v>234</v>
      </c>
      <c r="F65" s="5" t="s">
        <v>235</v>
      </c>
      <c r="G65" s="5"/>
      <c r="H65" s="20"/>
      <c r="I65" s="20"/>
      <c r="J65" s="6" t="s">
        <v>320</v>
      </c>
      <c r="K65" s="19" t="s">
        <v>321</v>
      </c>
      <c r="L65" s="19" t="s">
        <v>322</v>
      </c>
      <c r="M65" s="5" t="s">
        <v>184</v>
      </c>
      <c r="N65" s="21">
        <v>42552</v>
      </c>
      <c r="O65" s="21">
        <v>42735</v>
      </c>
      <c r="P65" s="19" t="s">
        <v>52</v>
      </c>
      <c r="Q65" s="19" t="s">
        <v>52</v>
      </c>
      <c r="R65" s="10">
        <v>0.03</v>
      </c>
      <c r="S65" s="11"/>
      <c r="T65" s="12"/>
      <c r="U65" s="12"/>
      <c r="V65" s="12"/>
      <c r="W65" s="12"/>
      <c r="X65" s="11"/>
      <c r="Y65" s="12">
        <v>0.16</v>
      </c>
      <c r="Z65" s="12">
        <v>0.16</v>
      </c>
      <c r="AA65" s="11">
        <v>0.17</v>
      </c>
      <c r="AB65" s="10">
        <v>0.17</v>
      </c>
      <c r="AC65" s="10">
        <v>0.17</v>
      </c>
      <c r="AD65" s="11">
        <v>0.17</v>
      </c>
      <c r="AE65" s="13"/>
      <c r="AF65" s="11"/>
      <c r="AG65" s="11">
        <f>80%+10%+10%</f>
        <v>1</v>
      </c>
      <c r="AH65" s="56"/>
      <c r="AK65" s="14">
        <f t="shared" si="0"/>
        <v>1</v>
      </c>
      <c r="AL65" s="14">
        <f t="shared" si="1"/>
        <v>1</v>
      </c>
    </row>
    <row r="66" spans="2:38" ht="96.75" customHeight="1" x14ac:dyDescent="0.25">
      <c r="B66" s="5" t="s">
        <v>231</v>
      </c>
      <c r="C66" s="5" t="s">
        <v>232</v>
      </c>
      <c r="D66" s="5" t="s">
        <v>233</v>
      </c>
      <c r="E66" s="5" t="s">
        <v>234</v>
      </c>
      <c r="F66" s="5" t="s">
        <v>235</v>
      </c>
      <c r="G66" s="5"/>
      <c r="H66" s="20"/>
      <c r="I66" s="20"/>
      <c r="J66" s="6" t="s">
        <v>323</v>
      </c>
      <c r="K66" s="19" t="s">
        <v>324</v>
      </c>
      <c r="L66" s="19" t="s">
        <v>325</v>
      </c>
      <c r="M66" s="5" t="s">
        <v>184</v>
      </c>
      <c r="N66" s="21">
        <v>42552</v>
      </c>
      <c r="O66" s="21">
        <v>42735</v>
      </c>
      <c r="P66" s="19" t="s">
        <v>326</v>
      </c>
      <c r="Q66" s="19" t="s">
        <v>52</v>
      </c>
      <c r="R66" s="10">
        <v>0.03</v>
      </c>
      <c r="S66" s="11"/>
      <c r="T66" s="12"/>
      <c r="U66" s="12"/>
      <c r="V66" s="12"/>
      <c r="W66" s="12"/>
      <c r="X66" s="11"/>
      <c r="Y66" s="12">
        <v>0.16</v>
      </c>
      <c r="Z66" s="12">
        <v>0.16</v>
      </c>
      <c r="AA66" s="11">
        <v>0.17</v>
      </c>
      <c r="AB66" s="10">
        <v>0.17</v>
      </c>
      <c r="AC66" s="10">
        <v>0.17</v>
      </c>
      <c r="AD66" s="11">
        <v>0.17</v>
      </c>
      <c r="AE66" s="13" t="s">
        <v>569</v>
      </c>
      <c r="AF66" s="11">
        <v>0.03</v>
      </c>
      <c r="AG66" s="11">
        <f>16%+16%+17%+17%+17%+3%</f>
        <v>0.8600000000000001</v>
      </c>
      <c r="AH66" s="56" t="s">
        <v>598</v>
      </c>
      <c r="AK66" s="14">
        <f t="shared" si="0"/>
        <v>1</v>
      </c>
      <c r="AL66" s="14">
        <f t="shared" si="1"/>
        <v>0.8600000000000001</v>
      </c>
    </row>
    <row r="67" spans="2:38" ht="75" x14ac:dyDescent="0.25">
      <c r="B67" s="5" t="s">
        <v>231</v>
      </c>
      <c r="C67" s="5" t="s">
        <v>232</v>
      </c>
      <c r="D67" s="5" t="s">
        <v>233</v>
      </c>
      <c r="E67" s="5" t="s">
        <v>234</v>
      </c>
      <c r="F67" s="5" t="s">
        <v>382</v>
      </c>
      <c r="G67" s="5"/>
      <c r="H67" s="20"/>
      <c r="I67" s="20"/>
      <c r="J67" s="6" t="s">
        <v>327</v>
      </c>
      <c r="K67" s="19" t="s">
        <v>328</v>
      </c>
      <c r="L67" s="19" t="s">
        <v>329</v>
      </c>
      <c r="M67" s="5" t="s">
        <v>184</v>
      </c>
      <c r="N67" s="21">
        <v>42552</v>
      </c>
      <c r="O67" s="21">
        <v>42735</v>
      </c>
      <c r="P67" s="19" t="s">
        <v>297</v>
      </c>
      <c r="Q67" s="19" t="s">
        <v>52</v>
      </c>
      <c r="R67" s="10">
        <v>0.03</v>
      </c>
      <c r="S67" s="11"/>
      <c r="T67" s="12"/>
      <c r="U67" s="12"/>
      <c r="V67" s="12"/>
      <c r="W67" s="12"/>
      <c r="X67" s="11"/>
      <c r="Y67" s="12">
        <v>0.16</v>
      </c>
      <c r="Z67" s="12">
        <v>0.16</v>
      </c>
      <c r="AA67" s="11">
        <v>0.17</v>
      </c>
      <c r="AB67" s="10">
        <v>0.17</v>
      </c>
      <c r="AC67" s="10">
        <v>0.17</v>
      </c>
      <c r="AD67" s="11">
        <v>0.17</v>
      </c>
      <c r="AE67" s="13" t="s">
        <v>569</v>
      </c>
      <c r="AF67" s="11">
        <v>0.17</v>
      </c>
      <c r="AG67" s="11">
        <f>16%+16%+17%+17%+17%+17%</f>
        <v>1</v>
      </c>
      <c r="AH67" s="57" t="s">
        <v>599</v>
      </c>
      <c r="AK67" s="14">
        <f t="shared" si="0"/>
        <v>1</v>
      </c>
      <c r="AL67" s="14">
        <f t="shared" si="1"/>
        <v>1</v>
      </c>
    </row>
    <row r="68" spans="2:38" ht="90" x14ac:dyDescent="0.25">
      <c r="B68" s="5" t="s">
        <v>231</v>
      </c>
      <c r="C68" s="5" t="s">
        <v>232</v>
      </c>
      <c r="D68" s="5" t="s">
        <v>233</v>
      </c>
      <c r="E68" s="5" t="s">
        <v>234</v>
      </c>
      <c r="F68" s="5" t="s">
        <v>235</v>
      </c>
      <c r="G68" s="5"/>
      <c r="H68" s="5"/>
      <c r="I68" s="5"/>
      <c r="J68" s="6" t="s">
        <v>331</v>
      </c>
      <c r="K68" s="19" t="s">
        <v>332</v>
      </c>
      <c r="L68" s="19" t="s">
        <v>333</v>
      </c>
      <c r="M68" s="5" t="s">
        <v>51</v>
      </c>
      <c r="N68" s="21">
        <v>42522</v>
      </c>
      <c r="O68" s="21">
        <v>42704</v>
      </c>
      <c r="P68" s="19" t="s">
        <v>297</v>
      </c>
      <c r="Q68" s="19" t="s">
        <v>52</v>
      </c>
      <c r="R68" s="10">
        <v>0.03</v>
      </c>
      <c r="S68" s="11"/>
      <c r="T68" s="12"/>
      <c r="U68" s="12"/>
      <c r="V68" s="12"/>
      <c r="W68" s="12"/>
      <c r="X68" s="11">
        <v>0.15</v>
      </c>
      <c r="Y68" s="12">
        <v>0.15</v>
      </c>
      <c r="Z68" s="12">
        <v>0.15</v>
      </c>
      <c r="AA68" s="11">
        <v>0.15</v>
      </c>
      <c r="AB68" s="10">
        <v>0.2</v>
      </c>
      <c r="AC68" s="10">
        <v>0.2</v>
      </c>
      <c r="AD68" s="11"/>
      <c r="AE68" s="13"/>
      <c r="AF68" s="11"/>
      <c r="AG68" s="11">
        <f>45%+15%+20%+20%</f>
        <v>1</v>
      </c>
      <c r="AH68" s="56" t="s">
        <v>584</v>
      </c>
      <c r="AK68" s="14">
        <f t="shared" si="0"/>
        <v>1</v>
      </c>
      <c r="AL68" s="14">
        <f t="shared" si="1"/>
        <v>1</v>
      </c>
    </row>
    <row r="69" spans="2:38" ht="186.75" customHeight="1" x14ac:dyDescent="0.25">
      <c r="B69" s="5" t="s">
        <v>231</v>
      </c>
      <c r="C69" s="5" t="s">
        <v>232</v>
      </c>
      <c r="D69" s="5" t="s">
        <v>233</v>
      </c>
      <c r="E69" s="5" t="s">
        <v>234</v>
      </c>
      <c r="F69" s="5" t="s">
        <v>382</v>
      </c>
      <c r="G69" s="5"/>
      <c r="H69" s="20"/>
      <c r="I69" s="20"/>
      <c r="J69" s="6" t="s">
        <v>335</v>
      </c>
      <c r="K69" s="19" t="s">
        <v>336</v>
      </c>
      <c r="L69" s="19" t="s">
        <v>337</v>
      </c>
      <c r="M69" s="5" t="s">
        <v>297</v>
      </c>
      <c r="N69" s="21">
        <v>42552</v>
      </c>
      <c r="O69" s="21">
        <v>42735</v>
      </c>
      <c r="P69" s="19" t="s">
        <v>338</v>
      </c>
      <c r="Q69" s="19" t="s">
        <v>52</v>
      </c>
      <c r="R69" s="10">
        <v>0.04</v>
      </c>
      <c r="S69" s="11"/>
      <c r="T69" s="12"/>
      <c r="U69" s="12"/>
      <c r="V69" s="12"/>
      <c r="W69" s="12"/>
      <c r="X69" s="11"/>
      <c r="Y69" s="12">
        <v>0.1</v>
      </c>
      <c r="Z69" s="12">
        <v>0.1</v>
      </c>
      <c r="AA69" s="11">
        <v>0.2</v>
      </c>
      <c r="AB69" s="10">
        <v>0.2</v>
      </c>
      <c r="AC69" s="10">
        <v>0.3</v>
      </c>
      <c r="AD69" s="11">
        <v>0.1</v>
      </c>
      <c r="AE69" s="13" t="s">
        <v>569</v>
      </c>
      <c r="AF69" s="11">
        <v>0.1</v>
      </c>
      <c r="AG69" s="11">
        <f>8%+10%+20%+20%+30%+10%</f>
        <v>0.98000000000000009</v>
      </c>
      <c r="AH69" s="54" t="s">
        <v>618</v>
      </c>
      <c r="AK69" s="14">
        <f t="shared" si="0"/>
        <v>1.0000000000000002</v>
      </c>
      <c r="AL69" s="14">
        <f t="shared" si="1"/>
        <v>0.98000000000000009</v>
      </c>
    </row>
    <row r="70" spans="2:38" ht="75" x14ac:dyDescent="0.25">
      <c r="B70" s="5" t="s">
        <v>231</v>
      </c>
      <c r="C70" s="5" t="s">
        <v>232</v>
      </c>
      <c r="D70" s="5" t="s">
        <v>233</v>
      </c>
      <c r="E70" s="5" t="s">
        <v>234</v>
      </c>
      <c r="F70" s="5" t="s">
        <v>235</v>
      </c>
      <c r="G70" s="5"/>
      <c r="H70" s="20"/>
      <c r="I70" s="5"/>
      <c r="J70" s="6" t="s">
        <v>339</v>
      </c>
      <c r="K70" s="19" t="s">
        <v>340</v>
      </c>
      <c r="L70" s="19" t="s">
        <v>341</v>
      </c>
      <c r="M70" s="5" t="s">
        <v>297</v>
      </c>
      <c r="N70" s="21">
        <v>42552</v>
      </c>
      <c r="O70" s="21">
        <v>42735</v>
      </c>
      <c r="P70" s="19" t="s">
        <v>342</v>
      </c>
      <c r="Q70" s="19" t="s">
        <v>52</v>
      </c>
      <c r="R70" s="10">
        <v>0.04</v>
      </c>
      <c r="S70" s="11"/>
      <c r="T70" s="12"/>
      <c r="U70" s="12"/>
      <c r="V70" s="12"/>
      <c r="W70" s="12"/>
      <c r="X70" s="11"/>
      <c r="Y70" s="12">
        <v>0.4</v>
      </c>
      <c r="Z70" s="12">
        <v>0.4</v>
      </c>
      <c r="AA70" s="11">
        <v>0.2</v>
      </c>
      <c r="AB70" s="10"/>
      <c r="AC70" s="10"/>
      <c r="AD70" s="11"/>
      <c r="AE70" s="13" t="s">
        <v>569</v>
      </c>
      <c r="AF70" s="11"/>
      <c r="AG70" s="11">
        <f>30%+30%+15%+5%</f>
        <v>0.8</v>
      </c>
      <c r="AH70" s="56"/>
      <c r="AK70" s="14">
        <f t="shared" si="0"/>
        <v>1</v>
      </c>
      <c r="AL70" s="14">
        <f t="shared" si="1"/>
        <v>0.8</v>
      </c>
    </row>
    <row r="71" spans="2:38" ht="75" x14ac:dyDescent="0.25">
      <c r="B71" s="5" t="s">
        <v>231</v>
      </c>
      <c r="C71" s="5" t="s">
        <v>232</v>
      </c>
      <c r="D71" s="5" t="s">
        <v>233</v>
      </c>
      <c r="E71" s="5" t="s">
        <v>234</v>
      </c>
      <c r="F71" s="5" t="s">
        <v>235</v>
      </c>
      <c r="G71" s="5"/>
      <c r="H71" s="20"/>
      <c r="I71" s="20"/>
      <c r="J71" s="6" t="s">
        <v>343</v>
      </c>
      <c r="K71" s="19" t="s">
        <v>344</v>
      </c>
      <c r="L71" s="19" t="s">
        <v>345</v>
      </c>
      <c r="M71" s="5" t="s">
        <v>297</v>
      </c>
      <c r="N71" s="21">
        <v>42594</v>
      </c>
      <c r="O71" s="21">
        <v>42735</v>
      </c>
      <c r="P71" s="19" t="s">
        <v>346</v>
      </c>
      <c r="Q71" s="19" t="s">
        <v>52</v>
      </c>
      <c r="R71" s="10">
        <v>0.04</v>
      </c>
      <c r="S71" s="11"/>
      <c r="T71" s="12"/>
      <c r="U71" s="12"/>
      <c r="V71" s="12"/>
      <c r="W71" s="12"/>
      <c r="X71" s="11"/>
      <c r="Y71" s="12">
        <v>0.1</v>
      </c>
      <c r="Z71" s="12">
        <v>0.25</v>
      </c>
      <c r="AA71" s="11">
        <v>0.1</v>
      </c>
      <c r="AB71" s="10">
        <v>0.15</v>
      </c>
      <c r="AC71" s="10">
        <v>0.1</v>
      </c>
      <c r="AD71" s="11">
        <v>0.3</v>
      </c>
      <c r="AE71" s="13" t="s">
        <v>569</v>
      </c>
      <c r="AF71" s="11">
        <v>0.3</v>
      </c>
      <c r="AG71" s="11">
        <f>10%+20%+10%+15%+10%+30%</f>
        <v>0.95</v>
      </c>
      <c r="AH71" s="55"/>
      <c r="AK71" s="14">
        <f t="shared" si="0"/>
        <v>1</v>
      </c>
      <c r="AL71" s="14">
        <f t="shared" si="1"/>
        <v>0.95</v>
      </c>
    </row>
    <row r="72" spans="2:38" ht="95.25" customHeight="1" x14ac:dyDescent="0.25">
      <c r="B72" s="5" t="s">
        <v>231</v>
      </c>
      <c r="C72" s="5" t="s">
        <v>232</v>
      </c>
      <c r="D72" s="5" t="s">
        <v>233</v>
      </c>
      <c r="E72" s="5" t="s">
        <v>234</v>
      </c>
      <c r="F72" s="5" t="s">
        <v>382</v>
      </c>
      <c r="G72" s="5"/>
      <c r="H72" s="20"/>
      <c r="I72" s="20"/>
      <c r="J72" s="6" t="s">
        <v>347</v>
      </c>
      <c r="K72" s="19" t="s">
        <v>348</v>
      </c>
      <c r="L72" s="19" t="s">
        <v>349</v>
      </c>
      <c r="M72" s="5" t="s">
        <v>297</v>
      </c>
      <c r="N72" s="21">
        <v>42552</v>
      </c>
      <c r="O72" s="21">
        <v>42674</v>
      </c>
      <c r="P72" s="19" t="s">
        <v>350</v>
      </c>
      <c r="Q72" s="19" t="s">
        <v>149</v>
      </c>
      <c r="R72" s="10">
        <v>0.04</v>
      </c>
      <c r="S72" s="11"/>
      <c r="T72" s="12"/>
      <c r="U72" s="12"/>
      <c r="V72" s="12"/>
      <c r="W72" s="12"/>
      <c r="X72" s="11"/>
      <c r="Y72" s="12"/>
      <c r="Z72" s="12">
        <v>0.5</v>
      </c>
      <c r="AA72" s="11">
        <v>0.5</v>
      </c>
      <c r="AB72" s="10"/>
      <c r="AC72" s="10"/>
      <c r="AD72" s="11"/>
      <c r="AE72" s="13" t="s">
        <v>569</v>
      </c>
      <c r="AF72" s="11">
        <v>0.3</v>
      </c>
      <c r="AG72" s="11">
        <f>15%+20%+15%+20%+30%</f>
        <v>1</v>
      </c>
      <c r="AH72" s="56" t="s">
        <v>619</v>
      </c>
      <c r="AK72" s="14">
        <f t="shared" ref="AK72:AK76" si="2">+X72+Y72+Z72+AA72+AB72+AC72+AD72</f>
        <v>1</v>
      </c>
      <c r="AL72" s="14">
        <f t="shared" ref="AL72:AL76" si="3">+AG72</f>
        <v>1</v>
      </c>
    </row>
    <row r="73" spans="2:38" ht="105" x14ac:dyDescent="0.25">
      <c r="B73" s="5" t="s">
        <v>231</v>
      </c>
      <c r="C73" s="5" t="s">
        <v>232</v>
      </c>
      <c r="D73" s="5" t="s">
        <v>233</v>
      </c>
      <c r="E73" s="5" t="s">
        <v>234</v>
      </c>
      <c r="F73" s="5" t="s">
        <v>235</v>
      </c>
      <c r="G73" s="5"/>
      <c r="H73" s="20"/>
      <c r="I73" s="20"/>
      <c r="J73" s="6" t="s">
        <v>351</v>
      </c>
      <c r="K73" s="23" t="s">
        <v>352</v>
      </c>
      <c r="L73" s="19"/>
      <c r="M73" s="5" t="s">
        <v>353</v>
      </c>
      <c r="N73" s="21">
        <v>42552</v>
      </c>
      <c r="O73" s="21">
        <v>42735</v>
      </c>
      <c r="P73" s="19" t="s">
        <v>354</v>
      </c>
      <c r="Q73" s="6" t="s">
        <v>52</v>
      </c>
      <c r="R73" s="10">
        <v>0.02</v>
      </c>
      <c r="S73" s="11"/>
      <c r="T73" s="12"/>
      <c r="U73" s="12"/>
      <c r="V73" s="12"/>
      <c r="W73" s="12"/>
      <c r="X73" s="11"/>
      <c r="Y73" s="12"/>
      <c r="Z73" s="12">
        <v>0.5</v>
      </c>
      <c r="AA73" s="11"/>
      <c r="AB73" s="10"/>
      <c r="AC73" s="10"/>
      <c r="AD73" s="11">
        <v>0.5</v>
      </c>
      <c r="AE73" s="13" t="s">
        <v>569</v>
      </c>
      <c r="AF73" s="11">
        <v>0.5</v>
      </c>
      <c r="AG73" s="11">
        <f>50%+50%</f>
        <v>1</v>
      </c>
      <c r="AH73" s="56" t="s">
        <v>585</v>
      </c>
      <c r="AK73" s="14">
        <f t="shared" si="2"/>
        <v>1</v>
      </c>
      <c r="AL73" s="14">
        <f t="shared" si="3"/>
        <v>1</v>
      </c>
    </row>
    <row r="74" spans="2:38" ht="114.75" x14ac:dyDescent="0.25">
      <c r="B74" s="5" t="s">
        <v>231</v>
      </c>
      <c r="C74" s="5" t="s">
        <v>232</v>
      </c>
      <c r="D74" s="5" t="s">
        <v>233</v>
      </c>
      <c r="E74" s="5" t="s">
        <v>234</v>
      </c>
      <c r="F74" s="5" t="s">
        <v>235</v>
      </c>
      <c r="G74" s="5"/>
      <c r="H74" s="20"/>
      <c r="I74" s="20"/>
      <c r="J74" s="6" t="s">
        <v>356</v>
      </c>
      <c r="K74" s="23" t="s">
        <v>357</v>
      </c>
      <c r="L74" s="19"/>
      <c r="M74" s="5" t="s">
        <v>353</v>
      </c>
      <c r="N74" s="21">
        <v>42552</v>
      </c>
      <c r="O74" s="21">
        <v>42735</v>
      </c>
      <c r="P74" s="19" t="s">
        <v>289</v>
      </c>
      <c r="Q74" s="6" t="s">
        <v>52</v>
      </c>
      <c r="R74" s="10">
        <v>0.02</v>
      </c>
      <c r="S74" s="11"/>
      <c r="T74" s="12"/>
      <c r="U74" s="12"/>
      <c r="V74" s="12"/>
      <c r="W74" s="12"/>
      <c r="X74" s="11"/>
      <c r="Y74" s="12">
        <v>0.16</v>
      </c>
      <c r="Z74" s="12">
        <v>0.16</v>
      </c>
      <c r="AA74" s="11">
        <v>0.16</v>
      </c>
      <c r="AB74" s="10">
        <v>0.16</v>
      </c>
      <c r="AC74" s="10">
        <v>0.18</v>
      </c>
      <c r="AD74" s="11">
        <v>0.18</v>
      </c>
      <c r="AE74" s="13" t="s">
        <v>569</v>
      </c>
      <c r="AF74" s="11">
        <v>0.18</v>
      </c>
      <c r="AG74" s="11">
        <f>16%+16%+16%+16%+18%+18%</f>
        <v>1</v>
      </c>
      <c r="AH74" s="22" t="s">
        <v>586</v>
      </c>
      <c r="AK74" s="14">
        <f t="shared" si="2"/>
        <v>1</v>
      </c>
      <c r="AL74" s="14">
        <f t="shared" si="3"/>
        <v>1</v>
      </c>
    </row>
    <row r="75" spans="2:38" ht="89.25" x14ac:dyDescent="0.25">
      <c r="B75" s="5" t="s">
        <v>231</v>
      </c>
      <c r="C75" s="5" t="s">
        <v>232</v>
      </c>
      <c r="D75" s="5" t="s">
        <v>233</v>
      </c>
      <c r="E75" s="5" t="s">
        <v>234</v>
      </c>
      <c r="F75" s="5" t="s">
        <v>382</v>
      </c>
      <c r="G75" s="5"/>
      <c r="H75" s="20"/>
      <c r="I75" s="20"/>
      <c r="J75" s="6" t="s">
        <v>358</v>
      </c>
      <c r="K75" s="23" t="s">
        <v>359</v>
      </c>
      <c r="L75" s="19"/>
      <c r="M75" s="5" t="s">
        <v>353</v>
      </c>
      <c r="N75" s="21">
        <v>42552</v>
      </c>
      <c r="O75" s="21">
        <v>42735</v>
      </c>
      <c r="P75" s="19" t="s">
        <v>289</v>
      </c>
      <c r="Q75" s="6" t="s">
        <v>52</v>
      </c>
      <c r="R75" s="10">
        <v>0.03</v>
      </c>
      <c r="S75" s="11"/>
      <c r="T75" s="12"/>
      <c r="U75" s="12"/>
      <c r="V75" s="12"/>
      <c r="W75" s="12"/>
      <c r="X75" s="11"/>
      <c r="Y75" s="12">
        <v>0.14000000000000001</v>
      </c>
      <c r="Z75" s="12">
        <v>0.22</v>
      </c>
      <c r="AA75" s="11">
        <v>0.14000000000000001</v>
      </c>
      <c r="AB75" s="10">
        <v>0.14000000000000001</v>
      </c>
      <c r="AC75" s="10">
        <v>0.22</v>
      </c>
      <c r="AD75" s="11">
        <v>0.14000000000000001</v>
      </c>
      <c r="AE75" s="13" t="s">
        <v>569</v>
      </c>
      <c r="AF75" s="11">
        <v>0.14000000000000001</v>
      </c>
      <c r="AG75" s="11">
        <f>14%+22%+14%+14%+18%+14%</f>
        <v>0.96000000000000008</v>
      </c>
      <c r="AH75" s="19" t="s">
        <v>587</v>
      </c>
      <c r="AK75" s="14">
        <f t="shared" si="2"/>
        <v>1</v>
      </c>
      <c r="AL75" s="14">
        <f t="shared" si="3"/>
        <v>0.96000000000000008</v>
      </c>
    </row>
    <row r="76" spans="2:38" ht="120" customHeight="1" x14ac:dyDescent="0.25">
      <c r="B76" s="5" t="s">
        <v>231</v>
      </c>
      <c r="C76" s="5" t="s">
        <v>232</v>
      </c>
      <c r="D76" s="5" t="s">
        <v>233</v>
      </c>
      <c r="E76" s="5" t="s">
        <v>234</v>
      </c>
      <c r="F76" s="5" t="s">
        <v>235</v>
      </c>
      <c r="G76" s="5"/>
      <c r="H76" s="20"/>
      <c r="I76" s="20"/>
      <c r="J76" s="6" t="s">
        <v>361</v>
      </c>
      <c r="K76" s="19" t="s">
        <v>362</v>
      </c>
      <c r="L76" s="19"/>
      <c r="M76" s="5" t="s">
        <v>353</v>
      </c>
      <c r="N76" s="21">
        <v>42552</v>
      </c>
      <c r="O76" s="21">
        <v>42735</v>
      </c>
      <c r="P76" s="19" t="s">
        <v>289</v>
      </c>
      <c r="Q76" s="23" t="s">
        <v>363</v>
      </c>
      <c r="R76" s="10">
        <v>0.02</v>
      </c>
      <c r="S76" s="11"/>
      <c r="T76" s="12"/>
      <c r="U76" s="12"/>
      <c r="V76" s="12"/>
      <c r="W76" s="12"/>
      <c r="X76" s="11"/>
      <c r="Y76" s="12">
        <v>0.5</v>
      </c>
      <c r="Z76" s="12">
        <v>0.08</v>
      </c>
      <c r="AA76" s="11">
        <v>0.17</v>
      </c>
      <c r="AB76" s="10">
        <v>0.08</v>
      </c>
      <c r="AC76" s="10">
        <v>0.08</v>
      </c>
      <c r="AD76" s="11">
        <v>0.09</v>
      </c>
      <c r="AE76" s="13" t="s">
        <v>569</v>
      </c>
      <c r="AF76" s="11">
        <v>0.09</v>
      </c>
      <c r="AG76" s="11">
        <f>50%+8%+17%+8%+8%+9%</f>
        <v>0.99999999999999989</v>
      </c>
      <c r="AH76" s="56" t="s">
        <v>588</v>
      </c>
      <c r="AK76" s="14">
        <f t="shared" si="2"/>
        <v>0.99999999999999989</v>
      </c>
      <c r="AL76" s="14">
        <f t="shared" si="3"/>
        <v>0.99999999999999989</v>
      </c>
    </row>
  </sheetData>
  <autoFilter ref="B6:AH76"/>
  <mergeCells count="8">
    <mergeCell ref="B1:C2"/>
    <mergeCell ref="D1:AH1"/>
    <mergeCell ref="D2:AH2"/>
    <mergeCell ref="B5:F5"/>
    <mergeCell ref="G5:I5"/>
    <mergeCell ref="J5:R5"/>
    <mergeCell ref="S5:AD5"/>
    <mergeCell ref="AE5:AH5"/>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R88"/>
  <sheetViews>
    <sheetView tabSelected="1" zoomScale="90" zoomScaleNormal="90" workbookViewId="0">
      <selection activeCell="B1" sqref="B1:N1"/>
    </sheetView>
  </sheetViews>
  <sheetFormatPr baseColWidth="10" defaultRowHeight="15" x14ac:dyDescent="0.25"/>
  <cols>
    <col min="1" max="1" width="1.140625" customWidth="1"/>
    <col min="2" max="2" width="25.42578125" customWidth="1"/>
    <col min="3" max="3" width="40.85546875" style="38" customWidth="1"/>
    <col min="4" max="4" width="15.42578125" customWidth="1"/>
    <col min="5" max="5" width="12.85546875" bestFit="1" customWidth="1"/>
    <col min="6" max="6" width="7.5703125" customWidth="1"/>
    <col min="7" max="7" width="27.42578125" customWidth="1"/>
    <col min="8" max="8" width="13.7109375" customWidth="1"/>
    <col min="9" max="9" width="15" customWidth="1"/>
    <col min="10" max="10" width="19.28515625" customWidth="1"/>
    <col min="11" max="11" width="13.28515625" customWidth="1"/>
    <col min="12" max="12" width="13.85546875" bestFit="1" customWidth="1"/>
    <col min="13" max="13" width="19.42578125" customWidth="1"/>
    <col min="14" max="14" width="45.85546875" customWidth="1"/>
    <col min="15" max="15" width="18.42578125" customWidth="1"/>
  </cols>
  <sheetData>
    <row r="1" spans="2:18" ht="40.5" customHeight="1" x14ac:dyDescent="0.25">
      <c r="B1" s="80" t="s">
        <v>632</v>
      </c>
      <c r="C1" s="80"/>
      <c r="D1" s="80"/>
      <c r="E1" s="80"/>
      <c r="F1" s="80"/>
      <c r="G1" s="80"/>
      <c r="H1" s="80"/>
      <c r="I1" s="80"/>
      <c r="J1" s="80"/>
      <c r="K1" s="80"/>
      <c r="L1" s="80"/>
      <c r="M1" s="80"/>
      <c r="N1" s="80"/>
    </row>
    <row r="3" spans="2:18" ht="23.25" x14ac:dyDescent="0.35">
      <c r="B3" s="39" t="s">
        <v>381</v>
      </c>
    </row>
    <row r="4" spans="2:18" ht="31.5" x14ac:dyDescent="0.25">
      <c r="B4" s="3" t="s">
        <v>11</v>
      </c>
      <c r="C4" s="3" t="s">
        <v>15</v>
      </c>
      <c r="D4" s="3" t="s">
        <v>366</v>
      </c>
      <c r="E4" s="3" t="s">
        <v>377</v>
      </c>
      <c r="F4" s="3"/>
      <c r="G4" s="3" t="s">
        <v>18</v>
      </c>
      <c r="H4" s="32" t="s">
        <v>376</v>
      </c>
      <c r="I4" s="32" t="s">
        <v>373</v>
      </c>
      <c r="J4" s="33" t="s">
        <v>375</v>
      </c>
      <c r="K4" s="33" t="s">
        <v>374</v>
      </c>
      <c r="L4" s="33" t="s">
        <v>373</v>
      </c>
      <c r="M4" s="33" t="s">
        <v>372</v>
      </c>
      <c r="N4" s="3" t="s">
        <v>387</v>
      </c>
    </row>
    <row r="5" spans="2:18" ht="31.5" customHeight="1" x14ac:dyDescent="0.25">
      <c r="B5" s="81" t="s">
        <v>382</v>
      </c>
      <c r="C5" s="36" t="s">
        <v>290</v>
      </c>
      <c r="D5" s="25">
        <f>+'PAI-BMPT-Dic'!AK58</f>
        <v>1</v>
      </c>
      <c r="E5" s="25">
        <f>+'PAI-BMPT-Dic'!AL58</f>
        <v>1</v>
      </c>
      <c r="F5" s="46">
        <f t="shared" ref="F5:F18" si="0">+E5/D5</f>
        <v>1</v>
      </c>
      <c r="G5" s="81" t="str">
        <f>+'[1]Plan Acción Institucional'!M58</f>
        <v>Subdirección Administrativa y Financiera</v>
      </c>
      <c r="H5" s="29">
        <f>+'PAI-BMPT-Sept'!R58</f>
        <v>0.03</v>
      </c>
      <c r="I5" s="31">
        <f t="shared" ref="I5:I36" si="1">+E5*H5</f>
        <v>0.03</v>
      </c>
      <c r="J5" s="34">
        <f>+I5</f>
        <v>0.03</v>
      </c>
      <c r="K5" s="29">
        <v>0.5</v>
      </c>
      <c r="L5" s="28">
        <f t="shared" ref="L5:L37" si="2">+E5*K5</f>
        <v>0.5</v>
      </c>
      <c r="M5" s="34">
        <f>+L5</f>
        <v>0.5</v>
      </c>
      <c r="N5" s="81" t="s">
        <v>630</v>
      </c>
      <c r="O5" s="27"/>
      <c r="P5" s="27"/>
      <c r="R5" s="30"/>
    </row>
    <row r="6" spans="2:18" ht="31.5" customHeight="1" x14ac:dyDescent="0.25">
      <c r="B6" s="82"/>
      <c r="C6" s="36" t="s">
        <v>294</v>
      </c>
      <c r="D6" s="25">
        <f>+'PAI-BMPT-Dic'!AK59</f>
        <v>1</v>
      </c>
      <c r="E6" s="25">
        <f>+'PAI-BMPT-Dic'!AL59</f>
        <v>0.8</v>
      </c>
      <c r="F6" s="46">
        <f t="shared" si="0"/>
        <v>0.8</v>
      </c>
      <c r="G6" s="83"/>
      <c r="H6" s="29">
        <f>+'PAI-BMPT-Sept'!R59</f>
        <v>0.03</v>
      </c>
      <c r="I6" s="31">
        <f t="shared" si="1"/>
        <v>2.4E-2</v>
      </c>
      <c r="J6" s="34">
        <f t="shared" ref="J6:J37" si="3">+I6</f>
        <v>2.4E-2</v>
      </c>
      <c r="K6" s="29">
        <v>0.5</v>
      </c>
      <c r="L6" s="28">
        <f t="shared" si="2"/>
        <v>0.4</v>
      </c>
      <c r="M6" s="34">
        <f t="shared" ref="M6:M37" si="4">+L6</f>
        <v>0.4</v>
      </c>
      <c r="N6" s="82"/>
      <c r="R6" s="30"/>
    </row>
    <row r="7" spans="2:18" ht="31.5" customHeight="1" x14ac:dyDescent="0.25">
      <c r="B7" s="82"/>
      <c r="C7" s="36" t="s">
        <v>276</v>
      </c>
      <c r="D7" s="25">
        <f>+'PAI-BMPT-Dic'!AK55</f>
        <v>1</v>
      </c>
      <c r="E7" s="25">
        <f>+'PAI-BMPT-Dic'!AL55</f>
        <v>0.28999999999999998</v>
      </c>
      <c r="F7" s="62">
        <v>1</v>
      </c>
      <c r="G7" s="81" t="str">
        <f>+'[1]Plan Acción Institucional'!M55</f>
        <v>Subdirección Administrativa y Financiera</v>
      </c>
      <c r="H7" s="29">
        <f>+'PAI-BMPT-Sept'!R55</f>
        <v>0.03</v>
      </c>
      <c r="I7" s="31">
        <f t="shared" si="1"/>
        <v>8.6999999999999994E-3</v>
      </c>
      <c r="J7" s="34">
        <f>+I7</f>
        <v>8.6999999999999994E-3</v>
      </c>
      <c r="K7" s="29">
        <v>0.2</v>
      </c>
      <c r="L7" s="28">
        <f t="shared" si="2"/>
        <v>5.7999999999999996E-2</v>
      </c>
      <c r="M7" s="34">
        <f>+L7</f>
        <v>5.7999999999999996E-2</v>
      </c>
      <c r="N7" s="82"/>
    </row>
    <row r="8" spans="2:18" ht="31.5" customHeight="1" x14ac:dyDescent="0.25">
      <c r="B8" s="82"/>
      <c r="C8" s="36" t="s">
        <v>327</v>
      </c>
      <c r="D8" s="25">
        <f>+'PAI-BMPT-Dic'!AK67</f>
        <v>1</v>
      </c>
      <c r="E8" s="25">
        <f>+'PAI-BMPT-Dic'!AL67</f>
        <v>1</v>
      </c>
      <c r="F8" s="46">
        <f t="shared" si="0"/>
        <v>1</v>
      </c>
      <c r="G8" s="83"/>
      <c r="H8" s="29">
        <f>+'PAI-BMPT-Sept'!R67</f>
        <v>0.03</v>
      </c>
      <c r="I8" s="31">
        <f t="shared" si="1"/>
        <v>0.03</v>
      </c>
      <c r="J8" s="34">
        <f>+I8</f>
        <v>0.03</v>
      </c>
      <c r="K8" s="29">
        <v>0.2</v>
      </c>
      <c r="L8" s="28">
        <f t="shared" si="2"/>
        <v>0.2</v>
      </c>
      <c r="M8" s="34">
        <f>+L8</f>
        <v>0.2</v>
      </c>
      <c r="N8" s="82"/>
    </row>
    <row r="9" spans="2:18" ht="31.5" customHeight="1" x14ac:dyDescent="0.25">
      <c r="B9" s="82"/>
      <c r="C9" s="36" t="s">
        <v>335</v>
      </c>
      <c r="D9" s="25">
        <f>+'PAI-BMPT-Dic'!AK69</f>
        <v>1.0000000000000002</v>
      </c>
      <c r="E9" s="25">
        <f>+'PAI-BMPT-Dic'!AL69</f>
        <v>0.98000000000000009</v>
      </c>
      <c r="F9" s="46">
        <f t="shared" si="0"/>
        <v>0.97999999999999987</v>
      </c>
      <c r="G9" s="81" t="str">
        <f>+'[1]Plan Acción Institucional'!M69</f>
        <v>Oficina Asesora de Planeación</v>
      </c>
      <c r="H9" s="29">
        <f>+'PAI-BMPT-Sept'!R69</f>
        <v>0.04</v>
      </c>
      <c r="I9" s="31">
        <f t="shared" si="1"/>
        <v>3.9200000000000006E-2</v>
      </c>
      <c r="J9" s="34">
        <f>+I9</f>
        <v>3.9200000000000006E-2</v>
      </c>
      <c r="K9" s="29">
        <v>0.2</v>
      </c>
      <c r="L9" s="28">
        <f t="shared" si="2"/>
        <v>0.19600000000000004</v>
      </c>
      <c r="M9" s="34">
        <f>+L9</f>
        <v>0.19600000000000004</v>
      </c>
      <c r="N9" s="82"/>
    </row>
    <row r="10" spans="2:18" ht="31.5" customHeight="1" x14ac:dyDescent="0.25">
      <c r="B10" s="82"/>
      <c r="C10" s="36" t="s">
        <v>347</v>
      </c>
      <c r="D10" s="25">
        <f>+'PAI-BMPT-Dic'!AK72</f>
        <v>1</v>
      </c>
      <c r="E10" s="25">
        <f>+'PAI-BMPT-Dic'!AL72</f>
        <v>1</v>
      </c>
      <c r="F10" s="46">
        <f t="shared" si="0"/>
        <v>1</v>
      </c>
      <c r="G10" s="83"/>
      <c r="H10" s="29">
        <f>+'PAI-BMPT-Sept'!R72</f>
        <v>0.04</v>
      </c>
      <c r="I10" s="31">
        <f t="shared" si="1"/>
        <v>0.04</v>
      </c>
      <c r="J10" s="34">
        <f>+I10</f>
        <v>0.04</v>
      </c>
      <c r="K10" s="29">
        <v>0.2</v>
      </c>
      <c r="L10" s="28">
        <f t="shared" si="2"/>
        <v>0.2</v>
      </c>
      <c r="M10" s="34">
        <f>+L10</f>
        <v>0.2</v>
      </c>
      <c r="N10" s="82"/>
    </row>
    <row r="11" spans="2:18" ht="31.5" customHeight="1" x14ac:dyDescent="0.25">
      <c r="B11" s="83"/>
      <c r="C11" s="36" t="s">
        <v>358</v>
      </c>
      <c r="D11" s="25">
        <f>+'PAI-BMPT-Dic'!AK75</f>
        <v>1</v>
      </c>
      <c r="E11" s="25">
        <f>+'PAI-BMPT-Dic'!AL75</f>
        <v>0.96000000000000008</v>
      </c>
      <c r="F11" s="46">
        <f t="shared" si="0"/>
        <v>0.96000000000000008</v>
      </c>
      <c r="G11" s="24" t="str">
        <f>+'[1]Plan Acción Institucional'!M75</f>
        <v>Oficina de Control Interno</v>
      </c>
      <c r="H11" s="29">
        <f>+'PAI-BMPT-Sept'!R75</f>
        <v>0.03</v>
      </c>
      <c r="I11" s="31">
        <f t="shared" si="1"/>
        <v>2.8800000000000003E-2</v>
      </c>
      <c r="J11" s="34">
        <f>+I11</f>
        <v>2.8800000000000003E-2</v>
      </c>
      <c r="K11" s="29">
        <v>0.2</v>
      </c>
      <c r="L11" s="28">
        <f t="shared" si="2"/>
        <v>0.19200000000000003</v>
      </c>
      <c r="M11" s="34">
        <f>+L11</f>
        <v>0.19200000000000003</v>
      </c>
      <c r="N11" s="83"/>
    </row>
    <row r="12" spans="2:18" ht="144" x14ac:dyDescent="0.25">
      <c r="B12" s="24" t="s">
        <v>240</v>
      </c>
      <c r="C12" s="36" t="s">
        <v>241</v>
      </c>
      <c r="D12" s="25">
        <f>+'PAI-BMPT-Dic'!AK45</f>
        <v>1</v>
      </c>
      <c r="E12" s="25">
        <f>+'PAI-BMPT-Dic'!AL45</f>
        <v>1</v>
      </c>
      <c r="F12" s="46">
        <f t="shared" si="0"/>
        <v>1</v>
      </c>
      <c r="G12" s="24" t="str">
        <f>+'[1]Plan Acción Institucional'!M45</f>
        <v>Oficina Asesora de Comunicaciones y Relaciones Interinstitucionales</v>
      </c>
      <c r="H12" s="29">
        <f>+'PAI-BMPT-Sept'!R45</f>
        <v>0.03</v>
      </c>
      <c r="I12" s="31">
        <f t="shared" si="1"/>
        <v>0.03</v>
      </c>
      <c r="J12" s="34">
        <f t="shared" si="3"/>
        <v>0.03</v>
      </c>
      <c r="K12" s="29">
        <v>1</v>
      </c>
      <c r="L12" s="28">
        <f t="shared" si="2"/>
        <v>1</v>
      </c>
      <c r="M12" s="34">
        <f t="shared" si="4"/>
        <v>1</v>
      </c>
      <c r="N12" s="40" t="s">
        <v>620</v>
      </c>
    </row>
    <row r="13" spans="2:18" ht="51" customHeight="1" x14ac:dyDescent="0.25">
      <c r="B13" s="86" t="s">
        <v>307</v>
      </c>
      <c r="C13" s="36" t="s">
        <v>308</v>
      </c>
      <c r="D13" s="25">
        <f>+'PAI-BMPT-Dic'!AK62</f>
        <v>1</v>
      </c>
      <c r="E13" s="25">
        <f>+'PAI-BMPT-Dic'!AL62</f>
        <v>1</v>
      </c>
      <c r="F13" s="46">
        <f t="shared" si="0"/>
        <v>1</v>
      </c>
      <c r="G13" s="24" t="str">
        <f>+'[1]Plan Acción Institucional'!M62</f>
        <v>Subdirección Administrativa y Financiera</v>
      </c>
      <c r="H13" s="29">
        <f>+'PAI-BMPT-Sept'!R62</f>
        <v>0.03</v>
      </c>
      <c r="I13" s="31">
        <f t="shared" si="1"/>
        <v>0.03</v>
      </c>
      <c r="J13" s="34">
        <f t="shared" si="3"/>
        <v>0.03</v>
      </c>
      <c r="K13" s="29">
        <v>0.5</v>
      </c>
      <c r="L13" s="28">
        <f t="shared" si="2"/>
        <v>0.5</v>
      </c>
      <c r="M13" s="34">
        <f t="shared" si="4"/>
        <v>0.5</v>
      </c>
      <c r="N13" s="81" t="s">
        <v>621</v>
      </c>
    </row>
    <row r="14" spans="2:18" ht="51" customHeight="1" x14ac:dyDescent="0.25">
      <c r="B14" s="86"/>
      <c r="C14" s="36" t="s">
        <v>312</v>
      </c>
      <c r="D14" s="25">
        <f>+'PAI-BMPT-Dic'!AK63</f>
        <v>1</v>
      </c>
      <c r="E14" s="25">
        <f>+'PAI-BMPT-Dic'!AL63</f>
        <v>1</v>
      </c>
      <c r="F14" s="46">
        <f t="shared" si="0"/>
        <v>1</v>
      </c>
      <c r="G14" s="24" t="str">
        <f>+'[1]Plan Acción Institucional'!M63</f>
        <v>Subdirección Administrativa y Financiera</v>
      </c>
      <c r="H14" s="29">
        <f>+'PAI-BMPT-Sept'!R63</f>
        <v>0.03</v>
      </c>
      <c r="I14" s="31">
        <f t="shared" si="1"/>
        <v>0.03</v>
      </c>
      <c r="J14" s="34">
        <f t="shared" si="3"/>
        <v>0.03</v>
      </c>
      <c r="K14" s="29">
        <v>0.5</v>
      </c>
      <c r="L14" s="28">
        <f t="shared" si="2"/>
        <v>0.5</v>
      </c>
      <c r="M14" s="34">
        <f t="shared" si="4"/>
        <v>0.5</v>
      </c>
      <c r="N14" s="83"/>
    </row>
    <row r="15" spans="2:18" ht="31.5" customHeight="1" x14ac:dyDescent="0.25">
      <c r="B15" s="86" t="s">
        <v>235</v>
      </c>
      <c r="C15" s="36" t="s">
        <v>236</v>
      </c>
      <c r="D15" s="25">
        <f>+'PAI-BMPT-Dic'!AK44</f>
        <v>1</v>
      </c>
      <c r="E15" s="25">
        <f>+'PAI-BMPT-Dic'!AL44</f>
        <v>1</v>
      </c>
      <c r="F15" s="46">
        <f t="shared" si="0"/>
        <v>1</v>
      </c>
      <c r="G15" s="81" t="str">
        <f>+'[1]Plan Acción Institucional'!M44</f>
        <v>Oficina Asesora de Comunicaciones y Relaciones Interinstitucionales</v>
      </c>
      <c r="H15" s="29">
        <f>+'PAI-BMPT-Sept'!R44</f>
        <v>0.03</v>
      </c>
      <c r="I15" s="31">
        <f t="shared" si="1"/>
        <v>0.03</v>
      </c>
      <c r="J15" s="34">
        <f t="shared" si="3"/>
        <v>0.03</v>
      </c>
      <c r="K15" s="29">
        <v>0.05</v>
      </c>
      <c r="L15" s="28">
        <f t="shared" si="2"/>
        <v>0.05</v>
      </c>
      <c r="M15" s="34">
        <f t="shared" si="4"/>
        <v>0.05</v>
      </c>
      <c r="N15" s="81" t="s">
        <v>631</v>
      </c>
    </row>
    <row r="16" spans="2:18" ht="96" customHeight="1" x14ac:dyDescent="0.25">
      <c r="B16" s="86"/>
      <c r="C16" s="36" t="s">
        <v>246</v>
      </c>
      <c r="D16" s="25">
        <f>+'PAI-BMPT-Dic'!AK46</f>
        <v>1</v>
      </c>
      <c r="E16" s="25">
        <f>+'PAI-BMPT-Dic'!AL46</f>
        <v>1</v>
      </c>
      <c r="F16" s="46">
        <f t="shared" si="0"/>
        <v>1</v>
      </c>
      <c r="G16" s="83"/>
      <c r="H16" s="29">
        <f>+'PAI-BMPT-Sept'!R46</f>
        <v>0.03</v>
      </c>
      <c r="I16" s="31">
        <f t="shared" si="1"/>
        <v>0.03</v>
      </c>
      <c r="J16" s="34">
        <f t="shared" si="3"/>
        <v>0.03</v>
      </c>
      <c r="K16" s="29">
        <v>0.04</v>
      </c>
      <c r="L16" s="28">
        <f t="shared" si="2"/>
        <v>0.04</v>
      </c>
      <c r="M16" s="34">
        <f t="shared" si="4"/>
        <v>0.04</v>
      </c>
      <c r="N16" s="82"/>
    </row>
    <row r="17" spans="2:14" ht="31.5" customHeight="1" x14ac:dyDescent="0.25">
      <c r="B17" s="86"/>
      <c r="C17" s="36" t="s">
        <v>249</v>
      </c>
      <c r="D17" s="25">
        <f>+'PAI-BMPT-Dic'!AK47</f>
        <v>1</v>
      </c>
      <c r="E17" s="25">
        <f>+'PAI-BMPT-Dic'!AL47</f>
        <v>1</v>
      </c>
      <c r="F17" s="46">
        <f t="shared" si="0"/>
        <v>1</v>
      </c>
      <c r="G17" s="81" t="str">
        <f>+'[1]Plan Acción Institucional'!M47</f>
        <v>Oficina de Tecnologías de la Información y las Comunicaciones</v>
      </c>
      <c r="H17" s="29">
        <f>+'PAI-BMPT-Sept'!R47</f>
        <v>0.03</v>
      </c>
      <c r="I17" s="31">
        <f t="shared" si="1"/>
        <v>0.03</v>
      </c>
      <c r="J17" s="34">
        <f t="shared" si="3"/>
        <v>0.03</v>
      </c>
      <c r="K17" s="29">
        <v>0.05</v>
      </c>
      <c r="L17" s="28">
        <f t="shared" si="2"/>
        <v>0.05</v>
      </c>
      <c r="M17" s="34">
        <f t="shared" si="4"/>
        <v>0.05</v>
      </c>
      <c r="N17" s="82"/>
    </row>
    <row r="18" spans="2:14" ht="31.5" customHeight="1" x14ac:dyDescent="0.25">
      <c r="B18" s="86"/>
      <c r="C18" s="36" t="s">
        <v>254</v>
      </c>
      <c r="D18" s="25">
        <f>+'PAI-BMPT-Dic'!AK48</f>
        <v>1</v>
      </c>
      <c r="E18" s="25">
        <f>+'PAI-BMPT-Dic'!AL48</f>
        <v>1</v>
      </c>
      <c r="F18" s="46">
        <f t="shared" si="0"/>
        <v>1</v>
      </c>
      <c r="G18" s="82"/>
      <c r="H18" s="29">
        <f>+'PAI-BMPT-Sept'!R48</f>
        <v>0.03</v>
      </c>
      <c r="I18" s="31">
        <f t="shared" si="1"/>
        <v>0.03</v>
      </c>
      <c r="J18" s="34">
        <f t="shared" si="3"/>
        <v>0.03</v>
      </c>
      <c r="K18" s="29">
        <v>0.05</v>
      </c>
      <c r="L18" s="28">
        <f t="shared" si="2"/>
        <v>0.05</v>
      </c>
      <c r="M18" s="34">
        <f t="shared" si="4"/>
        <v>0.05</v>
      </c>
      <c r="N18" s="82"/>
    </row>
    <row r="19" spans="2:14" ht="31.5" customHeight="1" x14ac:dyDescent="0.25">
      <c r="B19" s="86"/>
      <c r="C19" s="36" t="s">
        <v>258</v>
      </c>
      <c r="D19" s="25">
        <f>+'PAI-BMPT-Dic'!AK49</f>
        <v>1</v>
      </c>
      <c r="E19" s="25">
        <f>+'PAI-BMPT-Dic'!AL49</f>
        <v>1</v>
      </c>
      <c r="F19" s="46">
        <v>0.01</v>
      </c>
      <c r="G19" s="82"/>
      <c r="H19" s="29">
        <f>+'PAI-BMPT-Sept'!R49</f>
        <v>0.03</v>
      </c>
      <c r="I19" s="31">
        <f t="shared" si="1"/>
        <v>0.03</v>
      </c>
      <c r="J19" s="34">
        <f t="shared" si="3"/>
        <v>0.03</v>
      </c>
      <c r="K19" s="29">
        <v>0.04</v>
      </c>
      <c r="L19" s="28">
        <f t="shared" si="2"/>
        <v>0.04</v>
      </c>
      <c r="M19" s="34">
        <f t="shared" si="4"/>
        <v>0.04</v>
      </c>
      <c r="N19" s="82"/>
    </row>
    <row r="20" spans="2:14" ht="31.5" customHeight="1" x14ac:dyDescent="0.25">
      <c r="B20" s="86"/>
      <c r="C20" s="36" t="s">
        <v>371</v>
      </c>
      <c r="D20" s="25">
        <f>+'PAI-BMPT-Dic'!AK50</f>
        <v>1</v>
      </c>
      <c r="E20" s="25">
        <f>+'PAI-BMPT-Dic'!AL50</f>
        <v>1</v>
      </c>
      <c r="F20" s="46">
        <f>+E20/D20</f>
        <v>1</v>
      </c>
      <c r="G20" s="82"/>
      <c r="H20" s="29">
        <f>+'PAI-BMPT-Sept'!R50</f>
        <v>0.03</v>
      </c>
      <c r="I20" s="31">
        <f t="shared" si="1"/>
        <v>0.03</v>
      </c>
      <c r="J20" s="34">
        <f t="shared" si="3"/>
        <v>0.03</v>
      </c>
      <c r="K20" s="29">
        <v>0.04</v>
      </c>
      <c r="L20" s="28">
        <f t="shared" si="2"/>
        <v>0.04</v>
      </c>
      <c r="M20" s="34">
        <f t="shared" si="4"/>
        <v>0.04</v>
      </c>
      <c r="N20" s="82"/>
    </row>
    <row r="21" spans="2:14" ht="62.25" customHeight="1" x14ac:dyDescent="0.25">
      <c r="B21" s="86"/>
      <c r="C21" s="36" t="s">
        <v>370</v>
      </c>
      <c r="D21" s="25">
        <f>+'PAI-BMPT-Dic'!AK51</f>
        <v>1</v>
      </c>
      <c r="E21" s="25">
        <f>+'PAI-BMPT-Dic'!AL51</f>
        <v>1</v>
      </c>
      <c r="F21" s="46">
        <f>+E21/D21</f>
        <v>1</v>
      </c>
      <c r="G21" s="82"/>
      <c r="H21" s="29">
        <f>+'PAI-BMPT-Sept'!R51</f>
        <v>0.03</v>
      </c>
      <c r="I21" s="31">
        <f t="shared" si="1"/>
        <v>0.03</v>
      </c>
      <c r="J21" s="34">
        <f t="shared" si="3"/>
        <v>0.03</v>
      </c>
      <c r="K21" s="29">
        <v>0.05</v>
      </c>
      <c r="L21" s="28">
        <f t="shared" si="2"/>
        <v>0.05</v>
      </c>
      <c r="M21" s="34">
        <f t="shared" si="4"/>
        <v>0.05</v>
      </c>
      <c r="N21" s="82"/>
    </row>
    <row r="22" spans="2:14" ht="60" x14ac:dyDescent="0.25">
      <c r="B22" s="86"/>
      <c r="C22" s="36" t="s">
        <v>369</v>
      </c>
      <c r="D22" s="25">
        <f>+'PAI-BMPT-Dic'!AK52</f>
        <v>1</v>
      </c>
      <c r="E22" s="25">
        <f>+'PAI-BMPT-Dic'!AL52</f>
        <v>1</v>
      </c>
      <c r="F22" s="46">
        <f t="shared" ref="F22:F37" si="5">+E22/D22</f>
        <v>1</v>
      </c>
      <c r="G22" s="82"/>
      <c r="H22" s="29">
        <f>+'PAI-BMPT-Sept'!R52</f>
        <v>0.03</v>
      </c>
      <c r="I22" s="31">
        <f t="shared" si="1"/>
        <v>0.03</v>
      </c>
      <c r="J22" s="34">
        <f t="shared" si="3"/>
        <v>0.03</v>
      </c>
      <c r="K22" s="29">
        <v>0.05</v>
      </c>
      <c r="L22" s="28">
        <f t="shared" si="2"/>
        <v>0.05</v>
      </c>
      <c r="M22" s="34">
        <f t="shared" si="4"/>
        <v>0.05</v>
      </c>
      <c r="N22" s="82"/>
    </row>
    <row r="23" spans="2:14" ht="60" x14ac:dyDescent="0.25">
      <c r="B23" s="86"/>
      <c r="C23" s="36" t="s">
        <v>368</v>
      </c>
      <c r="D23" s="25">
        <f>+'PAI-BMPT-Dic'!AK53</f>
        <v>1</v>
      </c>
      <c r="E23" s="25">
        <f>+'PAI-BMPT-Dic'!AL53</f>
        <v>1</v>
      </c>
      <c r="F23" s="46">
        <f t="shared" si="5"/>
        <v>1</v>
      </c>
      <c r="G23" s="82"/>
      <c r="H23" s="29">
        <f>+'PAI-BMPT-Sept'!R53</f>
        <v>0.03</v>
      </c>
      <c r="I23" s="31">
        <f t="shared" si="1"/>
        <v>0.03</v>
      </c>
      <c r="J23" s="34">
        <f t="shared" si="3"/>
        <v>0.03</v>
      </c>
      <c r="K23" s="29">
        <v>0.04</v>
      </c>
      <c r="L23" s="28">
        <f t="shared" si="2"/>
        <v>0.04</v>
      </c>
      <c r="M23" s="34">
        <f t="shared" si="4"/>
        <v>0.04</v>
      </c>
      <c r="N23" s="82"/>
    </row>
    <row r="24" spans="2:14" ht="36" x14ac:dyDescent="0.25">
      <c r="B24" s="86"/>
      <c r="C24" s="36" t="s">
        <v>367</v>
      </c>
      <c r="D24" s="25">
        <f>+'PAI-BMPT-Dic'!AK54</f>
        <v>1</v>
      </c>
      <c r="E24" s="25">
        <f>+'PAI-BMPT-Dic'!AL54</f>
        <v>1</v>
      </c>
      <c r="F24" s="46">
        <f t="shared" si="5"/>
        <v>1</v>
      </c>
      <c r="G24" s="83"/>
      <c r="H24" s="29">
        <f>+'PAI-BMPT-Sept'!R54</f>
        <v>0.03</v>
      </c>
      <c r="I24" s="31">
        <f t="shared" si="1"/>
        <v>0.03</v>
      </c>
      <c r="J24" s="34">
        <f t="shared" si="3"/>
        <v>0.03</v>
      </c>
      <c r="K24" s="29">
        <v>0.04</v>
      </c>
      <c r="L24" s="28">
        <f t="shared" si="2"/>
        <v>0.04</v>
      </c>
      <c r="M24" s="34">
        <f t="shared" si="4"/>
        <v>0.04</v>
      </c>
      <c r="N24" s="82"/>
    </row>
    <row r="25" spans="2:14" ht="33.75" x14ac:dyDescent="0.25">
      <c r="B25" s="86"/>
      <c r="C25" s="36" t="s">
        <v>282</v>
      </c>
      <c r="D25" s="25">
        <f>+'PAI-BMPT-Dic'!AK56</f>
        <v>1</v>
      </c>
      <c r="E25" s="25">
        <f>+'PAI-BMPT-Dic'!AL56</f>
        <v>0.92</v>
      </c>
      <c r="F25" s="46">
        <f>+E25/D25</f>
        <v>0.92</v>
      </c>
      <c r="G25" s="81" t="str">
        <f>+'[1]Plan Acción Institucional'!M56</f>
        <v>Subdirección Administrativa y Financiera</v>
      </c>
      <c r="H25" s="29">
        <f>+'PAI-BMPT-Sept'!R56</f>
        <v>0.03</v>
      </c>
      <c r="I25" s="31">
        <f t="shared" si="1"/>
        <v>2.76E-2</v>
      </c>
      <c r="J25" s="34">
        <f t="shared" si="3"/>
        <v>2.76E-2</v>
      </c>
      <c r="K25" s="29">
        <v>0.05</v>
      </c>
      <c r="L25" s="28">
        <f t="shared" si="2"/>
        <v>4.6000000000000006E-2</v>
      </c>
      <c r="M25" s="34">
        <f t="shared" si="4"/>
        <v>4.6000000000000006E-2</v>
      </c>
      <c r="N25" s="82"/>
    </row>
    <row r="26" spans="2:14" ht="31.5" customHeight="1" x14ac:dyDescent="0.25">
      <c r="B26" s="86"/>
      <c r="C26" s="36" t="s">
        <v>286</v>
      </c>
      <c r="D26" s="25">
        <f>+'PAI-BMPT-Dic'!AK57</f>
        <v>1</v>
      </c>
      <c r="E26" s="25">
        <f>+'PAI-BMPT-Dic'!AL57</f>
        <v>0.92</v>
      </c>
      <c r="F26" s="46">
        <f>+E26/D26</f>
        <v>0.92</v>
      </c>
      <c r="G26" s="82"/>
      <c r="H26" s="29">
        <f>+'PAI-BMPT-Sept'!R57</f>
        <v>0.03</v>
      </c>
      <c r="I26" s="31">
        <f t="shared" si="1"/>
        <v>2.76E-2</v>
      </c>
      <c r="J26" s="34">
        <f t="shared" si="3"/>
        <v>2.76E-2</v>
      </c>
      <c r="K26" s="29">
        <v>0.05</v>
      </c>
      <c r="L26" s="28">
        <f t="shared" si="2"/>
        <v>4.6000000000000006E-2</v>
      </c>
      <c r="M26" s="34">
        <f t="shared" si="4"/>
        <v>4.6000000000000006E-2</v>
      </c>
      <c r="N26" s="82"/>
    </row>
    <row r="27" spans="2:14" ht="31.5" customHeight="1" x14ac:dyDescent="0.25">
      <c r="B27" s="86"/>
      <c r="C27" s="36" t="s">
        <v>299</v>
      </c>
      <c r="D27" s="25">
        <f>+'PAI-BMPT-Dic'!AK60</f>
        <v>1</v>
      </c>
      <c r="E27" s="25">
        <f>+'PAI-BMPT-Dic'!AL60</f>
        <v>1</v>
      </c>
      <c r="F27" s="46">
        <f t="shared" si="5"/>
        <v>1</v>
      </c>
      <c r="G27" s="82"/>
      <c r="H27" s="29">
        <f>+'PAI-BMPT-Sept'!R60</f>
        <v>0.03</v>
      </c>
      <c r="I27" s="31">
        <f t="shared" si="1"/>
        <v>0.03</v>
      </c>
      <c r="J27" s="34">
        <f t="shared" si="3"/>
        <v>0.03</v>
      </c>
      <c r="K27" s="29">
        <v>0.04</v>
      </c>
      <c r="L27" s="28">
        <f t="shared" si="2"/>
        <v>0.04</v>
      </c>
      <c r="M27" s="34">
        <f t="shared" si="4"/>
        <v>0.04</v>
      </c>
      <c r="N27" s="82"/>
    </row>
    <row r="28" spans="2:14" ht="31.5" customHeight="1" x14ac:dyDescent="0.25">
      <c r="B28" s="86"/>
      <c r="C28" s="36" t="s">
        <v>317</v>
      </c>
      <c r="D28" s="25">
        <f>+'PAI-BMPT-Dic'!AK64</f>
        <v>1</v>
      </c>
      <c r="E28" s="25">
        <f>+'PAI-BMPT-Dic'!AL64</f>
        <v>1</v>
      </c>
      <c r="F28" s="46">
        <f t="shared" si="5"/>
        <v>1</v>
      </c>
      <c r="G28" s="82"/>
      <c r="H28" s="29">
        <f>+'PAI-BMPT-Sept'!R64</f>
        <v>0.03</v>
      </c>
      <c r="I28" s="31">
        <f t="shared" si="1"/>
        <v>0.03</v>
      </c>
      <c r="J28" s="34">
        <f t="shared" si="3"/>
        <v>0.03</v>
      </c>
      <c r="K28" s="29">
        <v>0.04</v>
      </c>
      <c r="L28" s="28">
        <f t="shared" si="2"/>
        <v>0.04</v>
      </c>
      <c r="M28" s="34">
        <f t="shared" si="4"/>
        <v>0.04</v>
      </c>
      <c r="N28" s="82"/>
    </row>
    <row r="29" spans="2:14" ht="31.5" customHeight="1" x14ac:dyDescent="0.25">
      <c r="B29" s="86"/>
      <c r="C29" s="36" t="s">
        <v>320</v>
      </c>
      <c r="D29" s="25">
        <f>+'PAI-BMPT-Dic'!AK65</f>
        <v>1</v>
      </c>
      <c r="E29" s="25">
        <f>+'PAI-BMPT-Dic'!AL65</f>
        <v>1</v>
      </c>
      <c r="F29" s="46">
        <f t="shared" si="5"/>
        <v>1</v>
      </c>
      <c r="G29" s="82"/>
      <c r="H29" s="29">
        <f>+'PAI-BMPT-Sept'!R65</f>
        <v>0.03</v>
      </c>
      <c r="I29" s="31">
        <f t="shared" si="1"/>
        <v>0.03</v>
      </c>
      <c r="J29" s="34">
        <f t="shared" si="3"/>
        <v>0.03</v>
      </c>
      <c r="K29" s="29">
        <v>0.05</v>
      </c>
      <c r="L29" s="28">
        <f t="shared" si="2"/>
        <v>0.05</v>
      </c>
      <c r="M29" s="34">
        <f t="shared" si="4"/>
        <v>0.05</v>
      </c>
      <c r="N29" s="82"/>
    </row>
    <row r="30" spans="2:14" ht="47.25" customHeight="1" x14ac:dyDescent="0.25">
      <c r="B30" s="86"/>
      <c r="C30" s="36" t="s">
        <v>323</v>
      </c>
      <c r="D30" s="25">
        <f>+'PAI-BMPT-Dic'!AK66</f>
        <v>1</v>
      </c>
      <c r="E30" s="25">
        <f>+'PAI-BMPT-Dic'!AL66</f>
        <v>0.8600000000000001</v>
      </c>
      <c r="F30" s="46">
        <f>+E30/D30</f>
        <v>0.8600000000000001</v>
      </c>
      <c r="G30" s="83"/>
      <c r="H30" s="29">
        <f>+'PAI-BMPT-Sept'!R66</f>
        <v>0.03</v>
      </c>
      <c r="I30" s="31">
        <f t="shared" si="1"/>
        <v>2.5800000000000003E-2</v>
      </c>
      <c r="J30" s="34">
        <f t="shared" si="3"/>
        <v>2.5800000000000003E-2</v>
      </c>
      <c r="K30" s="29">
        <v>0.05</v>
      </c>
      <c r="L30" s="28">
        <f t="shared" si="2"/>
        <v>4.300000000000001E-2</v>
      </c>
      <c r="M30" s="34">
        <f t="shared" si="4"/>
        <v>4.300000000000001E-2</v>
      </c>
      <c r="N30" s="82"/>
    </row>
    <row r="31" spans="2:14" ht="31.5" customHeight="1" x14ac:dyDescent="0.25">
      <c r="B31" s="86"/>
      <c r="C31" s="36" t="s">
        <v>331</v>
      </c>
      <c r="D31" s="25">
        <f>+'PAI-BMPT-Dic'!AK68</f>
        <v>1</v>
      </c>
      <c r="E31" s="25">
        <f>+'PAI-BMPT-Dic'!AL68</f>
        <v>1</v>
      </c>
      <c r="F31" s="46">
        <f t="shared" si="5"/>
        <v>1</v>
      </c>
      <c r="G31" s="24" t="str">
        <f>+'[1]Plan Acción Institucional'!M68</f>
        <v>Subdirección de Asuntos Legales</v>
      </c>
      <c r="H31" s="29">
        <f>+'PAI-BMPT-Sept'!R68</f>
        <v>0.03</v>
      </c>
      <c r="I31" s="31">
        <f t="shared" si="1"/>
        <v>0.03</v>
      </c>
      <c r="J31" s="34">
        <f t="shared" si="3"/>
        <v>0.03</v>
      </c>
      <c r="K31" s="29">
        <v>0.04</v>
      </c>
      <c r="L31" s="28">
        <f t="shared" si="2"/>
        <v>0.04</v>
      </c>
      <c r="M31" s="34">
        <f t="shared" si="4"/>
        <v>0.04</v>
      </c>
      <c r="N31" s="82"/>
    </row>
    <row r="32" spans="2:14" ht="31.5" customHeight="1" x14ac:dyDescent="0.25">
      <c r="B32" s="86"/>
      <c r="C32" s="36" t="s">
        <v>339</v>
      </c>
      <c r="D32" s="25">
        <f>+'PAI-BMPT-Dic'!AK70</f>
        <v>1</v>
      </c>
      <c r="E32" s="25">
        <f>+'PAI-BMPT-Dic'!AL70</f>
        <v>0.8</v>
      </c>
      <c r="F32" s="46">
        <f t="shared" si="5"/>
        <v>0.8</v>
      </c>
      <c r="G32" s="81" t="str">
        <f>+'[1]Plan Acción Institucional'!M70</f>
        <v>Oficina Asesora de Planeación</v>
      </c>
      <c r="H32" s="29">
        <f>+'PAI-BMPT-Sept'!R70</f>
        <v>0.04</v>
      </c>
      <c r="I32" s="31">
        <f t="shared" si="1"/>
        <v>3.2000000000000001E-2</v>
      </c>
      <c r="J32" s="34">
        <f t="shared" si="3"/>
        <v>3.2000000000000001E-2</v>
      </c>
      <c r="K32" s="29">
        <v>0.04</v>
      </c>
      <c r="L32" s="28">
        <f t="shared" si="2"/>
        <v>3.2000000000000001E-2</v>
      </c>
      <c r="M32" s="34">
        <f t="shared" si="4"/>
        <v>3.2000000000000001E-2</v>
      </c>
      <c r="N32" s="82"/>
    </row>
    <row r="33" spans="2:14" ht="31.5" customHeight="1" x14ac:dyDescent="0.25">
      <c r="B33" s="86"/>
      <c r="C33" s="36" t="s">
        <v>343</v>
      </c>
      <c r="D33" s="25">
        <f>+'PAI-BMPT-Dic'!AK71</f>
        <v>1</v>
      </c>
      <c r="E33" s="25">
        <f>+'PAI-BMPT-Dic'!AL71</f>
        <v>0.95</v>
      </c>
      <c r="F33" s="46">
        <f t="shared" si="5"/>
        <v>0.95</v>
      </c>
      <c r="G33" s="83"/>
      <c r="H33" s="29">
        <f>+'PAI-BMPT-Sept'!R71</f>
        <v>0.04</v>
      </c>
      <c r="I33" s="31">
        <f t="shared" si="1"/>
        <v>3.7999999999999999E-2</v>
      </c>
      <c r="J33" s="34">
        <f t="shared" si="3"/>
        <v>3.7999999999999999E-2</v>
      </c>
      <c r="K33" s="29">
        <v>0.05</v>
      </c>
      <c r="L33" s="28">
        <f t="shared" si="2"/>
        <v>4.7500000000000001E-2</v>
      </c>
      <c r="M33" s="34">
        <f t="shared" si="4"/>
        <v>4.7500000000000001E-2</v>
      </c>
      <c r="N33" s="82"/>
    </row>
    <row r="34" spans="2:14" ht="31.5" customHeight="1" x14ac:dyDescent="0.25">
      <c r="B34" s="86"/>
      <c r="C34" s="36" t="s">
        <v>351</v>
      </c>
      <c r="D34" s="25">
        <f>+'PAI-BMPT-Dic'!AK73</f>
        <v>1</v>
      </c>
      <c r="E34" s="25">
        <f>+'PAI-BMPT-Dic'!AL73</f>
        <v>1</v>
      </c>
      <c r="F34" s="46">
        <f t="shared" si="5"/>
        <v>1</v>
      </c>
      <c r="G34" s="81" t="str">
        <f>+'[1]Plan Acción Institucional'!M73</f>
        <v>Oficina de Control Interno</v>
      </c>
      <c r="H34" s="29">
        <f>+'PAI-BMPT-Sept'!R73</f>
        <v>0.02</v>
      </c>
      <c r="I34" s="31">
        <f t="shared" si="1"/>
        <v>0.02</v>
      </c>
      <c r="J34" s="34">
        <f t="shared" si="3"/>
        <v>0.02</v>
      </c>
      <c r="K34" s="29">
        <v>0.05</v>
      </c>
      <c r="L34" s="28">
        <f t="shared" si="2"/>
        <v>0.05</v>
      </c>
      <c r="M34" s="34">
        <f t="shared" si="4"/>
        <v>0.05</v>
      </c>
      <c r="N34" s="82"/>
    </row>
    <row r="35" spans="2:14" ht="31.5" customHeight="1" x14ac:dyDescent="0.25">
      <c r="B35" s="86"/>
      <c r="C35" s="36" t="s">
        <v>356</v>
      </c>
      <c r="D35" s="25">
        <f>+'PAI-BMPT-Dic'!AK74</f>
        <v>1</v>
      </c>
      <c r="E35" s="25">
        <f>+'PAI-BMPT-Dic'!AL74</f>
        <v>1</v>
      </c>
      <c r="F35" s="46">
        <f t="shared" si="5"/>
        <v>1</v>
      </c>
      <c r="G35" s="82"/>
      <c r="H35" s="29">
        <f>+'PAI-BMPT-Sept'!R74</f>
        <v>0.02</v>
      </c>
      <c r="I35" s="31">
        <f t="shared" si="1"/>
        <v>0.02</v>
      </c>
      <c r="J35" s="34">
        <f t="shared" si="3"/>
        <v>0.02</v>
      </c>
      <c r="K35" s="29">
        <v>0.04</v>
      </c>
      <c r="L35" s="28">
        <f t="shared" si="2"/>
        <v>0.04</v>
      </c>
      <c r="M35" s="34">
        <f t="shared" si="4"/>
        <v>0.04</v>
      </c>
      <c r="N35" s="82"/>
    </row>
    <row r="36" spans="2:14" ht="31.5" customHeight="1" x14ac:dyDescent="0.25">
      <c r="B36" s="86"/>
      <c r="C36" s="36" t="s">
        <v>361</v>
      </c>
      <c r="D36" s="25">
        <f>+'PAI-BMPT-Dic'!AK76</f>
        <v>0.99999999999999989</v>
      </c>
      <c r="E36" s="25">
        <f>+'PAI-BMPT-Dic'!AL76</f>
        <v>0.99999999999999989</v>
      </c>
      <c r="F36" s="46">
        <f t="shared" si="5"/>
        <v>1</v>
      </c>
      <c r="G36" s="83"/>
      <c r="H36" s="29">
        <f>+'PAI-BMPT-Sept'!R76</f>
        <v>0.02</v>
      </c>
      <c r="I36" s="31">
        <f t="shared" si="1"/>
        <v>1.9999999999999997E-2</v>
      </c>
      <c r="J36" s="34">
        <f t="shared" si="3"/>
        <v>1.9999999999999997E-2</v>
      </c>
      <c r="K36" s="29">
        <v>0.05</v>
      </c>
      <c r="L36" s="28">
        <f t="shared" si="2"/>
        <v>4.9999999999999996E-2</v>
      </c>
      <c r="M36" s="34">
        <f t="shared" si="4"/>
        <v>4.9999999999999996E-2</v>
      </c>
      <c r="N36" s="83"/>
    </row>
    <row r="37" spans="2:14" ht="36" x14ac:dyDescent="0.25">
      <c r="B37" s="24" t="s">
        <v>302</v>
      </c>
      <c r="C37" s="36" t="s">
        <v>303</v>
      </c>
      <c r="D37" s="25">
        <f>+'PAI-BMPT-Dic'!AK61</f>
        <v>1</v>
      </c>
      <c r="E37" s="25">
        <f>+'PAI-BMPT-Dic'!AL61</f>
        <v>1</v>
      </c>
      <c r="F37" s="46">
        <f t="shared" si="5"/>
        <v>1</v>
      </c>
      <c r="G37" s="24" t="str">
        <f>+'[1]Plan Acción Institucional'!M61</f>
        <v>Subdirección Administrativa y Financiera</v>
      </c>
      <c r="H37" s="29">
        <f>+'PAI-BMPT-Sept'!R61</f>
        <v>0.03</v>
      </c>
      <c r="I37" s="31">
        <f>+E37*H37</f>
        <v>0.03</v>
      </c>
      <c r="J37" s="34">
        <f t="shared" si="3"/>
        <v>0.03</v>
      </c>
      <c r="K37" s="29">
        <v>1</v>
      </c>
      <c r="L37" s="28">
        <f t="shared" si="2"/>
        <v>1</v>
      </c>
      <c r="M37" s="34">
        <f t="shared" si="4"/>
        <v>1</v>
      </c>
      <c r="N37" s="48" t="s">
        <v>622</v>
      </c>
    </row>
    <row r="38" spans="2:14" ht="23.25" x14ac:dyDescent="0.35">
      <c r="B38" s="39"/>
      <c r="C38" s="37"/>
      <c r="D38" s="27"/>
      <c r="E38" s="27"/>
      <c r="F38" s="27"/>
      <c r="G38" s="26"/>
      <c r="N38" s="26"/>
    </row>
    <row r="39" spans="2:14" ht="23.25" x14ac:dyDescent="0.35">
      <c r="B39" s="39" t="s">
        <v>378</v>
      </c>
      <c r="C39" s="37"/>
      <c r="D39" s="27"/>
      <c r="E39" s="27"/>
      <c r="F39" s="27"/>
      <c r="G39" s="26"/>
      <c r="N39" s="26"/>
    </row>
    <row r="40" spans="2:14" ht="31.5" x14ac:dyDescent="0.25">
      <c r="B40" s="3" t="s">
        <v>11</v>
      </c>
      <c r="C40" s="3" t="s">
        <v>15</v>
      </c>
      <c r="D40" s="3" t="s">
        <v>366</v>
      </c>
      <c r="E40" s="3" t="s">
        <v>377</v>
      </c>
      <c r="F40" s="41"/>
      <c r="G40" s="41" t="s">
        <v>18</v>
      </c>
      <c r="H40" s="33" t="s">
        <v>376</v>
      </c>
      <c r="I40" s="33" t="s">
        <v>373</v>
      </c>
      <c r="J40" s="33" t="s">
        <v>375</v>
      </c>
      <c r="K40" s="33" t="s">
        <v>374</v>
      </c>
      <c r="L40" s="33" t="s">
        <v>373</v>
      </c>
      <c r="M40" s="33" t="s">
        <v>372</v>
      </c>
      <c r="N40" s="3" t="s">
        <v>387</v>
      </c>
    </row>
    <row r="41" spans="2:14" ht="72" customHeight="1" x14ac:dyDescent="0.25">
      <c r="B41" s="81" t="s">
        <v>221</v>
      </c>
      <c r="C41" s="36" t="s">
        <v>222</v>
      </c>
      <c r="D41" s="25">
        <f>+'PAI-BMPT-Dic'!AK42</f>
        <v>1</v>
      </c>
      <c r="E41" s="25">
        <f>+'PAI-BMPT-Dic'!AL42</f>
        <v>1</v>
      </c>
      <c r="F41" s="46">
        <f>+E41/D41</f>
        <v>1</v>
      </c>
      <c r="G41" s="86" t="s">
        <v>192</v>
      </c>
      <c r="H41" s="25">
        <f>+'PAI-BMPT-Sept'!R42</f>
        <v>0.5</v>
      </c>
      <c r="I41" s="31">
        <f>+E41*H41</f>
        <v>0.5</v>
      </c>
      <c r="J41" s="34">
        <f t="shared" ref="J41:J42" si="6">+I41</f>
        <v>0.5</v>
      </c>
      <c r="K41" s="25">
        <f>+H41</f>
        <v>0.5</v>
      </c>
      <c r="L41" s="28">
        <f>+E41*K41</f>
        <v>0.5</v>
      </c>
      <c r="M41" s="34">
        <f t="shared" ref="M41:M42" si="7">+L41</f>
        <v>0.5</v>
      </c>
      <c r="N41" s="86" t="s">
        <v>623</v>
      </c>
    </row>
    <row r="42" spans="2:14" ht="72" customHeight="1" x14ac:dyDescent="0.25">
      <c r="B42" s="83"/>
      <c r="C42" s="36" t="s">
        <v>226</v>
      </c>
      <c r="D42" s="25">
        <f>+'PAI-BMPT-Dic'!AK43</f>
        <v>1</v>
      </c>
      <c r="E42" s="25">
        <f>+'PAI-BMPT-Dic'!AL43</f>
        <v>1</v>
      </c>
      <c r="F42" s="46">
        <f>+E42/D42</f>
        <v>1</v>
      </c>
      <c r="G42" s="86"/>
      <c r="H42" s="25">
        <f>+'PAI-BMPT-Sept'!R43</f>
        <v>0.5</v>
      </c>
      <c r="I42" s="31">
        <f>+E42*H42</f>
        <v>0.5</v>
      </c>
      <c r="J42" s="34">
        <f t="shared" si="6"/>
        <v>0.5</v>
      </c>
      <c r="K42" s="25">
        <f>+H42</f>
        <v>0.5</v>
      </c>
      <c r="L42" s="28">
        <f>+E42*K42</f>
        <v>0.5</v>
      </c>
      <c r="M42" s="34">
        <f t="shared" si="7"/>
        <v>0.5</v>
      </c>
      <c r="N42" s="86"/>
    </row>
    <row r="43" spans="2:14" ht="23.25" x14ac:dyDescent="0.35">
      <c r="B43" s="39"/>
      <c r="C43" s="37"/>
      <c r="D43" s="27"/>
      <c r="E43" s="27"/>
      <c r="F43" s="27"/>
      <c r="G43" s="26"/>
      <c r="N43" s="26"/>
    </row>
    <row r="44" spans="2:14" ht="23.25" x14ac:dyDescent="0.35">
      <c r="B44" s="39" t="s">
        <v>379</v>
      </c>
      <c r="C44" s="37"/>
      <c r="D44" s="27"/>
      <c r="E44" s="27"/>
      <c r="F44" s="27"/>
      <c r="G44" s="26"/>
      <c r="N44" s="26"/>
    </row>
    <row r="45" spans="2:14" ht="31.5" x14ac:dyDescent="0.25">
      <c r="B45" s="3" t="s">
        <v>11</v>
      </c>
      <c r="C45" s="35"/>
      <c r="D45" s="3" t="s">
        <v>366</v>
      </c>
      <c r="E45" s="3" t="s">
        <v>365</v>
      </c>
      <c r="F45" s="41"/>
      <c r="G45" s="41" t="s">
        <v>18</v>
      </c>
      <c r="H45" s="33" t="s">
        <v>376</v>
      </c>
      <c r="I45" s="33" t="s">
        <v>373</v>
      </c>
      <c r="J45" s="33" t="s">
        <v>375</v>
      </c>
      <c r="K45" s="33" t="s">
        <v>374</v>
      </c>
      <c r="L45" s="33" t="s">
        <v>373</v>
      </c>
      <c r="M45" s="33" t="s">
        <v>372</v>
      </c>
      <c r="N45" s="3" t="s">
        <v>387</v>
      </c>
    </row>
    <row r="46" spans="2:14" ht="60" customHeight="1" x14ac:dyDescent="0.25">
      <c r="B46" s="24" t="s">
        <v>211</v>
      </c>
      <c r="C46" s="36" t="s">
        <v>212</v>
      </c>
      <c r="D46" s="25">
        <f>+'PAI-BMPT-Dic'!AK41</f>
        <v>1</v>
      </c>
      <c r="E46" s="25">
        <f>+'PAI-BMPT-Dic'!AL41</f>
        <v>0.99999999999999989</v>
      </c>
      <c r="F46" s="46">
        <f>+E46/D46</f>
        <v>0.99999999999999989</v>
      </c>
      <c r="G46" s="24" t="s">
        <v>192</v>
      </c>
      <c r="H46" s="25">
        <f>+'PAI-BMPT-Sept'!R41</f>
        <v>0.2</v>
      </c>
      <c r="I46" s="31">
        <f>+E46*H46</f>
        <v>0.19999999999999998</v>
      </c>
      <c r="J46" s="34">
        <f t="shared" ref="J46" si="8">+I46</f>
        <v>0.19999999999999998</v>
      </c>
      <c r="K46" s="25">
        <v>1</v>
      </c>
      <c r="L46" s="28">
        <f>+E46*K46</f>
        <v>0.99999999999999989</v>
      </c>
      <c r="M46" s="34">
        <f t="shared" ref="M46" si="9">+L46</f>
        <v>0.99999999999999989</v>
      </c>
      <c r="N46" s="81" t="s">
        <v>624</v>
      </c>
    </row>
    <row r="47" spans="2:14" ht="48" customHeight="1" x14ac:dyDescent="0.25">
      <c r="B47" s="81" t="s">
        <v>188</v>
      </c>
      <c r="C47" s="36" t="s">
        <v>189</v>
      </c>
      <c r="D47" s="25">
        <f>+'PAI-BMPT-Dic'!AK37</f>
        <v>1</v>
      </c>
      <c r="E47" s="25">
        <f>+'PAI-BMPT-Dic'!AL37</f>
        <v>0.84000000000000008</v>
      </c>
      <c r="F47" s="46">
        <f>+E47/D47</f>
        <v>0.84000000000000008</v>
      </c>
      <c r="G47" s="81" t="s">
        <v>192</v>
      </c>
      <c r="H47" s="25">
        <f>+'PAI-BMPT-Sept'!R37</f>
        <v>0.2</v>
      </c>
      <c r="I47" s="31">
        <f>+E47*H47</f>
        <v>0.16800000000000004</v>
      </c>
      <c r="J47" s="34">
        <f t="shared" ref="J47:J48" si="10">+I47</f>
        <v>0.16800000000000004</v>
      </c>
      <c r="K47" s="25">
        <v>0.5</v>
      </c>
      <c r="L47" s="28">
        <f>+E47*K47</f>
        <v>0.42000000000000004</v>
      </c>
      <c r="M47" s="34">
        <f t="shared" ref="M47:M48" si="11">+L47</f>
        <v>0.42000000000000004</v>
      </c>
      <c r="N47" s="82"/>
    </row>
    <row r="48" spans="2:14" ht="48" customHeight="1" x14ac:dyDescent="0.25">
      <c r="B48" s="83"/>
      <c r="C48" s="36" t="s">
        <v>195</v>
      </c>
      <c r="D48" s="25">
        <f>+'PAI-BMPT-Dic'!AK38</f>
        <v>1</v>
      </c>
      <c r="E48" s="25">
        <f>+'PAI-BMPT-Dic'!AL38</f>
        <v>0.9900000000000001</v>
      </c>
      <c r="F48" s="46">
        <f>+E48/D48</f>
        <v>0.9900000000000001</v>
      </c>
      <c r="G48" s="83"/>
      <c r="H48" s="25">
        <f>+'PAI-BMPT-Sept'!R38</f>
        <v>0.2</v>
      </c>
      <c r="I48" s="31">
        <f>+E48*H48</f>
        <v>0.19800000000000004</v>
      </c>
      <c r="J48" s="34">
        <f t="shared" si="10"/>
        <v>0.19800000000000004</v>
      </c>
      <c r="K48" s="25">
        <v>0.5</v>
      </c>
      <c r="L48" s="28">
        <f>+E48*K48</f>
        <v>0.49500000000000005</v>
      </c>
      <c r="M48" s="34">
        <f t="shared" si="11"/>
        <v>0.49500000000000005</v>
      </c>
      <c r="N48" s="82"/>
    </row>
    <row r="49" spans="2:14" ht="44.25" customHeight="1" x14ac:dyDescent="0.25">
      <c r="B49" s="81" t="s">
        <v>200</v>
      </c>
      <c r="C49" s="36" t="s">
        <v>201</v>
      </c>
      <c r="D49" s="25">
        <f>+'PAI-BMPT-Dic'!AK39</f>
        <v>1</v>
      </c>
      <c r="E49" s="25">
        <f>+'PAI-BMPT-Dic'!AL39</f>
        <v>0.65</v>
      </c>
      <c r="F49" s="46">
        <f>+E49/D49</f>
        <v>0.65</v>
      </c>
      <c r="G49" s="81" t="s">
        <v>192</v>
      </c>
      <c r="H49" s="25">
        <f>+'PAI-BMPT-Sept'!R39</f>
        <v>0.2</v>
      </c>
      <c r="I49" s="31">
        <f>+E49*H49</f>
        <v>0.13</v>
      </c>
      <c r="J49" s="34">
        <f t="shared" ref="J49:J50" si="12">+I49</f>
        <v>0.13</v>
      </c>
      <c r="K49" s="25">
        <v>0.5</v>
      </c>
      <c r="L49" s="28">
        <f>+E49*K49</f>
        <v>0.32500000000000001</v>
      </c>
      <c r="M49" s="34">
        <f t="shared" ref="M49:M50" si="13">+L49</f>
        <v>0.32500000000000001</v>
      </c>
      <c r="N49" s="82"/>
    </row>
    <row r="50" spans="2:14" ht="44.25" customHeight="1" x14ac:dyDescent="0.25">
      <c r="B50" s="83"/>
      <c r="C50" s="36" t="s">
        <v>206</v>
      </c>
      <c r="D50" s="25">
        <f>+'PAI-BMPT-Dic'!AK40</f>
        <v>1</v>
      </c>
      <c r="E50" s="25">
        <f>+'PAI-BMPT-Dic'!AL40</f>
        <v>0.81</v>
      </c>
      <c r="F50" s="46">
        <f>+E50/D50</f>
        <v>0.81</v>
      </c>
      <c r="G50" s="83"/>
      <c r="H50" s="25">
        <f>+'PAI-BMPT-Sept'!R40</f>
        <v>0.2</v>
      </c>
      <c r="I50" s="31">
        <f>+E50*H50</f>
        <v>0.16200000000000003</v>
      </c>
      <c r="J50" s="34">
        <f t="shared" si="12"/>
        <v>0.16200000000000003</v>
      </c>
      <c r="K50" s="25">
        <v>0.5</v>
      </c>
      <c r="L50" s="28">
        <f>+E50*K50</f>
        <v>0.40500000000000003</v>
      </c>
      <c r="M50" s="34">
        <f t="shared" si="13"/>
        <v>0.40500000000000003</v>
      </c>
      <c r="N50" s="83"/>
    </row>
    <row r="51" spans="2:14" ht="23.25" x14ac:dyDescent="0.35">
      <c r="B51" s="39"/>
      <c r="C51" s="37"/>
      <c r="D51" s="27"/>
      <c r="E51" s="27"/>
      <c r="F51" s="27"/>
      <c r="G51" s="26"/>
      <c r="N51" s="26"/>
    </row>
    <row r="52" spans="2:14" ht="23.25" x14ac:dyDescent="0.35">
      <c r="B52" s="39" t="s">
        <v>380</v>
      </c>
      <c r="C52" s="37"/>
      <c r="D52" s="27"/>
      <c r="E52" s="27"/>
      <c r="F52" s="27"/>
      <c r="G52" s="26"/>
      <c r="N52" s="26"/>
    </row>
    <row r="53" spans="2:14" ht="31.5" x14ac:dyDescent="0.25">
      <c r="B53" s="3" t="s">
        <v>11</v>
      </c>
      <c r="C53" s="3" t="s">
        <v>15</v>
      </c>
      <c r="D53" s="3" t="s">
        <v>366</v>
      </c>
      <c r="E53" s="3" t="s">
        <v>377</v>
      </c>
      <c r="F53" s="41"/>
      <c r="G53" s="41" t="s">
        <v>18</v>
      </c>
      <c r="H53" s="33" t="s">
        <v>376</v>
      </c>
      <c r="I53" s="33" t="s">
        <v>373</v>
      </c>
      <c r="J53" s="33" t="s">
        <v>375</v>
      </c>
      <c r="K53" s="33" t="s">
        <v>374</v>
      </c>
      <c r="L53" s="33" t="s">
        <v>373</v>
      </c>
      <c r="M53" s="33" t="s">
        <v>372</v>
      </c>
      <c r="N53" s="3" t="s">
        <v>387</v>
      </c>
    </row>
    <row r="54" spans="2:14" ht="36" x14ac:dyDescent="0.25">
      <c r="B54" s="50" t="s">
        <v>150</v>
      </c>
      <c r="C54" s="36" t="s">
        <v>156</v>
      </c>
      <c r="D54" s="25">
        <f>+'PAI-BMPT-Dic'!AK30</f>
        <v>1</v>
      </c>
      <c r="E54" s="25">
        <f>+'PAI-BMPT-Dic'!AL30</f>
        <v>0.5</v>
      </c>
      <c r="F54" s="46">
        <f t="shared" ref="F54:F60" si="14">+E54/D54</f>
        <v>0.5</v>
      </c>
      <c r="G54" s="51"/>
      <c r="H54" s="25">
        <f>+'PAI-BMPT-Sept'!R30</f>
        <v>0.03</v>
      </c>
      <c r="I54" s="31">
        <f t="shared" ref="I54:I83" si="15">+E54*H54</f>
        <v>1.4999999999999999E-2</v>
      </c>
      <c r="J54" s="34">
        <f t="shared" ref="J54" si="16">+I54</f>
        <v>1.4999999999999999E-2</v>
      </c>
      <c r="K54" s="25">
        <v>0.5</v>
      </c>
      <c r="L54" s="28">
        <f t="shared" ref="L54:L83" si="17">+E54*K54</f>
        <v>0.25</v>
      </c>
      <c r="M54" s="34">
        <f t="shared" ref="M54" si="18">+L54</f>
        <v>0.25</v>
      </c>
      <c r="N54" s="49" t="s">
        <v>625</v>
      </c>
    </row>
    <row r="55" spans="2:14" ht="44.25" customHeight="1" x14ac:dyDescent="0.25">
      <c r="B55" s="81" t="s">
        <v>161</v>
      </c>
      <c r="C55" s="36" t="s">
        <v>162</v>
      </c>
      <c r="D55" s="25">
        <f>+'PAI-BMPT-Dic'!AK31</f>
        <v>1</v>
      </c>
      <c r="E55" s="25">
        <f>+'PAI-BMPT-Dic'!AL31</f>
        <v>1</v>
      </c>
      <c r="F55" s="46">
        <f t="shared" si="14"/>
        <v>1</v>
      </c>
      <c r="G55" s="81" t="s">
        <v>60</v>
      </c>
      <c r="H55" s="25">
        <f>+'PAI-BMPT-Sept'!R31</f>
        <v>0.04</v>
      </c>
      <c r="I55" s="31">
        <f t="shared" si="15"/>
        <v>0.04</v>
      </c>
      <c r="J55" s="34">
        <f t="shared" ref="J55:J60" si="19">+I55</f>
        <v>0.04</v>
      </c>
      <c r="K55" s="25">
        <v>0.17</v>
      </c>
      <c r="L55" s="28">
        <f t="shared" si="17"/>
        <v>0.17</v>
      </c>
      <c r="M55" s="34">
        <f t="shared" ref="M55:M60" si="20">+L55</f>
        <v>0.17</v>
      </c>
      <c r="N55" s="81" t="s">
        <v>626</v>
      </c>
    </row>
    <row r="56" spans="2:14" ht="44.25" customHeight="1" x14ac:dyDescent="0.25">
      <c r="B56" s="82"/>
      <c r="C56" s="36" t="s">
        <v>166</v>
      </c>
      <c r="D56" s="25">
        <f>+'PAI-BMPT-Dic'!AK32</f>
        <v>1</v>
      </c>
      <c r="E56" s="25">
        <f>+'PAI-BMPT-Dic'!AL32</f>
        <v>0.86</v>
      </c>
      <c r="F56" s="46">
        <f t="shared" si="14"/>
        <v>0.86</v>
      </c>
      <c r="G56" s="82"/>
      <c r="H56" s="25">
        <f>+'PAI-BMPT-Sept'!R32</f>
        <v>0.03</v>
      </c>
      <c r="I56" s="31">
        <f t="shared" si="15"/>
        <v>2.58E-2</v>
      </c>
      <c r="J56" s="34">
        <f t="shared" si="19"/>
        <v>2.58E-2</v>
      </c>
      <c r="K56" s="25">
        <v>0.17</v>
      </c>
      <c r="L56" s="28">
        <f t="shared" si="17"/>
        <v>0.1462</v>
      </c>
      <c r="M56" s="34">
        <f t="shared" si="20"/>
        <v>0.1462</v>
      </c>
      <c r="N56" s="82"/>
    </row>
    <row r="57" spans="2:14" ht="44.25" customHeight="1" x14ac:dyDescent="0.25">
      <c r="B57" s="82"/>
      <c r="C57" s="36" t="s">
        <v>170</v>
      </c>
      <c r="D57" s="25">
        <f>+'PAI-BMPT-Dic'!AK33</f>
        <v>1</v>
      </c>
      <c r="E57" s="25">
        <f>+'PAI-BMPT-Dic'!AL33</f>
        <v>1</v>
      </c>
      <c r="F57" s="46">
        <f t="shared" si="14"/>
        <v>1</v>
      </c>
      <c r="G57" s="82"/>
      <c r="H57" s="25">
        <f>+'PAI-BMPT-Sept'!R33</f>
        <v>0.03</v>
      </c>
      <c r="I57" s="31">
        <f t="shared" si="15"/>
        <v>0.03</v>
      </c>
      <c r="J57" s="34">
        <f t="shared" si="19"/>
        <v>0.03</v>
      </c>
      <c r="K57" s="25">
        <v>0.16</v>
      </c>
      <c r="L57" s="28">
        <f t="shared" si="17"/>
        <v>0.16</v>
      </c>
      <c r="M57" s="34">
        <f t="shared" si="20"/>
        <v>0.16</v>
      </c>
      <c r="N57" s="82"/>
    </row>
    <row r="58" spans="2:14" ht="84" x14ac:dyDescent="0.25">
      <c r="B58" s="82"/>
      <c r="C58" s="36" t="s">
        <v>383</v>
      </c>
      <c r="D58" s="25">
        <f>+'PAI-BMPT-Dic'!AK34</f>
        <v>1</v>
      </c>
      <c r="E58" s="25">
        <f>+'PAI-BMPT-Dic'!AL34</f>
        <v>1</v>
      </c>
      <c r="F58" s="46">
        <f t="shared" si="14"/>
        <v>1</v>
      </c>
      <c r="G58" s="82"/>
      <c r="H58" s="25">
        <f>+'PAI-BMPT-Sept'!R34</f>
        <v>0.04</v>
      </c>
      <c r="I58" s="31">
        <f t="shared" si="15"/>
        <v>0.04</v>
      </c>
      <c r="J58" s="34">
        <f t="shared" si="19"/>
        <v>0.04</v>
      </c>
      <c r="K58" s="25">
        <v>0.17</v>
      </c>
      <c r="L58" s="28">
        <f t="shared" si="17"/>
        <v>0.17</v>
      </c>
      <c r="M58" s="34">
        <f t="shared" si="20"/>
        <v>0.17</v>
      </c>
      <c r="N58" s="82"/>
    </row>
    <row r="59" spans="2:14" ht="84" x14ac:dyDescent="0.25">
      <c r="B59" s="82"/>
      <c r="C59" s="36" t="s">
        <v>384</v>
      </c>
      <c r="D59" s="25">
        <f>+'PAI-BMPT-Dic'!AK35</f>
        <v>1</v>
      </c>
      <c r="E59" s="25">
        <f>+'PAI-BMPT-Dic'!AL35</f>
        <v>0</v>
      </c>
      <c r="F59" s="46">
        <f t="shared" si="14"/>
        <v>0</v>
      </c>
      <c r="G59" s="82"/>
      <c r="H59" s="25">
        <f>+'PAI-BMPT-Sept'!R35</f>
        <v>0.04</v>
      </c>
      <c r="I59" s="31">
        <f t="shared" si="15"/>
        <v>0</v>
      </c>
      <c r="J59" s="34">
        <f t="shared" si="19"/>
        <v>0</v>
      </c>
      <c r="K59" s="25">
        <v>0.16</v>
      </c>
      <c r="L59" s="28">
        <f t="shared" si="17"/>
        <v>0</v>
      </c>
      <c r="M59" s="34">
        <f t="shared" si="20"/>
        <v>0</v>
      </c>
      <c r="N59" s="82"/>
    </row>
    <row r="60" spans="2:14" ht="44.25" customHeight="1" x14ac:dyDescent="0.25">
      <c r="B60" s="83"/>
      <c r="C60" s="36" t="s">
        <v>181</v>
      </c>
      <c r="D60" s="25">
        <f>+'PAI-BMPT-Dic'!AK36</f>
        <v>1</v>
      </c>
      <c r="E60" s="25">
        <f>+'PAI-BMPT-Dic'!AL36</f>
        <v>1</v>
      </c>
      <c r="F60" s="46">
        <f t="shared" si="14"/>
        <v>1</v>
      </c>
      <c r="G60" s="83"/>
      <c r="H60" s="25">
        <f>+'PAI-BMPT-Sept'!R36</f>
        <v>0.03</v>
      </c>
      <c r="I60" s="31">
        <f t="shared" si="15"/>
        <v>0.03</v>
      </c>
      <c r="J60" s="34">
        <f t="shared" si="19"/>
        <v>0.03</v>
      </c>
      <c r="K60" s="25">
        <v>0.17</v>
      </c>
      <c r="L60" s="28">
        <f t="shared" si="17"/>
        <v>0.17</v>
      </c>
      <c r="M60" s="34">
        <f t="shared" si="20"/>
        <v>0.17</v>
      </c>
      <c r="N60" s="83"/>
    </row>
    <row r="61" spans="2:14" ht="83.25" customHeight="1" x14ac:dyDescent="0.25">
      <c r="B61" s="81" t="s">
        <v>113</v>
      </c>
      <c r="C61" s="36" t="s">
        <v>114</v>
      </c>
      <c r="D61" s="25">
        <f>+'PAI-BMPT-Dic'!AK21</f>
        <v>1</v>
      </c>
      <c r="E61" s="25">
        <f>+'PAI-BMPT-Dic'!AL21</f>
        <v>0.15000000000000002</v>
      </c>
      <c r="F61" s="46">
        <f>+E61/D61</f>
        <v>0.15000000000000002</v>
      </c>
      <c r="G61" s="81" t="s">
        <v>100</v>
      </c>
      <c r="H61" s="25">
        <f>+'PAI-BMPT-Sept'!R21</f>
        <v>0.04</v>
      </c>
      <c r="I61" s="31">
        <f t="shared" si="15"/>
        <v>6.000000000000001E-3</v>
      </c>
      <c r="J61" s="34">
        <f t="shared" ref="J61:J62" si="21">+I61</f>
        <v>6.000000000000001E-3</v>
      </c>
      <c r="K61" s="25">
        <v>0.12</v>
      </c>
      <c r="L61" s="28">
        <f t="shared" si="17"/>
        <v>1.8000000000000002E-2</v>
      </c>
      <c r="M61" s="34">
        <f t="shared" ref="M61:M68" si="22">+L61</f>
        <v>1.8000000000000002E-2</v>
      </c>
      <c r="N61" s="81" t="s">
        <v>627</v>
      </c>
    </row>
    <row r="62" spans="2:14" ht="83.25" customHeight="1" x14ac:dyDescent="0.25">
      <c r="B62" s="82"/>
      <c r="C62" s="36" t="s">
        <v>117</v>
      </c>
      <c r="D62" s="25">
        <f>+'PAI-BMPT-Dic'!AK22</f>
        <v>1</v>
      </c>
      <c r="E62" s="25">
        <f>+'PAI-BMPT-Dic'!AL22</f>
        <v>1</v>
      </c>
      <c r="F62" s="46">
        <f>+E62/D62</f>
        <v>1</v>
      </c>
      <c r="G62" s="82"/>
      <c r="H62" s="25">
        <f>+'PAI-BMPT-Sept'!R22</f>
        <v>0.04</v>
      </c>
      <c r="I62" s="31">
        <f t="shared" si="15"/>
        <v>0.04</v>
      </c>
      <c r="J62" s="34">
        <f t="shared" si="21"/>
        <v>0.04</v>
      </c>
      <c r="K62" s="25">
        <v>0.13</v>
      </c>
      <c r="L62" s="28">
        <f t="shared" si="17"/>
        <v>0.13</v>
      </c>
      <c r="M62" s="34">
        <f t="shared" si="22"/>
        <v>0.13</v>
      </c>
      <c r="N62" s="82"/>
    </row>
    <row r="63" spans="2:14" ht="83.25" customHeight="1" x14ac:dyDescent="0.25">
      <c r="B63" s="82"/>
      <c r="C63" s="36" t="s">
        <v>122</v>
      </c>
      <c r="D63" s="25">
        <f>+'PAI-BMPT-Dic'!AK23</f>
        <v>1</v>
      </c>
      <c r="E63" s="25">
        <f>+'PAI-BMPT-Dic'!AL23</f>
        <v>0.8</v>
      </c>
      <c r="F63" s="46">
        <f>+E63/D63</f>
        <v>0.8</v>
      </c>
      <c r="G63" s="82"/>
      <c r="H63" s="25">
        <f>+'PAI-BMPT-Sept'!R23</f>
        <v>0.03</v>
      </c>
      <c r="I63" s="31">
        <f t="shared" si="15"/>
        <v>2.4E-2</v>
      </c>
      <c r="J63" s="34">
        <f>+I63</f>
        <v>2.4E-2</v>
      </c>
      <c r="K63" s="25">
        <v>0.12</v>
      </c>
      <c r="L63" s="28">
        <f t="shared" si="17"/>
        <v>9.6000000000000002E-2</v>
      </c>
      <c r="M63" s="34">
        <f t="shared" si="22"/>
        <v>9.6000000000000002E-2</v>
      </c>
      <c r="N63" s="82"/>
    </row>
    <row r="64" spans="2:14" ht="83.25" customHeight="1" x14ac:dyDescent="0.25">
      <c r="B64" s="82"/>
      <c r="C64" s="36" t="s">
        <v>126</v>
      </c>
      <c r="D64" s="25">
        <f>+'PAI-BMPT-Dic'!AK24</f>
        <v>1</v>
      </c>
      <c r="E64" s="25">
        <f>+'PAI-BMPT-Dic'!AL24</f>
        <v>0.75</v>
      </c>
      <c r="F64" s="62">
        <v>1</v>
      </c>
      <c r="G64" s="82"/>
      <c r="H64" s="25">
        <f>+'PAI-BMPT-Sept'!R24</f>
        <v>0.04</v>
      </c>
      <c r="I64" s="31">
        <f t="shared" si="15"/>
        <v>0.03</v>
      </c>
      <c r="J64" s="34">
        <f t="shared" ref="J64" si="23">+I64</f>
        <v>0.03</v>
      </c>
      <c r="K64" s="25">
        <v>0.13</v>
      </c>
      <c r="L64" s="28">
        <f t="shared" si="17"/>
        <v>9.7500000000000003E-2</v>
      </c>
      <c r="M64" s="34">
        <f t="shared" si="22"/>
        <v>9.7500000000000003E-2</v>
      </c>
      <c r="N64" s="82"/>
    </row>
    <row r="65" spans="2:14" ht="83.25" customHeight="1" x14ac:dyDescent="0.25">
      <c r="B65" s="82"/>
      <c r="C65" s="36" t="s">
        <v>131</v>
      </c>
      <c r="D65" s="25">
        <f>+'PAI-BMPT-Dic'!AK25</f>
        <v>0.99999999999999989</v>
      </c>
      <c r="E65" s="25">
        <f>+'PAI-BMPT-Dic'!AL25</f>
        <v>1</v>
      </c>
      <c r="F65" s="46">
        <v>0.01</v>
      </c>
      <c r="G65" s="82"/>
      <c r="H65" s="25">
        <f>+'PAI-BMPT-Sept'!R25</f>
        <v>0.03</v>
      </c>
      <c r="I65" s="31">
        <f t="shared" si="15"/>
        <v>0.03</v>
      </c>
      <c r="J65" s="34">
        <f t="shared" ref="J65" si="24">+I65</f>
        <v>0.03</v>
      </c>
      <c r="K65" s="25">
        <v>0.12</v>
      </c>
      <c r="L65" s="28">
        <f t="shared" si="17"/>
        <v>0.12</v>
      </c>
      <c r="M65" s="34">
        <f t="shared" si="22"/>
        <v>0.12</v>
      </c>
      <c r="N65" s="82"/>
    </row>
    <row r="66" spans="2:14" ht="83.25" customHeight="1" x14ac:dyDescent="0.25">
      <c r="B66" s="82"/>
      <c r="C66" s="36" t="s">
        <v>135</v>
      </c>
      <c r="D66" s="25">
        <f>+'PAI-BMPT-Dic'!AK26</f>
        <v>1</v>
      </c>
      <c r="E66" s="25">
        <f>+'PAI-BMPT-Dic'!AL26</f>
        <v>0.17</v>
      </c>
      <c r="F66" s="46">
        <f>+E66/D66</f>
        <v>0.17</v>
      </c>
      <c r="G66" s="82"/>
      <c r="H66" s="25">
        <f>+'PAI-BMPT-Sept'!R26</f>
        <v>0.03</v>
      </c>
      <c r="I66" s="31">
        <f t="shared" si="15"/>
        <v>5.1000000000000004E-3</v>
      </c>
      <c r="J66" s="34">
        <f t="shared" ref="J66" si="25">+I66</f>
        <v>5.1000000000000004E-3</v>
      </c>
      <c r="K66" s="25">
        <v>0.13</v>
      </c>
      <c r="L66" s="28">
        <f t="shared" si="17"/>
        <v>2.2100000000000002E-2</v>
      </c>
      <c r="M66" s="34">
        <f t="shared" si="22"/>
        <v>2.2100000000000002E-2</v>
      </c>
      <c r="N66" s="82"/>
    </row>
    <row r="67" spans="2:14" ht="83.25" customHeight="1" x14ac:dyDescent="0.25">
      <c r="B67" s="82"/>
      <c r="C67" s="36" t="s">
        <v>385</v>
      </c>
      <c r="D67" s="25">
        <f>+'PAI-BMPT-Dic'!AK27</f>
        <v>1</v>
      </c>
      <c r="E67" s="25">
        <f>+'PAI-BMPT-Dic'!AL27</f>
        <v>1</v>
      </c>
      <c r="F67" s="46">
        <f>+E67/D67</f>
        <v>1</v>
      </c>
      <c r="G67" s="82"/>
      <c r="H67" s="25">
        <f>+'PAI-BMPT-Sept'!R27</f>
        <v>0.03</v>
      </c>
      <c r="I67" s="31">
        <f t="shared" si="15"/>
        <v>0.03</v>
      </c>
      <c r="J67" s="34">
        <f t="shared" ref="J67" si="26">+I67</f>
        <v>0.03</v>
      </c>
      <c r="K67" s="25">
        <v>0.12</v>
      </c>
      <c r="L67" s="28">
        <f t="shared" si="17"/>
        <v>0.12</v>
      </c>
      <c r="M67" s="34">
        <f t="shared" si="22"/>
        <v>0.12</v>
      </c>
      <c r="N67" s="82"/>
    </row>
    <row r="68" spans="2:14" ht="83.25" customHeight="1" x14ac:dyDescent="0.25">
      <c r="B68" s="83"/>
      <c r="C68" s="36" t="s">
        <v>146</v>
      </c>
      <c r="D68" s="25">
        <f>+'PAI-BMPT-Dic'!AK28</f>
        <v>1</v>
      </c>
      <c r="E68" s="25">
        <f>+'PAI-BMPT-Dic'!AL28</f>
        <v>0.8</v>
      </c>
      <c r="F68" s="46">
        <f>+E68/D68</f>
        <v>0.8</v>
      </c>
      <c r="G68" s="83"/>
      <c r="H68" s="25">
        <f>+'PAI-BMPT-Sept'!R28</f>
        <v>0.03</v>
      </c>
      <c r="I68" s="31">
        <f t="shared" si="15"/>
        <v>2.4E-2</v>
      </c>
      <c r="J68" s="34">
        <f t="shared" ref="J68" si="27">+I68</f>
        <v>2.4E-2</v>
      </c>
      <c r="K68" s="25">
        <v>0.13</v>
      </c>
      <c r="L68" s="28">
        <f t="shared" si="17"/>
        <v>0.10400000000000001</v>
      </c>
      <c r="M68" s="34">
        <f t="shared" si="22"/>
        <v>0.10400000000000001</v>
      </c>
      <c r="N68" s="83"/>
    </row>
    <row r="69" spans="2:14" ht="73.5" customHeight="1" x14ac:dyDescent="0.25">
      <c r="B69" s="81" t="s">
        <v>96</v>
      </c>
      <c r="C69" s="36" t="s">
        <v>97</v>
      </c>
      <c r="D69" s="25">
        <f>+'PAI-BMPT-Dic'!AK18</f>
        <v>1</v>
      </c>
      <c r="E69" s="25">
        <f>+'PAI-BMPT-Dic'!AL18</f>
        <v>0.5</v>
      </c>
      <c r="F69" s="46">
        <f>+E69/D69</f>
        <v>0.5</v>
      </c>
      <c r="G69" s="81" t="s">
        <v>100</v>
      </c>
      <c r="H69" s="25">
        <f>+'PAI-BMPT-Sept'!R18</f>
        <v>0.03</v>
      </c>
      <c r="I69" s="31">
        <f t="shared" si="15"/>
        <v>1.4999999999999999E-2</v>
      </c>
      <c r="J69" s="34">
        <f t="shared" ref="J69:J72" si="28">+I69</f>
        <v>1.4999999999999999E-2</v>
      </c>
      <c r="K69" s="25">
        <v>0.34</v>
      </c>
      <c r="L69" s="28">
        <f t="shared" si="17"/>
        <v>0.17</v>
      </c>
      <c r="M69" s="34">
        <f t="shared" ref="M69:M72" si="29">+L69</f>
        <v>0.17</v>
      </c>
      <c r="N69" s="81" t="s">
        <v>629</v>
      </c>
    </row>
    <row r="70" spans="2:14" ht="73.5" customHeight="1" x14ac:dyDescent="0.25">
      <c r="B70" s="82"/>
      <c r="C70" s="36" t="s">
        <v>104</v>
      </c>
      <c r="D70" s="25">
        <f>+'PAI-BMPT-Dic'!AK19</f>
        <v>1</v>
      </c>
      <c r="E70" s="25">
        <f>+'PAI-BMPT-Dic'!AL19</f>
        <v>0.99</v>
      </c>
      <c r="F70" s="46">
        <f t="shared" ref="F70:F83" si="30">+E70/D70</f>
        <v>0.99</v>
      </c>
      <c r="G70" s="82"/>
      <c r="H70" s="25">
        <f>+'PAI-BMPT-Sept'!R19</f>
        <v>0.04</v>
      </c>
      <c r="I70" s="31">
        <f t="shared" si="15"/>
        <v>3.9600000000000003E-2</v>
      </c>
      <c r="J70" s="34">
        <f t="shared" si="28"/>
        <v>3.9600000000000003E-2</v>
      </c>
      <c r="K70" s="25">
        <v>0.33</v>
      </c>
      <c r="L70" s="28">
        <f t="shared" si="17"/>
        <v>0.32669999999999999</v>
      </c>
      <c r="M70" s="34">
        <f t="shared" si="29"/>
        <v>0.32669999999999999</v>
      </c>
      <c r="N70" s="82"/>
    </row>
    <row r="71" spans="2:14" ht="73.5" customHeight="1" x14ac:dyDescent="0.25">
      <c r="B71" s="82"/>
      <c r="C71" s="36" t="s">
        <v>108</v>
      </c>
      <c r="D71" s="25">
        <f>+'PAI-BMPT-Dic'!AK20</f>
        <v>1</v>
      </c>
      <c r="E71" s="25">
        <f>+'PAI-BMPT-Dic'!AL20</f>
        <v>1</v>
      </c>
      <c r="F71" s="46">
        <f t="shared" si="30"/>
        <v>1</v>
      </c>
      <c r="G71" s="82"/>
      <c r="H71" s="25">
        <f>+'PAI-BMPT-Sept'!R20</f>
        <v>0.03</v>
      </c>
      <c r="I71" s="31">
        <f t="shared" si="15"/>
        <v>0.03</v>
      </c>
      <c r="J71" s="34">
        <f t="shared" si="28"/>
        <v>0.03</v>
      </c>
      <c r="K71" s="25">
        <v>0.33</v>
      </c>
      <c r="L71" s="28">
        <f t="shared" si="17"/>
        <v>0.33</v>
      </c>
      <c r="M71" s="34">
        <f t="shared" si="29"/>
        <v>0.33</v>
      </c>
      <c r="N71" s="82"/>
    </row>
    <row r="72" spans="2:14" ht="73.5" customHeight="1" x14ac:dyDescent="0.25">
      <c r="B72" s="83"/>
      <c r="C72" s="36" t="s">
        <v>151</v>
      </c>
      <c r="D72" s="25">
        <f>+'PAI-BMPT-Dic'!AK29</f>
        <v>1</v>
      </c>
      <c r="E72" s="25">
        <f>+'PAI-BMPT-Dic'!AL29</f>
        <v>1</v>
      </c>
      <c r="F72" s="46">
        <f t="shared" si="30"/>
        <v>1</v>
      </c>
      <c r="G72" s="83"/>
      <c r="H72" s="25">
        <f>+'PAI-BMPT-Sept'!R48</f>
        <v>0.03</v>
      </c>
      <c r="I72" s="31">
        <f t="shared" si="15"/>
        <v>0.03</v>
      </c>
      <c r="J72" s="34">
        <f t="shared" si="28"/>
        <v>0.03</v>
      </c>
      <c r="K72" s="25">
        <v>0.5</v>
      </c>
      <c r="L72" s="28">
        <f t="shared" si="17"/>
        <v>0.5</v>
      </c>
      <c r="M72" s="34">
        <f t="shared" si="29"/>
        <v>0.5</v>
      </c>
      <c r="N72" s="83"/>
    </row>
    <row r="73" spans="2:14" ht="48" customHeight="1" x14ac:dyDescent="0.25">
      <c r="B73" s="81" t="s">
        <v>46</v>
      </c>
      <c r="C73" s="36" t="s">
        <v>47</v>
      </c>
      <c r="D73" s="25">
        <f>+'PAI-BMPT-Dic'!AK7</f>
        <v>1</v>
      </c>
      <c r="E73" s="25">
        <f>+'PAI-BMPT-Dic'!AL7</f>
        <v>1</v>
      </c>
      <c r="F73" s="46">
        <f t="shared" si="30"/>
        <v>1</v>
      </c>
      <c r="G73" s="81" t="s">
        <v>50</v>
      </c>
      <c r="H73" s="25">
        <f>+'PAI-BMPT-Sept'!R7</f>
        <v>0.03</v>
      </c>
      <c r="I73" s="31">
        <f t="shared" si="15"/>
        <v>0.03</v>
      </c>
      <c r="J73" s="34">
        <f t="shared" ref="J73:J83" si="31">+I73</f>
        <v>0.03</v>
      </c>
      <c r="K73" s="25">
        <v>0.09</v>
      </c>
      <c r="L73" s="28">
        <f t="shared" si="17"/>
        <v>0.09</v>
      </c>
      <c r="M73" s="34">
        <f t="shared" ref="M73:M83" si="32">+L73</f>
        <v>0.09</v>
      </c>
      <c r="N73" s="81" t="s">
        <v>628</v>
      </c>
    </row>
    <row r="74" spans="2:14" ht="48" customHeight="1" x14ac:dyDescent="0.25">
      <c r="B74" s="82"/>
      <c r="C74" s="36" t="s">
        <v>55</v>
      </c>
      <c r="D74" s="25">
        <f>+'PAI-BMPT-Dic'!AK8</f>
        <v>1</v>
      </c>
      <c r="E74" s="25">
        <f>+'PAI-BMPT-Dic'!AL8</f>
        <v>1</v>
      </c>
      <c r="F74" s="46">
        <f t="shared" si="30"/>
        <v>1</v>
      </c>
      <c r="G74" s="82"/>
      <c r="H74" s="25">
        <f>+'PAI-BMPT-Sept'!R8</f>
        <v>0.03</v>
      </c>
      <c r="I74" s="31">
        <f t="shared" si="15"/>
        <v>0.03</v>
      </c>
      <c r="J74" s="34">
        <f t="shared" si="31"/>
        <v>0.03</v>
      </c>
      <c r="K74" s="25">
        <v>0.09</v>
      </c>
      <c r="L74" s="28">
        <f t="shared" si="17"/>
        <v>0.09</v>
      </c>
      <c r="M74" s="34">
        <f t="shared" si="32"/>
        <v>0.09</v>
      </c>
      <c r="N74" s="82"/>
    </row>
    <row r="75" spans="2:14" ht="48" customHeight="1" x14ac:dyDescent="0.25">
      <c r="B75" s="82"/>
      <c r="C75" s="36" t="s">
        <v>57</v>
      </c>
      <c r="D75" s="25">
        <f>+'PAI-BMPT-Dic'!AK9</f>
        <v>1</v>
      </c>
      <c r="E75" s="25">
        <f>+'PAI-BMPT-Dic'!AL9</f>
        <v>1</v>
      </c>
      <c r="F75" s="46">
        <f t="shared" si="30"/>
        <v>1</v>
      </c>
      <c r="G75" s="82"/>
      <c r="H75" s="25">
        <f>+'PAI-BMPT-Sept'!R9</f>
        <v>0.03</v>
      </c>
      <c r="I75" s="31">
        <f t="shared" si="15"/>
        <v>0.03</v>
      </c>
      <c r="J75" s="34">
        <f t="shared" si="31"/>
        <v>0.03</v>
      </c>
      <c r="K75" s="25">
        <v>0.09</v>
      </c>
      <c r="L75" s="28">
        <f t="shared" si="17"/>
        <v>0.09</v>
      </c>
      <c r="M75" s="34">
        <f t="shared" si="32"/>
        <v>0.09</v>
      </c>
      <c r="N75" s="82"/>
    </row>
    <row r="76" spans="2:14" ht="60" x14ac:dyDescent="0.25">
      <c r="B76" s="82"/>
      <c r="C76" s="36" t="s">
        <v>62</v>
      </c>
      <c r="D76" s="25">
        <f>+'PAI-BMPT-Dic'!AK10</f>
        <v>1</v>
      </c>
      <c r="E76" s="25">
        <f>+'PAI-BMPT-Dic'!AL10</f>
        <v>1</v>
      </c>
      <c r="F76" s="46">
        <f t="shared" si="30"/>
        <v>1</v>
      </c>
      <c r="G76" s="82"/>
      <c r="H76" s="25">
        <f>+'PAI-BMPT-Sept'!R10</f>
        <v>0.04</v>
      </c>
      <c r="I76" s="31">
        <f t="shared" si="15"/>
        <v>0.04</v>
      </c>
      <c r="J76" s="34">
        <f t="shared" si="31"/>
        <v>0.04</v>
      </c>
      <c r="K76" s="25">
        <v>0.09</v>
      </c>
      <c r="L76" s="28">
        <f t="shared" si="17"/>
        <v>0.09</v>
      </c>
      <c r="M76" s="34">
        <f t="shared" si="32"/>
        <v>0.09</v>
      </c>
      <c r="N76" s="82"/>
    </row>
    <row r="77" spans="2:14" ht="48" customHeight="1" x14ac:dyDescent="0.25">
      <c r="B77" s="82"/>
      <c r="C77" s="36" t="s">
        <v>66</v>
      </c>
      <c r="D77" s="25">
        <f>+'PAI-BMPT-Dic'!AK11</f>
        <v>1</v>
      </c>
      <c r="E77" s="25">
        <f>+'PAI-BMPT-Dic'!AL11</f>
        <v>1</v>
      </c>
      <c r="F77" s="46">
        <f t="shared" si="30"/>
        <v>1</v>
      </c>
      <c r="G77" s="82"/>
      <c r="H77" s="25">
        <f>+'PAI-BMPT-Sept'!R11</f>
        <v>0.03</v>
      </c>
      <c r="I77" s="31">
        <f t="shared" si="15"/>
        <v>0.03</v>
      </c>
      <c r="J77" s="34">
        <f t="shared" si="31"/>
        <v>0.03</v>
      </c>
      <c r="K77" s="25">
        <v>0.09</v>
      </c>
      <c r="L77" s="28">
        <f t="shared" si="17"/>
        <v>0.09</v>
      </c>
      <c r="M77" s="34">
        <f t="shared" si="32"/>
        <v>0.09</v>
      </c>
      <c r="N77" s="82"/>
    </row>
    <row r="78" spans="2:14" ht="48" customHeight="1" x14ac:dyDescent="0.25">
      <c r="B78" s="82"/>
      <c r="C78" s="36" t="s">
        <v>69</v>
      </c>
      <c r="D78" s="25">
        <f>+'PAI-BMPT-Dic'!AK12</f>
        <v>1</v>
      </c>
      <c r="E78" s="25">
        <f>+'PAI-BMPT-Dic'!AL12</f>
        <v>1</v>
      </c>
      <c r="F78" s="46">
        <f t="shared" si="30"/>
        <v>1</v>
      </c>
      <c r="G78" s="82"/>
      <c r="H78" s="25">
        <f>+'PAI-BMPT-Sept'!R12</f>
        <v>0.03</v>
      </c>
      <c r="I78" s="31">
        <f t="shared" si="15"/>
        <v>0.03</v>
      </c>
      <c r="J78" s="34">
        <f t="shared" si="31"/>
        <v>0.03</v>
      </c>
      <c r="K78" s="25">
        <v>0.09</v>
      </c>
      <c r="L78" s="28">
        <f t="shared" si="17"/>
        <v>0.09</v>
      </c>
      <c r="M78" s="34">
        <f t="shared" si="32"/>
        <v>0.09</v>
      </c>
      <c r="N78" s="82"/>
    </row>
    <row r="79" spans="2:14" ht="48" customHeight="1" x14ac:dyDescent="0.25">
      <c r="B79" s="82"/>
      <c r="C79" s="36" t="s">
        <v>71</v>
      </c>
      <c r="D79" s="25">
        <f>+'PAI-BMPT-Dic'!AK13</f>
        <v>1</v>
      </c>
      <c r="E79" s="25">
        <f>+'PAI-BMPT-Dic'!AL13</f>
        <v>0.75</v>
      </c>
      <c r="F79" s="46">
        <f t="shared" si="30"/>
        <v>0.75</v>
      </c>
      <c r="G79" s="82"/>
      <c r="H79" s="25">
        <f>+'PAI-BMPT-Sept'!R13</f>
        <v>0.03</v>
      </c>
      <c r="I79" s="31">
        <f t="shared" si="15"/>
        <v>2.2499999999999999E-2</v>
      </c>
      <c r="J79" s="34">
        <f t="shared" si="31"/>
        <v>2.2499999999999999E-2</v>
      </c>
      <c r="K79" s="25">
        <v>0.09</v>
      </c>
      <c r="L79" s="28">
        <f t="shared" si="17"/>
        <v>6.7500000000000004E-2</v>
      </c>
      <c r="M79" s="34">
        <f t="shared" si="32"/>
        <v>6.7500000000000004E-2</v>
      </c>
      <c r="N79" s="82"/>
    </row>
    <row r="80" spans="2:14" ht="48" customHeight="1" x14ac:dyDescent="0.25">
      <c r="B80" s="82"/>
      <c r="C80" s="36" t="s">
        <v>73</v>
      </c>
      <c r="D80" s="25">
        <f>+'PAI-BMPT-Dic'!AK14</f>
        <v>1</v>
      </c>
      <c r="E80" s="25">
        <f>+'PAI-BMPT-Dic'!AL14</f>
        <v>1</v>
      </c>
      <c r="F80" s="46">
        <f t="shared" si="30"/>
        <v>1</v>
      </c>
      <c r="G80" s="82"/>
      <c r="H80" s="25">
        <f>+'PAI-BMPT-Sept'!R14</f>
        <v>0.03</v>
      </c>
      <c r="I80" s="31">
        <f t="shared" si="15"/>
        <v>0.03</v>
      </c>
      <c r="J80" s="34">
        <f t="shared" si="31"/>
        <v>0.03</v>
      </c>
      <c r="K80" s="25">
        <v>0.09</v>
      </c>
      <c r="L80" s="28">
        <f t="shared" si="17"/>
        <v>0.09</v>
      </c>
      <c r="M80" s="34">
        <f t="shared" si="32"/>
        <v>0.09</v>
      </c>
      <c r="N80" s="82"/>
    </row>
    <row r="81" spans="2:14" ht="48" customHeight="1" x14ac:dyDescent="0.25">
      <c r="B81" s="82"/>
      <c r="C81" s="36" t="s">
        <v>79</v>
      </c>
      <c r="D81" s="25">
        <f>+'PAI-BMPT-Dic'!AK15</f>
        <v>1</v>
      </c>
      <c r="E81" s="25">
        <f>+'PAI-BMPT-Dic'!AL15</f>
        <v>1</v>
      </c>
      <c r="F81" s="46">
        <f t="shared" si="30"/>
        <v>1</v>
      </c>
      <c r="G81" s="82"/>
      <c r="H81" s="25">
        <f>+'PAI-BMPT-Sept'!R15</f>
        <v>0.04</v>
      </c>
      <c r="I81" s="31">
        <f t="shared" si="15"/>
        <v>0.04</v>
      </c>
      <c r="J81" s="34">
        <f t="shared" si="31"/>
        <v>0.04</v>
      </c>
      <c r="K81" s="25">
        <v>0.1</v>
      </c>
      <c r="L81" s="28">
        <f t="shared" si="17"/>
        <v>0.1</v>
      </c>
      <c r="M81" s="34">
        <f t="shared" si="32"/>
        <v>0.1</v>
      </c>
      <c r="N81" s="82"/>
    </row>
    <row r="82" spans="2:14" ht="48" customHeight="1" x14ac:dyDescent="0.25">
      <c r="B82" s="82"/>
      <c r="C82" s="36" t="s">
        <v>85</v>
      </c>
      <c r="D82" s="25">
        <f>+'PAI-BMPT-Dic'!AK16</f>
        <v>1</v>
      </c>
      <c r="E82" s="25">
        <f>+'PAI-BMPT-Dic'!AL16</f>
        <v>0.60000000000000009</v>
      </c>
      <c r="F82" s="46">
        <f t="shared" si="30"/>
        <v>0.60000000000000009</v>
      </c>
      <c r="G82" s="82"/>
      <c r="H82" s="25">
        <f>+'PAI-BMPT-Sept'!R16</f>
        <v>0.04</v>
      </c>
      <c r="I82" s="31">
        <f t="shared" si="15"/>
        <v>2.4000000000000004E-2</v>
      </c>
      <c r="J82" s="34">
        <f t="shared" si="31"/>
        <v>2.4000000000000004E-2</v>
      </c>
      <c r="K82" s="25">
        <v>0.09</v>
      </c>
      <c r="L82" s="28">
        <f t="shared" si="17"/>
        <v>5.4000000000000006E-2</v>
      </c>
      <c r="M82" s="34">
        <f t="shared" si="32"/>
        <v>5.4000000000000006E-2</v>
      </c>
      <c r="N82" s="82"/>
    </row>
    <row r="83" spans="2:14" ht="48" customHeight="1" x14ac:dyDescent="0.25">
      <c r="B83" s="83"/>
      <c r="C83" s="36" t="s">
        <v>90</v>
      </c>
      <c r="D83" s="25">
        <f>+'PAI-BMPT-Dic'!AK17</f>
        <v>1</v>
      </c>
      <c r="E83" s="25">
        <f>+'PAI-BMPT-Dic'!AL17</f>
        <v>1</v>
      </c>
      <c r="F83" s="47">
        <f t="shared" si="30"/>
        <v>1</v>
      </c>
      <c r="G83" s="83"/>
      <c r="H83" s="25">
        <f>+'PAI-BMPT-Sept'!R17</f>
        <v>0.03</v>
      </c>
      <c r="I83" s="31">
        <f t="shared" si="15"/>
        <v>0.03</v>
      </c>
      <c r="J83" s="34">
        <f t="shared" si="31"/>
        <v>0.03</v>
      </c>
      <c r="K83" s="25">
        <v>0.09</v>
      </c>
      <c r="L83" s="28">
        <f t="shared" si="17"/>
        <v>0.09</v>
      </c>
      <c r="M83" s="34">
        <f t="shared" si="32"/>
        <v>0.09</v>
      </c>
      <c r="N83" s="83"/>
    </row>
    <row r="84" spans="2:14" ht="22.5" customHeight="1" x14ac:dyDescent="0.25">
      <c r="B84" s="26"/>
      <c r="C84" s="37"/>
      <c r="D84" s="27"/>
      <c r="E84" s="27"/>
      <c r="F84" s="63"/>
      <c r="G84" s="26"/>
      <c r="H84" s="27"/>
      <c r="I84" s="64"/>
      <c r="J84" s="65"/>
      <c r="K84" s="27"/>
      <c r="L84" s="64"/>
      <c r="M84" s="65"/>
      <c r="N84" s="26"/>
    </row>
    <row r="85" spans="2:14" ht="22.5" customHeight="1" x14ac:dyDescent="0.25"/>
    <row r="86" spans="2:14" ht="15.75" x14ac:dyDescent="0.25">
      <c r="C86" s="84" t="s">
        <v>4</v>
      </c>
      <c r="D86" s="85"/>
    </row>
    <row r="87" spans="2:14" x14ac:dyDescent="0.25">
      <c r="C87" s="43" t="s">
        <v>403</v>
      </c>
      <c r="D87" s="43" t="s">
        <v>404</v>
      </c>
    </row>
    <row r="88" spans="2:14" ht="33.75" x14ac:dyDescent="0.25">
      <c r="C88" s="44">
        <f>+SUM('PAI-BMPT-Dic'!AK7:AK76)/70</f>
        <v>1</v>
      </c>
      <c r="D88" s="44">
        <f>+SUM('PAI-BMPT-Dic'!AL7:AL76)/70</f>
        <v>0.8948571428571428</v>
      </c>
      <c r="E88" s="47">
        <f>+D88/C88</f>
        <v>0.8948571428571428</v>
      </c>
    </row>
  </sheetData>
  <mergeCells count="36">
    <mergeCell ref="B69:B72"/>
    <mergeCell ref="G69:G72"/>
    <mergeCell ref="N69:N72"/>
    <mergeCell ref="B73:B83"/>
    <mergeCell ref="G73:G83"/>
    <mergeCell ref="N15:N36"/>
    <mergeCell ref="B5:B11"/>
    <mergeCell ref="B55:B60"/>
    <mergeCell ref="G55:G60"/>
    <mergeCell ref="G41:G42"/>
    <mergeCell ref="B47:B48"/>
    <mergeCell ref="G47:G48"/>
    <mergeCell ref="B49:B50"/>
    <mergeCell ref="G49:G50"/>
    <mergeCell ref="B13:B14"/>
    <mergeCell ref="B15:B36"/>
    <mergeCell ref="B41:B42"/>
    <mergeCell ref="G25:G30"/>
    <mergeCell ref="G32:G33"/>
    <mergeCell ref="G34:G36"/>
    <mergeCell ref="B1:N1"/>
    <mergeCell ref="B61:B68"/>
    <mergeCell ref="G61:G68"/>
    <mergeCell ref="C86:D86"/>
    <mergeCell ref="N73:N83"/>
    <mergeCell ref="N5:N11"/>
    <mergeCell ref="N13:N14"/>
    <mergeCell ref="N46:N50"/>
    <mergeCell ref="N55:N60"/>
    <mergeCell ref="N61:N68"/>
    <mergeCell ref="N41:N42"/>
    <mergeCell ref="G5:G6"/>
    <mergeCell ref="G9:G10"/>
    <mergeCell ref="G7:G8"/>
    <mergeCell ref="G15:G16"/>
    <mergeCell ref="G17:G24"/>
  </mergeCells>
  <conditionalFormatting sqref="M5:M37 M54">
    <cfRule type="dataBar" priority="186">
      <dataBar showValue="0">
        <cfvo type="num" val="0"/>
        <cfvo type="num" val="1"/>
        <color rgb="FF008AEF"/>
      </dataBar>
      <extLst>
        <ext xmlns:x14="http://schemas.microsoft.com/office/spreadsheetml/2009/9/main" uri="{B025F937-C7B1-47D3-B67F-A62EFF666E3E}">
          <x14:id>{53DCAF56-83A0-4225-9F31-1F5CD0BD2B1A}</x14:id>
        </ext>
      </extLst>
    </cfRule>
  </conditionalFormatting>
  <conditionalFormatting sqref="J5:J6">
    <cfRule type="dataBar" priority="185">
      <dataBar showValue="0">
        <cfvo type="num" val="0"/>
        <cfvo type="num" val="1"/>
        <color rgb="FF00B050"/>
      </dataBar>
      <extLst>
        <ext xmlns:x14="http://schemas.microsoft.com/office/spreadsheetml/2009/9/main" uri="{B025F937-C7B1-47D3-B67F-A62EFF666E3E}">
          <x14:id>{34F10112-9D4D-455B-BD69-1B6265B58E06}</x14:id>
        </ext>
      </extLst>
    </cfRule>
  </conditionalFormatting>
  <conditionalFormatting sqref="M41">
    <cfRule type="dataBar" priority="182">
      <dataBar showValue="0">
        <cfvo type="num" val="0"/>
        <cfvo type="num" val="1"/>
        <color rgb="FF008AEF"/>
      </dataBar>
      <extLst>
        <ext xmlns:x14="http://schemas.microsoft.com/office/spreadsheetml/2009/9/main" uri="{B025F937-C7B1-47D3-B67F-A62EFF666E3E}">
          <x14:id>{74FB42B5-2AAD-4217-8D3D-57107543C4D0}</x14:id>
        </ext>
      </extLst>
    </cfRule>
  </conditionalFormatting>
  <conditionalFormatting sqref="M42">
    <cfRule type="dataBar" priority="181">
      <dataBar showValue="0">
        <cfvo type="num" val="0"/>
        <cfvo type="num" val="1"/>
        <color rgb="FF008AEF"/>
      </dataBar>
      <extLst>
        <ext xmlns:x14="http://schemas.microsoft.com/office/spreadsheetml/2009/9/main" uri="{B025F937-C7B1-47D3-B67F-A62EFF666E3E}">
          <x14:id>{75C8FB59-3AFF-46DC-9E82-12E537DEDAA2}</x14:id>
        </ext>
      </extLst>
    </cfRule>
  </conditionalFormatting>
  <conditionalFormatting sqref="M46">
    <cfRule type="dataBar" priority="178">
      <dataBar showValue="0">
        <cfvo type="num" val="0"/>
        <cfvo type="num" val="1"/>
        <color rgb="FF008AEF"/>
      </dataBar>
      <extLst>
        <ext xmlns:x14="http://schemas.microsoft.com/office/spreadsheetml/2009/9/main" uri="{B025F937-C7B1-47D3-B67F-A62EFF666E3E}">
          <x14:id>{FF8BCD7B-4C5A-44F7-8CE4-EB89B2870652}</x14:id>
        </ext>
      </extLst>
    </cfRule>
  </conditionalFormatting>
  <conditionalFormatting sqref="M47:M48">
    <cfRule type="dataBar" priority="175">
      <dataBar showValue="0">
        <cfvo type="num" val="0"/>
        <cfvo type="num" val="1"/>
        <color rgb="FF008AEF"/>
      </dataBar>
      <extLst>
        <ext xmlns:x14="http://schemas.microsoft.com/office/spreadsheetml/2009/9/main" uri="{B025F937-C7B1-47D3-B67F-A62EFF666E3E}">
          <x14:id>{D8B94292-5210-4363-A435-30A6028AFEB9}</x14:id>
        </ext>
      </extLst>
    </cfRule>
  </conditionalFormatting>
  <conditionalFormatting sqref="M50">
    <cfRule type="dataBar" priority="171">
      <dataBar showValue="0">
        <cfvo type="num" val="0"/>
        <cfvo type="num" val="1"/>
        <color rgb="FF008AEF"/>
      </dataBar>
      <extLst>
        <ext xmlns:x14="http://schemas.microsoft.com/office/spreadsheetml/2009/9/main" uri="{B025F937-C7B1-47D3-B67F-A62EFF666E3E}">
          <x14:id>{D42C3D3D-AEFC-42A3-816A-77A1698F7159}</x14:id>
        </ext>
      </extLst>
    </cfRule>
  </conditionalFormatting>
  <conditionalFormatting sqref="M49">
    <cfRule type="dataBar" priority="172">
      <dataBar showValue="0">
        <cfvo type="num" val="0"/>
        <cfvo type="num" val="1"/>
        <color rgb="FF008AEF"/>
      </dataBar>
      <extLst>
        <ext xmlns:x14="http://schemas.microsoft.com/office/spreadsheetml/2009/9/main" uri="{B025F937-C7B1-47D3-B67F-A62EFF666E3E}">
          <x14:id>{9DC43EE9-F1DB-40A6-A3B8-0082C444F572}</x14:id>
        </ext>
      </extLst>
    </cfRule>
  </conditionalFormatting>
  <conditionalFormatting sqref="M55">
    <cfRule type="dataBar" priority="161">
      <dataBar showValue="0">
        <cfvo type="num" val="0"/>
        <cfvo type="num" val="1"/>
        <color rgb="FF008AEF"/>
      </dataBar>
      <extLst>
        <ext xmlns:x14="http://schemas.microsoft.com/office/spreadsheetml/2009/9/main" uri="{B025F937-C7B1-47D3-B67F-A62EFF666E3E}">
          <x14:id>{68D2819D-FAFD-4648-A8FD-9283848C3C6F}</x14:id>
        </ext>
      </extLst>
    </cfRule>
  </conditionalFormatting>
  <conditionalFormatting sqref="M56">
    <cfRule type="dataBar" priority="160">
      <dataBar showValue="0">
        <cfvo type="num" val="0"/>
        <cfvo type="num" val="1"/>
        <color rgb="FF008AEF"/>
      </dataBar>
      <extLst>
        <ext xmlns:x14="http://schemas.microsoft.com/office/spreadsheetml/2009/9/main" uri="{B025F937-C7B1-47D3-B67F-A62EFF666E3E}">
          <x14:id>{CF268B99-C2A2-45E6-AE69-4C4BE7822F85}</x14:id>
        </ext>
      </extLst>
    </cfRule>
  </conditionalFormatting>
  <conditionalFormatting sqref="M57">
    <cfRule type="dataBar" priority="159">
      <dataBar showValue="0">
        <cfvo type="num" val="0"/>
        <cfvo type="num" val="1"/>
        <color rgb="FF008AEF"/>
      </dataBar>
      <extLst>
        <ext xmlns:x14="http://schemas.microsoft.com/office/spreadsheetml/2009/9/main" uri="{B025F937-C7B1-47D3-B67F-A62EFF666E3E}">
          <x14:id>{9765EFBE-0A2F-4D0D-A71F-49E71E0676D7}</x14:id>
        </ext>
      </extLst>
    </cfRule>
  </conditionalFormatting>
  <conditionalFormatting sqref="M58">
    <cfRule type="dataBar" priority="158">
      <dataBar showValue="0">
        <cfvo type="num" val="0"/>
        <cfvo type="num" val="1"/>
        <color rgb="FF008AEF"/>
      </dataBar>
      <extLst>
        <ext xmlns:x14="http://schemas.microsoft.com/office/spreadsheetml/2009/9/main" uri="{B025F937-C7B1-47D3-B67F-A62EFF666E3E}">
          <x14:id>{781EED81-7E42-4B68-A157-E58EF4591DF9}</x14:id>
        </ext>
      </extLst>
    </cfRule>
  </conditionalFormatting>
  <conditionalFormatting sqref="M59">
    <cfRule type="dataBar" priority="157">
      <dataBar showValue="0">
        <cfvo type="num" val="0"/>
        <cfvo type="num" val="1"/>
        <color rgb="FF008AEF"/>
      </dataBar>
      <extLst>
        <ext xmlns:x14="http://schemas.microsoft.com/office/spreadsheetml/2009/9/main" uri="{B025F937-C7B1-47D3-B67F-A62EFF666E3E}">
          <x14:id>{112E89D6-B8B3-4D15-9671-DDBD95290D43}</x14:id>
        </ext>
      </extLst>
    </cfRule>
  </conditionalFormatting>
  <conditionalFormatting sqref="M60">
    <cfRule type="dataBar" priority="156">
      <dataBar showValue="0">
        <cfvo type="num" val="0"/>
        <cfvo type="num" val="1"/>
        <color rgb="FF008AEF"/>
      </dataBar>
      <extLst>
        <ext xmlns:x14="http://schemas.microsoft.com/office/spreadsheetml/2009/9/main" uri="{B025F937-C7B1-47D3-B67F-A62EFF666E3E}">
          <x14:id>{4B2E2D29-2CCE-40DC-AD19-6F1CDEDC3665}</x14:id>
        </ext>
      </extLst>
    </cfRule>
  </conditionalFormatting>
  <conditionalFormatting sqref="M61:M68">
    <cfRule type="dataBar" priority="147">
      <dataBar showValue="0">
        <cfvo type="num" val="0"/>
        <cfvo type="num" val="1"/>
        <color rgb="FF008AEF"/>
      </dataBar>
      <extLst>
        <ext xmlns:x14="http://schemas.microsoft.com/office/spreadsheetml/2009/9/main" uri="{B025F937-C7B1-47D3-B67F-A62EFF666E3E}">
          <x14:id>{2E93B0C0-19AC-403F-A4BE-55105D1D4041}</x14:id>
        </ext>
      </extLst>
    </cfRule>
  </conditionalFormatting>
  <conditionalFormatting sqref="M69:M71">
    <cfRule type="dataBar" priority="145">
      <dataBar showValue="0">
        <cfvo type="num" val="0"/>
        <cfvo type="num" val="1"/>
        <color rgb="FF008AEF"/>
      </dataBar>
      <extLst>
        <ext xmlns:x14="http://schemas.microsoft.com/office/spreadsheetml/2009/9/main" uri="{B025F937-C7B1-47D3-B67F-A62EFF666E3E}">
          <x14:id>{BF7615F6-6C12-452C-AF6B-672FD731FBEC}</x14:id>
        </ext>
      </extLst>
    </cfRule>
  </conditionalFormatting>
  <conditionalFormatting sqref="M73:M84">
    <cfRule type="dataBar" priority="143">
      <dataBar showValue="0">
        <cfvo type="num" val="0"/>
        <cfvo type="num" val="1"/>
        <color rgb="FF008AEF"/>
      </dataBar>
      <extLst>
        <ext xmlns:x14="http://schemas.microsoft.com/office/spreadsheetml/2009/9/main" uri="{B025F937-C7B1-47D3-B67F-A62EFF666E3E}">
          <x14:id>{286B966F-71E0-4BDE-9617-82547DA0F29D}</x14:id>
        </ext>
      </extLst>
    </cfRule>
  </conditionalFormatting>
  <conditionalFormatting sqref="F8:F20">
    <cfRule type="iconSet" priority="139">
      <iconSet iconSet="3Symbols" showValue="0">
        <cfvo type="percent" val="0"/>
        <cfvo type="percent" val="76"/>
        <cfvo type="percent" val="80"/>
      </iconSet>
    </cfRule>
  </conditionalFormatting>
  <conditionalFormatting sqref="F8:F10">
    <cfRule type="iconSet" priority="132">
      <iconSet iconSet="3Symbols" showValue="0">
        <cfvo type="percent" val="0"/>
        <cfvo type="percent" val="76"/>
        <cfvo type="percent" val="80"/>
      </iconSet>
    </cfRule>
  </conditionalFormatting>
  <conditionalFormatting sqref="F9:F20">
    <cfRule type="iconSet" priority="131">
      <iconSet iconSet="3Symbols" showValue="0">
        <cfvo type="percent" val="0"/>
        <cfvo type="percent" val="76"/>
        <cfvo type="percent" val="80"/>
      </iconSet>
    </cfRule>
  </conditionalFormatting>
  <conditionalFormatting sqref="F22:F24 F27">
    <cfRule type="iconSet" priority="126">
      <iconSet iconSet="3Symbols" showValue="0">
        <cfvo type="percent" val="0"/>
        <cfvo type="percent" val="76"/>
        <cfvo type="percent" val="80"/>
      </iconSet>
    </cfRule>
  </conditionalFormatting>
  <conditionalFormatting sqref="F28">
    <cfRule type="iconSet" priority="125">
      <iconSet iconSet="3Symbols" showValue="0">
        <cfvo type="percent" val="0"/>
        <cfvo type="percent" val="76"/>
        <cfvo type="percent" val="80"/>
      </iconSet>
    </cfRule>
  </conditionalFormatting>
  <conditionalFormatting sqref="F29">
    <cfRule type="iconSet" priority="124">
      <iconSet iconSet="3Symbols" showValue="0">
        <cfvo type="percent" val="0"/>
        <cfvo type="percent" val="76"/>
        <cfvo type="percent" val="80"/>
      </iconSet>
    </cfRule>
  </conditionalFormatting>
  <conditionalFormatting sqref="F31:F32">
    <cfRule type="iconSet" priority="123">
      <iconSet iconSet="3Symbols" showValue="0">
        <cfvo type="percent" val="0"/>
        <cfvo type="percent" val="76"/>
        <cfvo type="percent" val="80"/>
      </iconSet>
    </cfRule>
  </conditionalFormatting>
  <conditionalFormatting sqref="F33">
    <cfRule type="iconSet" priority="122">
      <iconSet iconSet="3Symbols" showValue="0">
        <cfvo type="percent" val="0"/>
        <cfvo type="percent" val="76"/>
        <cfvo type="percent" val="80"/>
      </iconSet>
    </cfRule>
  </conditionalFormatting>
  <conditionalFormatting sqref="F34:F37">
    <cfRule type="iconSet" priority="121">
      <iconSet iconSet="3Symbols" showValue="0">
        <cfvo type="percent" val="0"/>
        <cfvo type="percent" val="76"/>
        <cfvo type="percent" val="80"/>
      </iconSet>
    </cfRule>
  </conditionalFormatting>
  <conditionalFormatting sqref="F41:F42">
    <cfRule type="iconSet" priority="120">
      <iconSet iconSet="3Symbols" showValue="0">
        <cfvo type="percent" val="0"/>
        <cfvo type="percent" val="76"/>
        <cfvo type="percent" val="80"/>
      </iconSet>
    </cfRule>
  </conditionalFormatting>
  <conditionalFormatting sqref="F46:F50">
    <cfRule type="iconSet" priority="119">
      <iconSet iconSet="3Symbols" showValue="0">
        <cfvo type="percent" val="0"/>
        <cfvo type="percent" val="76"/>
        <cfvo type="percent" val="80"/>
      </iconSet>
    </cfRule>
  </conditionalFormatting>
  <conditionalFormatting sqref="F74:F84">
    <cfRule type="iconSet" priority="117">
      <iconSet iconSet="3Symbols" showValue="0">
        <cfvo type="percent" val="0"/>
        <cfvo type="percent" val="76"/>
        <cfvo type="percent" val="80"/>
      </iconSet>
    </cfRule>
  </conditionalFormatting>
  <conditionalFormatting sqref="F19">
    <cfRule type="iconSet" priority="113">
      <iconSet iconSet="3Symbols" showValue="0">
        <cfvo type="percent" val="0"/>
        <cfvo type="percent" val="33"/>
        <cfvo type="percent" val="67"/>
      </iconSet>
    </cfRule>
  </conditionalFormatting>
  <conditionalFormatting sqref="F62">
    <cfRule type="iconSet" priority="111">
      <iconSet iconSet="3Symbols" showValue="0">
        <cfvo type="percent" val="0"/>
        <cfvo type="percent" val="76"/>
        <cfvo type="percent" val="80"/>
      </iconSet>
    </cfRule>
  </conditionalFormatting>
  <conditionalFormatting sqref="F73 F54:F61 F65:F71">
    <cfRule type="iconSet" priority="187">
      <iconSet iconSet="3Symbols" showValue="0">
        <cfvo type="percent" val="0"/>
        <cfvo type="percent" val="76"/>
        <cfvo type="percent" val="80"/>
      </iconSet>
    </cfRule>
  </conditionalFormatting>
  <conditionalFormatting sqref="F69">
    <cfRule type="iconSet" priority="198">
      <iconSet iconSet="3Symbols">
        <cfvo type="percent" val="0"/>
        <cfvo type="percent" val="0"/>
        <cfvo type="percent" val="2"/>
      </iconSet>
    </cfRule>
  </conditionalFormatting>
  <conditionalFormatting sqref="F65">
    <cfRule type="iconSet" priority="66">
      <iconSet iconSet="3Symbols" showValue="0">
        <cfvo type="percent" val="0"/>
        <cfvo type="percent" val="76"/>
        <cfvo type="percent" val="80"/>
      </iconSet>
    </cfRule>
    <cfRule type="iconSet" priority="199">
      <iconSet iconSet="3Symbols" showValue="0">
        <cfvo type="percent" val="0"/>
        <cfvo type="percent" val="33"/>
        <cfvo type="percent" val="67"/>
      </iconSet>
    </cfRule>
  </conditionalFormatting>
  <conditionalFormatting sqref="F72">
    <cfRule type="iconSet" priority="92">
      <iconSet iconSet="3Symbols" showValue="0">
        <cfvo type="percent" val="0"/>
        <cfvo type="percent" val="76"/>
        <cfvo type="percent" val="80"/>
      </iconSet>
    </cfRule>
  </conditionalFormatting>
  <conditionalFormatting sqref="M72">
    <cfRule type="dataBar" priority="90">
      <dataBar showValue="0">
        <cfvo type="num" val="0"/>
        <cfvo type="num" val="1"/>
        <color rgb="FF008AEF"/>
      </dataBar>
      <extLst>
        <ext xmlns:x14="http://schemas.microsoft.com/office/spreadsheetml/2009/9/main" uri="{B025F937-C7B1-47D3-B67F-A62EFF666E3E}">
          <x14:id>{48576BBF-6B92-4754-9B46-F37B22E6D886}</x14:id>
        </ext>
      </extLst>
    </cfRule>
  </conditionalFormatting>
  <conditionalFormatting sqref="F6">
    <cfRule type="iconSet" priority="89">
      <iconSet iconSet="3Symbols" showValue="0">
        <cfvo type="percent" val="0"/>
        <cfvo type="percent" val="76"/>
        <cfvo type="percent" val="80"/>
      </iconSet>
    </cfRule>
  </conditionalFormatting>
  <conditionalFormatting sqref="F5">
    <cfRule type="iconSet" priority="88">
      <iconSet iconSet="3Symbols" showValue="0">
        <cfvo type="percent" val="0"/>
        <cfvo type="percent" val="76"/>
        <cfvo type="percent" val="80"/>
      </iconSet>
    </cfRule>
  </conditionalFormatting>
  <conditionalFormatting sqref="F9">
    <cfRule type="iconSet" priority="84">
      <iconSet iconSet="3Symbols" showValue="0">
        <cfvo type="percent" val="0"/>
        <cfvo type="percent" val="76"/>
        <cfvo type="percent" val="80"/>
      </iconSet>
    </cfRule>
  </conditionalFormatting>
  <conditionalFormatting sqref="F11">
    <cfRule type="iconSet" priority="83">
      <iconSet iconSet="3Symbols" showValue="0">
        <cfvo type="percent" val="0"/>
        <cfvo type="percent" val="76"/>
        <cfvo type="percent" val="80"/>
      </iconSet>
    </cfRule>
  </conditionalFormatting>
  <conditionalFormatting sqref="F12">
    <cfRule type="iconSet" priority="82">
      <iconSet iconSet="3Symbols" showValue="0">
        <cfvo type="percent" val="0"/>
        <cfvo type="percent" val="76"/>
        <cfvo type="percent" val="80"/>
      </iconSet>
    </cfRule>
  </conditionalFormatting>
  <conditionalFormatting sqref="F13">
    <cfRule type="iconSet" priority="81">
      <iconSet iconSet="3Symbols" showValue="0">
        <cfvo type="percent" val="0"/>
        <cfvo type="percent" val="76"/>
        <cfvo type="percent" val="80"/>
      </iconSet>
    </cfRule>
  </conditionalFormatting>
  <conditionalFormatting sqref="F14">
    <cfRule type="iconSet" priority="80">
      <iconSet iconSet="3Symbols" showValue="0">
        <cfvo type="percent" val="0"/>
        <cfvo type="percent" val="76"/>
        <cfvo type="percent" val="80"/>
      </iconSet>
    </cfRule>
  </conditionalFormatting>
  <conditionalFormatting sqref="F15">
    <cfRule type="iconSet" priority="79">
      <iconSet iconSet="3Symbols" showValue="0">
        <cfvo type="percent" val="0"/>
        <cfvo type="percent" val="76"/>
        <cfvo type="percent" val="80"/>
      </iconSet>
    </cfRule>
  </conditionalFormatting>
  <conditionalFormatting sqref="F17">
    <cfRule type="iconSet" priority="78">
      <iconSet iconSet="3Symbols" showValue="0">
        <cfvo type="percent" val="0"/>
        <cfvo type="percent" val="76"/>
        <cfvo type="percent" val="80"/>
      </iconSet>
    </cfRule>
  </conditionalFormatting>
  <conditionalFormatting sqref="F18">
    <cfRule type="iconSet" priority="77">
      <iconSet iconSet="3Symbols" showValue="0">
        <cfvo type="percent" val="0"/>
        <cfvo type="percent" val="76"/>
        <cfvo type="percent" val="80"/>
      </iconSet>
    </cfRule>
  </conditionalFormatting>
  <conditionalFormatting sqref="F20">
    <cfRule type="iconSet" priority="76">
      <iconSet iconSet="3Symbols" showValue="0">
        <cfvo type="percent" val="0"/>
        <cfvo type="percent" val="76"/>
        <cfvo type="percent" val="80"/>
      </iconSet>
    </cfRule>
  </conditionalFormatting>
  <conditionalFormatting sqref="F48">
    <cfRule type="iconSet" priority="68">
      <iconSet iconSet="3Symbols" showValue="0">
        <cfvo type="percent" val="0"/>
        <cfvo type="percent" val="76"/>
        <cfvo type="percent" val="80"/>
      </iconSet>
    </cfRule>
  </conditionalFormatting>
  <conditionalFormatting sqref="F57">
    <cfRule type="iconSet" priority="67">
      <iconSet iconSet="3Symbols" showValue="0">
        <cfvo type="percent" val="0"/>
        <cfvo type="percent" val="76"/>
        <cfvo type="percent" val="80"/>
      </iconSet>
    </cfRule>
  </conditionalFormatting>
  <conditionalFormatting sqref="F67">
    <cfRule type="iconSet" priority="58">
      <iconSet iconSet="3Symbols" showValue="0">
        <cfvo type="percent" val="0"/>
        <cfvo type="percent" val="76"/>
        <cfvo type="percent" val="80"/>
      </iconSet>
    </cfRule>
  </conditionalFormatting>
  <conditionalFormatting sqref="J7">
    <cfRule type="dataBar" priority="42">
      <dataBar showValue="0">
        <cfvo type="num" val="0"/>
        <cfvo type="num" val="1"/>
        <color rgb="FF00B050"/>
      </dataBar>
      <extLst>
        <ext xmlns:x14="http://schemas.microsoft.com/office/spreadsheetml/2009/9/main" uri="{B025F937-C7B1-47D3-B67F-A62EFF666E3E}">
          <x14:id>{C484AF4C-CE36-4E0E-BC28-D63D045E2AFD}</x14:id>
        </ext>
      </extLst>
    </cfRule>
  </conditionalFormatting>
  <conditionalFormatting sqref="J8:J12">
    <cfRule type="dataBar" priority="41">
      <dataBar showValue="0">
        <cfvo type="num" val="0"/>
        <cfvo type="num" val="1"/>
        <color rgb="FF00B050"/>
      </dataBar>
      <extLst>
        <ext xmlns:x14="http://schemas.microsoft.com/office/spreadsheetml/2009/9/main" uri="{B025F937-C7B1-47D3-B67F-A62EFF666E3E}">
          <x14:id>{96871A90-8BD7-4D03-B58D-A62FD31A778A}</x14:id>
        </ext>
      </extLst>
    </cfRule>
  </conditionalFormatting>
  <conditionalFormatting sqref="J13:J19">
    <cfRule type="dataBar" priority="40">
      <dataBar showValue="0">
        <cfvo type="num" val="0"/>
        <cfvo type="num" val="1"/>
        <color rgb="FF00B050"/>
      </dataBar>
      <extLst>
        <ext xmlns:x14="http://schemas.microsoft.com/office/spreadsheetml/2009/9/main" uri="{B025F937-C7B1-47D3-B67F-A62EFF666E3E}">
          <x14:id>{56079962-B47B-4CED-BF96-20B72D23AAE0}</x14:id>
        </ext>
      </extLst>
    </cfRule>
  </conditionalFormatting>
  <conditionalFormatting sqref="J20:J29">
    <cfRule type="dataBar" priority="39">
      <dataBar showValue="0">
        <cfvo type="num" val="0"/>
        <cfvo type="num" val="1"/>
        <color rgb="FF00B050"/>
      </dataBar>
      <extLst>
        <ext xmlns:x14="http://schemas.microsoft.com/office/spreadsheetml/2009/9/main" uri="{B025F937-C7B1-47D3-B67F-A62EFF666E3E}">
          <x14:id>{773562F0-1573-455B-A501-F14A9F42A770}</x14:id>
        </ext>
      </extLst>
    </cfRule>
  </conditionalFormatting>
  <conditionalFormatting sqref="J30:J37">
    <cfRule type="dataBar" priority="38">
      <dataBar showValue="0">
        <cfvo type="num" val="0"/>
        <cfvo type="num" val="1"/>
        <color rgb="FF00B050"/>
      </dataBar>
      <extLst>
        <ext xmlns:x14="http://schemas.microsoft.com/office/spreadsheetml/2009/9/main" uri="{B025F937-C7B1-47D3-B67F-A62EFF666E3E}">
          <x14:id>{235C5CBE-7E84-4378-B961-C1149D5C6143}</x14:id>
        </ext>
      </extLst>
    </cfRule>
  </conditionalFormatting>
  <conditionalFormatting sqref="J41:J42">
    <cfRule type="dataBar" priority="37">
      <dataBar showValue="0">
        <cfvo type="num" val="0"/>
        <cfvo type="num" val="1"/>
        <color rgb="FF00B050"/>
      </dataBar>
      <extLst>
        <ext xmlns:x14="http://schemas.microsoft.com/office/spreadsheetml/2009/9/main" uri="{B025F937-C7B1-47D3-B67F-A62EFF666E3E}">
          <x14:id>{76CC1D7B-D957-4BB0-9055-077DB0676F0E}</x14:id>
        </ext>
      </extLst>
    </cfRule>
  </conditionalFormatting>
  <conditionalFormatting sqref="J46:J50">
    <cfRule type="dataBar" priority="36">
      <dataBar showValue="0">
        <cfvo type="num" val="0"/>
        <cfvo type="num" val="1"/>
        <color rgb="FF00B050"/>
      </dataBar>
      <extLst>
        <ext xmlns:x14="http://schemas.microsoft.com/office/spreadsheetml/2009/9/main" uri="{B025F937-C7B1-47D3-B67F-A62EFF666E3E}">
          <x14:id>{201DACA5-88EE-483F-BCEA-211449BDE237}</x14:id>
        </ext>
      </extLst>
    </cfRule>
  </conditionalFormatting>
  <conditionalFormatting sqref="J54:J84">
    <cfRule type="dataBar" priority="35">
      <dataBar showValue="0">
        <cfvo type="num" val="0"/>
        <cfvo type="num" val="1"/>
        <color rgb="FF00B050"/>
      </dataBar>
      <extLst>
        <ext xmlns:x14="http://schemas.microsoft.com/office/spreadsheetml/2009/9/main" uri="{B025F937-C7B1-47D3-B67F-A62EFF666E3E}">
          <x14:id>{B3690F49-088F-4AA3-BE06-72F4888785DA}</x14:id>
        </ext>
      </extLst>
    </cfRule>
  </conditionalFormatting>
  <conditionalFormatting sqref="F32">
    <cfRule type="iconSet" priority="34">
      <iconSet iconSet="3Symbols">
        <cfvo type="percent" val="0"/>
        <cfvo type="percent" val="76"/>
        <cfvo type="percent" val="80"/>
      </iconSet>
    </cfRule>
  </conditionalFormatting>
  <conditionalFormatting sqref="F47">
    <cfRule type="iconSet" priority="33">
      <iconSet iconSet="3Symbols" showValue="0">
        <cfvo type="percent" val="0"/>
        <cfvo type="percent" val="76"/>
        <cfvo type="percent" val="80"/>
      </iconSet>
    </cfRule>
  </conditionalFormatting>
  <conditionalFormatting sqref="F50">
    <cfRule type="iconSet" priority="32">
      <iconSet iconSet="3Symbols">
        <cfvo type="percent" val="0"/>
        <cfvo type="percent" val="76"/>
        <cfvo type="percent" val="80"/>
      </iconSet>
    </cfRule>
  </conditionalFormatting>
  <conditionalFormatting sqref="E88">
    <cfRule type="iconSet" priority="202">
      <iconSet iconSet="3Symbols" showValue="0">
        <cfvo type="percent" val="0"/>
        <cfvo type="percent" val="76"/>
        <cfvo type="percent" val="80"/>
      </iconSet>
    </cfRule>
  </conditionalFormatting>
  <conditionalFormatting sqref="F21">
    <cfRule type="iconSet" priority="19">
      <iconSet iconSet="3Symbols" showValue="0">
        <cfvo type="percent" val="0"/>
        <cfvo type="percent" val="76"/>
        <cfvo type="percent" val="80"/>
      </iconSet>
    </cfRule>
  </conditionalFormatting>
  <conditionalFormatting sqref="F21">
    <cfRule type="iconSet" priority="18">
      <iconSet iconSet="3Symbols" showValue="0">
        <cfvo type="percent" val="0"/>
        <cfvo type="percent" val="76"/>
        <cfvo type="percent" val="80"/>
      </iconSet>
    </cfRule>
  </conditionalFormatting>
  <conditionalFormatting sqref="F21">
    <cfRule type="iconSet" priority="17">
      <iconSet iconSet="3Symbols" showValue="0">
        <cfvo type="percent" val="0"/>
        <cfvo type="percent" val="76"/>
        <cfvo type="percent" val="80"/>
      </iconSet>
    </cfRule>
  </conditionalFormatting>
  <conditionalFormatting sqref="F25">
    <cfRule type="iconSet" priority="16">
      <iconSet iconSet="3Symbols" showValue="0">
        <cfvo type="percent" val="0"/>
        <cfvo type="percent" val="76"/>
        <cfvo type="percent" val="80"/>
      </iconSet>
    </cfRule>
  </conditionalFormatting>
  <conditionalFormatting sqref="F25">
    <cfRule type="iconSet" priority="15">
      <iconSet iconSet="3Symbols" showValue="0">
        <cfvo type="percent" val="0"/>
        <cfvo type="percent" val="76"/>
        <cfvo type="percent" val="80"/>
      </iconSet>
    </cfRule>
  </conditionalFormatting>
  <conditionalFormatting sqref="F25">
    <cfRule type="iconSet" priority="14">
      <iconSet iconSet="3Symbols" showValue="0">
        <cfvo type="percent" val="0"/>
        <cfvo type="percent" val="76"/>
        <cfvo type="percent" val="80"/>
      </iconSet>
    </cfRule>
  </conditionalFormatting>
  <conditionalFormatting sqref="F26">
    <cfRule type="iconSet" priority="13">
      <iconSet iconSet="3Symbols" showValue="0">
        <cfvo type="percent" val="0"/>
        <cfvo type="percent" val="76"/>
        <cfvo type="percent" val="80"/>
      </iconSet>
    </cfRule>
  </conditionalFormatting>
  <conditionalFormatting sqref="F26">
    <cfRule type="iconSet" priority="12">
      <iconSet iconSet="3Symbols" showValue="0">
        <cfvo type="percent" val="0"/>
        <cfvo type="percent" val="76"/>
        <cfvo type="percent" val="80"/>
      </iconSet>
    </cfRule>
  </conditionalFormatting>
  <conditionalFormatting sqref="F26">
    <cfRule type="iconSet" priority="11">
      <iconSet iconSet="3Symbols" showValue="0">
        <cfvo type="percent" val="0"/>
        <cfvo type="percent" val="76"/>
        <cfvo type="percent" val="80"/>
      </iconSet>
    </cfRule>
  </conditionalFormatting>
  <conditionalFormatting sqref="F30">
    <cfRule type="iconSet" priority="10">
      <iconSet iconSet="3Symbols" showValue="0">
        <cfvo type="percent" val="0"/>
        <cfvo type="percent" val="76"/>
        <cfvo type="percent" val="80"/>
      </iconSet>
    </cfRule>
  </conditionalFormatting>
  <conditionalFormatting sqref="F30">
    <cfRule type="iconSet" priority="9">
      <iconSet iconSet="3Symbols" showValue="0">
        <cfvo type="percent" val="0"/>
        <cfvo type="percent" val="76"/>
        <cfvo type="percent" val="80"/>
      </iconSet>
    </cfRule>
  </conditionalFormatting>
  <conditionalFormatting sqref="F30">
    <cfRule type="iconSet" priority="8">
      <iconSet iconSet="3Symbols" showValue="0">
        <cfvo type="percent" val="0"/>
        <cfvo type="percent" val="76"/>
        <cfvo type="percent" val="80"/>
      </iconSet>
    </cfRule>
  </conditionalFormatting>
  <conditionalFormatting sqref="F63">
    <cfRule type="iconSet" priority="7">
      <iconSet iconSet="3Symbols" showValue="0">
        <cfvo type="percent" val="0"/>
        <cfvo type="percent" val="76"/>
        <cfvo type="percent" val="80"/>
      </iconSet>
    </cfRule>
  </conditionalFormatting>
  <conditionalFormatting sqref="F7">
    <cfRule type="iconSet" priority="2">
      <iconSet iconSet="3Symbols" showValue="0">
        <cfvo type="percent" val="0"/>
        <cfvo type="num" val="3"/>
        <cfvo type="num" val="5"/>
      </iconSet>
    </cfRule>
  </conditionalFormatting>
  <conditionalFormatting sqref="F64">
    <cfRule type="iconSet" priority="1">
      <iconSet iconSet="3Symbols" showValue="0">
        <cfvo type="percent" val="0"/>
        <cfvo type="num" val="3"/>
        <cfvo type="num" val="5"/>
      </iconSet>
    </cfRule>
  </conditionalFormatting>
  <printOptions horizontalCentered="1"/>
  <pageMargins left="0.70866141732283472" right="0.70866141732283472" top="0.74803149606299213" bottom="0.74803149606299213" header="0.31496062992125984" footer="0.31496062992125984"/>
  <pageSetup paperSize="9" scale="45" fitToHeight="2" orientation="landscape" r:id="rId1"/>
  <extLst>
    <ext xmlns:x14="http://schemas.microsoft.com/office/spreadsheetml/2009/9/main" uri="{78C0D931-6437-407d-A8EE-F0AAD7539E65}">
      <x14:conditionalFormattings>
        <x14:conditionalFormatting xmlns:xm="http://schemas.microsoft.com/office/excel/2006/main">
          <x14:cfRule type="dataBar" id="{53DCAF56-83A0-4225-9F31-1F5CD0BD2B1A}">
            <x14:dataBar minLength="0" maxLength="100" gradient="0">
              <x14:cfvo type="num">
                <xm:f>0</xm:f>
              </x14:cfvo>
              <x14:cfvo type="num">
                <xm:f>1</xm:f>
              </x14:cfvo>
              <x14:negativeFillColor rgb="FFFF0000"/>
              <x14:axisColor rgb="FF000000"/>
            </x14:dataBar>
          </x14:cfRule>
          <xm:sqref>M5:M37 M54</xm:sqref>
        </x14:conditionalFormatting>
        <x14:conditionalFormatting xmlns:xm="http://schemas.microsoft.com/office/excel/2006/main">
          <x14:cfRule type="dataBar" id="{34F10112-9D4D-455B-BD69-1B6265B58E06}">
            <x14:dataBar minLength="0" maxLength="100" gradient="0">
              <x14:cfvo type="num">
                <xm:f>0</xm:f>
              </x14:cfvo>
              <x14:cfvo type="num">
                <xm:f>1</xm:f>
              </x14:cfvo>
              <x14:negativeFillColor rgb="FFFF0000"/>
              <x14:axisColor rgb="FF000000"/>
            </x14:dataBar>
          </x14:cfRule>
          <xm:sqref>J5:J6</xm:sqref>
        </x14:conditionalFormatting>
        <x14:conditionalFormatting xmlns:xm="http://schemas.microsoft.com/office/excel/2006/main">
          <x14:cfRule type="dataBar" id="{74FB42B5-2AAD-4217-8D3D-57107543C4D0}">
            <x14:dataBar minLength="0" maxLength="100" gradient="0">
              <x14:cfvo type="num">
                <xm:f>0</xm:f>
              </x14:cfvo>
              <x14:cfvo type="num">
                <xm:f>1</xm:f>
              </x14:cfvo>
              <x14:negativeFillColor rgb="FFFF0000"/>
              <x14:axisColor rgb="FF000000"/>
            </x14:dataBar>
          </x14:cfRule>
          <xm:sqref>M41</xm:sqref>
        </x14:conditionalFormatting>
        <x14:conditionalFormatting xmlns:xm="http://schemas.microsoft.com/office/excel/2006/main">
          <x14:cfRule type="dataBar" id="{75C8FB59-3AFF-46DC-9E82-12E537DEDAA2}">
            <x14:dataBar minLength="0" maxLength="100" gradient="0">
              <x14:cfvo type="num">
                <xm:f>0</xm:f>
              </x14:cfvo>
              <x14:cfvo type="num">
                <xm:f>1</xm:f>
              </x14:cfvo>
              <x14:negativeFillColor rgb="FFFF0000"/>
              <x14:axisColor rgb="FF000000"/>
            </x14:dataBar>
          </x14:cfRule>
          <xm:sqref>M42</xm:sqref>
        </x14:conditionalFormatting>
        <x14:conditionalFormatting xmlns:xm="http://schemas.microsoft.com/office/excel/2006/main">
          <x14:cfRule type="dataBar" id="{FF8BCD7B-4C5A-44F7-8CE4-EB89B2870652}">
            <x14:dataBar minLength="0" maxLength="100" gradient="0">
              <x14:cfvo type="num">
                <xm:f>0</xm:f>
              </x14:cfvo>
              <x14:cfvo type="num">
                <xm:f>1</xm:f>
              </x14:cfvo>
              <x14:negativeFillColor rgb="FFFF0000"/>
              <x14:axisColor rgb="FF000000"/>
            </x14:dataBar>
          </x14:cfRule>
          <xm:sqref>M46</xm:sqref>
        </x14:conditionalFormatting>
        <x14:conditionalFormatting xmlns:xm="http://schemas.microsoft.com/office/excel/2006/main">
          <x14:cfRule type="dataBar" id="{D8B94292-5210-4363-A435-30A6028AFEB9}">
            <x14:dataBar minLength="0" maxLength="100" gradient="0">
              <x14:cfvo type="num">
                <xm:f>0</xm:f>
              </x14:cfvo>
              <x14:cfvo type="num">
                <xm:f>1</xm:f>
              </x14:cfvo>
              <x14:negativeFillColor rgb="FFFF0000"/>
              <x14:axisColor rgb="FF000000"/>
            </x14:dataBar>
          </x14:cfRule>
          <xm:sqref>M47:M48</xm:sqref>
        </x14:conditionalFormatting>
        <x14:conditionalFormatting xmlns:xm="http://schemas.microsoft.com/office/excel/2006/main">
          <x14:cfRule type="dataBar" id="{D42C3D3D-AEFC-42A3-816A-77A1698F7159}">
            <x14:dataBar minLength="0" maxLength="100" gradient="0">
              <x14:cfvo type="num">
                <xm:f>0</xm:f>
              </x14:cfvo>
              <x14:cfvo type="num">
                <xm:f>1</xm:f>
              </x14:cfvo>
              <x14:negativeFillColor rgb="FFFF0000"/>
              <x14:axisColor rgb="FF000000"/>
            </x14:dataBar>
          </x14:cfRule>
          <xm:sqref>M50</xm:sqref>
        </x14:conditionalFormatting>
        <x14:conditionalFormatting xmlns:xm="http://schemas.microsoft.com/office/excel/2006/main">
          <x14:cfRule type="dataBar" id="{9DC43EE9-F1DB-40A6-A3B8-0082C444F572}">
            <x14:dataBar minLength="0" maxLength="100" gradient="0">
              <x14:cfvo type="num">
                <xm:f>0</xm:f>
              </x14:cfvo>
              <x14:cfvo type="num">
                <xm:f>1</xm:f>
              </x14:cfvo>
              <x14:negativeFillColor rgb="FFFF0000"/>
              <x14:axisColor rgb="FF000000"/>
            </x14:dataBar>
          </x14:cfRule>
          <xm:sqref>M49</xm:sqref>
        </x14:conditionalFormatting>
        <x14:conditionalFormatting xmlns:xm="http://schemas.microsoft.com/office/excel/2006/main">
          <x14:cfRule type="dataBar" id="{68D2819D-FAFD-4648-A8FD-9283848C3C6F}">
            <x14:dataBar minLength="0" maxLength="100" gradient="0">
              <x14:cfvo type="num">
                <xm:f>0</xm:f>
              </x14:cfvo>
              <x14:cfvo type="num">
                <xm:f>1</xm:f>
              </x14:cfvo>
              <x14:negativeFillColor rgb="FFFF0000"/>
              <x14:axisColor rgb="FF000000"/>
            </x14:dataBar>
          </x14:cfRule>
          <xm:sqref>M55</xm:sqref>
        </x14:conditionalFormatting>
        <x14:conditionalFormatting xmlns:xm="http://schemas.microsoft.com/office/excel/2006/main">
          <x14:cfRule type="dataBar" id="{CF268B99-C2A2-45E6-AE69-4C4BE7822F85}">
            <x14:dataBar minLength="0" maxLength="100" gradient="0">
              <x14:cfvo type="num">
                <xm:f>0</xm:f>
              </x14:cfvo>
              <x14:cfvo type="num">
                <xm:f>1</xm:f>
              </x14:cfvo>
              <x14:negativeFillColor rgb="FFFF0000"/>
              <x14:axisColor rgb="FF000000"/>
            </x14:dataBar>
          </x14:cfRule>
          <xm:sqref>M56</xm:sqref>
        </x14:conditionalFormatting>
        <x14:conditionalFormatting xmlns:xm="http://schemas.microsoft.com/office/excel/2006/main">
          <x14:cfRule type="dataBar" id="{9765EFBE-0A2F-4D0D-A71F-49E71E0676D7}">
            <x14:dataBar minLength="0" maxLength="100" gradient="0">
              <x14:cfvo type="num">
                <xm:f>0</xm:f>
              </x14:cfvo>
              <x14:cfvo type="num">
                <xm:f>1</xm:f>
              </x14:cfvo>
              <x14:negativeFillColor rgb="FFFF0000"/>
              <x14:axisColor rgb="FF000000"/>
            </x14:dataBar>
          </x14:cfRule>
          <xm:sqref>M57</xm:sqref>
        </x14:conditionalFormatting>
        <x14:conditionalFormatting xmlns:xm="http://schemas.microsoft.com/office/excel/2006/main">
          <x14:cfRule type="dataBar" id="{781EED81-7E42-4B68-A157-E58EF4591DF9}">
            <x14:dataBar minLength="0" maxLength="100" gradient="0">
              <x14:cfvo type="num">
                <xm:f>0</xm:f>
              </x14:cfvo>
              <x14:cfvo type="num">
                <xm:f>1</xm:f>
              </x14:cfvo>
              <x14:negativeFillColor rgb="FFFF0000"/>
              <x14:axisColor rgb="FF000000"/>
            </x14:dataBar>
          </x14:cfRule>
          <xm:sqref>M58</xm:sqref>
        </x14:conditionalFormatting>
        <x14:conditionalFormatting xmlns:xm="http://schemas.microsoft.com/office/excel/2006/main">
          <x14:cfRule type="dataBar" id="{112E89D6-B8B3-4D15-9671-DDBD95290D43}">
            <x14:dataBar minLength="0" maxLength="100" gradient="0">
              <x14:cfvo type="num">
                <xm:f>0</xm:f>
              </x14:cfvo>
              <x14:cfvo type="num">
                <xm:f>1</xm:f>
              </x14:cfvo>
              <x14:negativeFillColor rgb="FFFF0000"/>
              <x14:axisColor rgb="FF000000"/>
            </x14:dataBar>
          </x14:cfRule>
          <xm:sqref>M59</xm:sqref>
        </x14:conditionalFormatting>
        <x14:conditionalFormatting xmlns:xm="http://schemas.microsoft.com/office/excel/2006/main">
          <x14:cfRule type="dataBar" id="{4B2E2D29-2CCE-40DC-AD19-6F1CDEDC3665}">
            <x14:dataBar minLength="0" maxLength="100" gradient="0">
              <x14:cfvo type="num">
                <xm:f>0</xm:f>
              </x14:cfvo>
              <x14:cfvo type="num">
                <xm:f>1</xm:f>
              </x14:cfvo>
              <x14:negativeFillColor rgb="FFFF0000"/>
              <x14:axisColor rgb="FF000000"/>
            </x14:dataBar>
          </x14:cfRule>
          <xm:sqref>M60</xm:sqref>
        </x14:conditionalFormatting>
        <x14:conditionalFormatting xmlns:xm="http://schemas.microsoft.com/office/excel/2006/main">
          <x14:cfRule type="dataBar" id="{2E93B0C0-19AC-403F-A4BE-55105D1D4041}">
            <x14:dataBar minLength="0" maxLength="100" gradient="0">
              <x14:cfvo type="num">
                <xm:f>0</xm:f>
              </x14:cfvo>
              <x14:cfvo type="num">
                <xm:f>1</xm:f>
              </x14:cfvo>
              <x14:negativeFillColor rgb="FFFF0000"/>
              <x14:axisColor rgb="FF000000"/>
            </x14:dataBar>
          </x14:cfRule>
          <xm:sqref>M61:M68</xm:sqref>
        </x14:conditionalFormatting>
        <x14:conditionalFormatting xmlns:xm="http://schemas.microsoft.com/office/excel/2006/main">
          <x14:cfRule type="dataBar" id="{BF7615F6-6C12-452C-AF6B-672FD731FBEC}">
            <x14:dataBar minLength="0" maxLength="100" gradient="0">
              <x14:cfvo type="num">
                <xm:f>0</xm:f>
              </x14:cfvo>
              <x14:cfvo type="num">
                <xm:f>1</xm:f>
              </x14:cfvo>
              <x14:negativeFillColor rgb="FFFF0000"/>
              <x14:axisColor rgb="FF000000"/>
            </x14:dataBar>
          </x14:cfRule>
          <xm:sqref>M69:M71</xm:sqref>
        </x14:conditionalFormatting>
        <x14:conditionalFormatting xmlns:xm="http://schemas.microsoft.com/office/excel/2006/main">
          <x14:cfRule type="dataBar" id="{286B966F-71E0-4BDE-9617-82547DA0F29D}">
            <x14:dataBar minLength="0" maxLength="100" gradient="0">
              <x14:cfvo type="num">
                <xm:f>0</xm:f>
              </x14:cfvo>
              <x14:cfvo type="num">
                <xm:f>1</xm:f>
              </x14:cfvo>
              <x14:negativeFillColor rgb="FFFF0000"/>
              <x14:axisColor rgb="FF000000"/>
            </x14:dataBar>
          </x14:cfRule>
          <xm:sqref>M73:M84</xm:sqref>
        </x14:conditionalFormatting>
        <x14:conditionalFormatting xmlns:xm="http://schemas.microsoft.com/office/excel/2006/main">
          <x14:cfRule type="dataBar" id="{48576BBF-6B92-4754-9B46-F37B22E6D886}">
            <x14:dataBar minLength="0" maxLength="100" gradient="0">
              <x14:cfvo type="num">
                <xm:f>0</xm:f>
              </x14:cfvo>
              <x14:cfvo type="num">
                <xm:f>1</xm:f>
              </x14:cfvo>
              <x14:negativeFillColor rgb="FFFF0000"/>
              <x14:axisColor rgb="FF000000"/>
            </x14:dataBar>
          </x14:cfRule>
          <xm:sqref>M72</xm:sqref>
        </x14:conditionalFormatting>
        <x14:conditionalFormatting xmlns:xm="http://schemas.microsoft.com/office/excel/2006/main">
          <x14:cfRule type="dataBar" id="{C484AF4C-CE36-4E0E-BC28-D63D045E2AFD}">
            <x14:dataBar minLength="0" maxLength="100" gradient="0">
              <x14:cfvo type="num">
                <xm:f>0</xm:f>
              </x14:cfvo>
              <x14:cfvo type="num">
                <xm:f>1</xm:f>
              </x14:cfvo>
              <x14:negativeFillColor rgb="FFFF0000"/>
              <x14:axisColor rgb="FF000000"/>
            </x14:dataBar>
          </x14:cfRule>
          <xm:sqref>J7</xm:sqref>
        </x14:conditionalFormatting>
        <x14:conditionalFormatting xmlns:xm="http://schemas.microsoft.com/office/excel/2006/main">
          <x14:cfRule type="dataBar" id="{96871A90-8BD7-4D03-B58D-A62FD31A778A}">
            <x14:dataBar minLength="0" maxLength="100" gradient="0">
              <x14:cfvo type="num">
                <xm:f>0</xm:f>
              </x14:cfvo>
              <x14:cfvo type="num">
                <xm:f>1</xm:f>
              </x14:cfvo>
              <x14:negativeFillColor rgb="FFFF0000"/>
              <x14:axisColor rgb="FF000000"/>
            </x14:dataBar>
          </x14:cfRule>
          <xm:sqref>J8:J12</xm:sqref>
        </x14:conditionalFormatting>
        <x14:conditionalFormatting xmlns:xm="http://schemas.microsoft.com/office/excel/2006/main">
          <x14:cfRule type="dataBar" id="{56079962-B47B-4CED-BF96-20B72D23AAE0}">
            <x14:dataBar minLength="0" maxLength="100" gradient="0">
              <x14:cfvo type="num">
                <xm:f>0</xm:f>
              </x14:cfvo>
              <x14:cfvo type="num">
                <xm:f>1</xm:f>
              </x14:cfvo>
              <x14:negativeFillColor rgb="FFFF0000"/>
              <x14:axisColor rgb="FF000000"/>
            </x14:dataBar>
          </x14:cfRule>
          <xm:sqref>J13:J19</xm:sqref>
        </x14:conditionalFormatting>
        <x14:conditionalFormatting xmlns:xm="http://schemas.microsoft.com/office/excel/2006/main">
          <x14:cfRule type="dataBar" id="{773562F0-1573-455B-A501-F14A9F42A770}">
            <x14:dataBar minLength="0" maxLength="100" gradient="0">
              <x14:cfvo type="num">
                <xm:f>0</xm:f>
              </x14:cfvo>
              <x14:cfvo type="num">
                <xm:f>1</xm:f>
              </x14:cfvo>
              <x14:negativeFillColor rgb="FFFF0000"/>
              <x14:axisColor rgb="FF000000"/>
            </x14:dataBar>
          </x14:cfRule>
          <xm:sqref>J20:J29</xm:sqref>
        </x14:conditionalFormatting>
        <x14:conditionalFormatting xmlns:xm="http://schemas.microsoft.com/office/excel/2006/main">
          <x14:cfRule type="dataBar" id="{235C5CBE-7E84-4378-B961-C1149D5C6143}">
            <x14:dataBar minLength="0" maxLength="100" gradient="0">
              <x14:cfvo type="num">
                <xm:f>0</xm:f>
              </x14:cfvo>
              <x14:cfvo type="num">
                <xm:f>1</xm:f>
              </x14:cfvo>
              <x14:negativeFillColor rgb="FFFF0000"/>
              <x14:axisColor rgb="FF000000"/>
            </x14:dataBar>
          </x14:cfRule>
          <xm:sqref>J30:J37</xm:sqref>
        </x14:conditionalFormatting>
        <x14:conditionalFormatting xmlns:xm="http://schemas.microsoft.com/office/excel/2006/main">
          <x14:cfRule type="dataBar" id="{76CC1D7B-D957-4BB0-9055-077DB0676F0E}">
            <x14:dataBar minLength="0" maxLength="100" gradient="0">
              <x14:cfvo type="num">
                <xm:f>0</xm:f>
              </x14:cfvo>
              <x14:cfvo type="num">
                <xm:f>1</xm:f>
              </x14:cfvo>
              <x14:negativeFillColor rgb="FFFF0000"/>
              <x14:axisColor rgb="FF000000"/>
            </x14:dataBar>
          </x14:cfRule>
          <xm:sqref>J41:J42</xm:sqref>
        </x14:conditionalFormatting>
        <x14:conditionalFormatting xmlns:xm="http://schemas.microsoft.com/office/excel/2006/main">
          <x14:cfRule type="dataBar" id="{201DACA5-88EE-483F-BCEA-211449BDE237}">
            <x14:dataBar minLength="0" maxLength="100" gradient="0">
              <x14:cfvo type="num">
                <xm:f>0</xm:f>
              </x14:cfvo>
              <x14:cfvo type="num">
                <xm:f>1</xm:f>
              </x14:cfvo>
              <x14:negativeFillColor rgb="FFFF0000"/>
              <x14:axisColor rgb="FF000000"/>
            </x14:dataBar>
          </x14:cfRule>
          <xm:sqref>J46:J50</xm:sqref>
        </x14:conditionalFormatting>
        <x14:conditionalFormatting xmlns:xm="http://schemas.microsoft.com/office/excel/2006/main">
          <x14:cfRule type="dataBar" id="{B3690F49-088F-4AA3-BE06-72F4888785DA}">
            <x14:dataBar minLength="0" maxLength="100" gradient="0">
              <x14:cfvo type="num">
                <xm:f>0</xm:f>
              </x14:cfvo>
              <x14:cfvo type="num">
                <xm:f>1</xm:f>
              </x14:cfvo>
              <x14:negativeFillColor rgb="FFFF0000"/>
              <x14:axisColor rgb="FF000000"/>
            </x14:dataBar>
          </x14:cfRule>
          <xm:sqref>J54:J84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PAI-BMPT-Jul&amp;Agst</vt:lpstr>
      <vt:lpstr>PAI-BMPT-Sept</vt:lpstr>
      <vt:lpstr>PAI-BMPT-Oct</vt:lpstr>
      <vt:lpstr>PAI-BMPT-Nov</vt:lpstr>
      <vt:lpstr>PAI-BMPT-Dic</vt:lpstr>
      <vt:lpstr>Informe </vt:lpstr>
      <vt:lpstr>'Informe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lbarrios</dc:creator>
  <cp:lastModifiedBy>lbarrios</cp:lastModifiedBy>
  <cp:lastPrinted>2017-02-06T20:05:59Z</cp:lastPrinted>
  <dcterms:created xsi:type="dcterms:W3CDTF">2016-09-21T20:00:06Z</dcterms:created>
  <dcterms:modified xsi:type="dcterms:W3CDTF">2017-02-07T21:26:55Z</dcterms:modified>
</cp:coreProperties>
</file>