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C:\Users\ddpro\OneDrive\Escritorio\2026\UAESP\EVALUACION SEMESTRAL SCI\I SEMESTRE 2026\"/>
    </mc:Choice>
  </mc:AlternateContent>
  <xr:revisionPtr revIDLastSave="0" documentId="13_ncr:1_{28612195-72D2-48D3-B042-7CF91F20E8E6}" xr6:coauthVersionLast="47" xr6:coauthVersionMax="47" xr10:uidLastSave="{00000000-0000-0000-0000-000000000000}"/>
  <bookViews>
    <workbookView xWindow="-108" yWindow="-108" windowWidth="23256" windowHeight="12456" tabRatio="862" firstSheet="2" activeTab="8" xr2:uid="{00000000-000D-0000-FFFF-FFFF00000000}"/>
  </bookViews>
  <sheets>
    <sheet name="Instructivo" sheetId="23" r:id="rId1"/>
    <sheet name="Definiciones" sheetId="22" r:id="rId2"/>
    <sheet name="Ambiente de Control" sheetId="24" r:id="rId3"/>
    <sheet name="Evaluación de riesgos" sheetId="18" r:id="rId4"/>
    <sheet name="Actividades de control" sheetId="17" r:id="rId5"/>
    <sheet name="Info y Comunicación" sheetId="19" r:id="rId6"/>
    <sheet name="Actividades de Monitoreo" sheetId="20" r:id="rId7"/>
    <sheet name="Analisis de Resultados" sheetId="29" r:id="rId8"/>
    <sheet name="Conclusiones" sheetId="26" r:id="rId9"/>
    <sheet name="resumen" sheetId="32" r:id="rId10"/>
    <sheet name="Datos" sheetId="30" state="hidden" r:id="rId11"/>
    <sheet name="Hoja1" sheetId="28"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0" localSheetId="7">#REF!</definedName>
    <definedName name="\0">#REF!</definedName>
    <definedName name="\BD" localSheetId="7">#REF!</definedName>
    <definedName name="\BD">#REF!</definedName>
    <definedName name="\BJ" localSheetId="7">#REF!</definedName>
    <definedName name="\BJ">#REF!</definedName>
    <definedName name="\BP" localSheetId="7">#REF!</definedName>
    <definedName name="\BP">#REF!</definedName>
    <definedName name="\c" localSheetId="7">[1]BDATOS!#REF!</definedName>
    <definedName name="\c">[1]BDATOS!#REF!</definedName>
    <definedName name="\CA" localSheetId="7">#REF!</definedName>
    <definedName name="\CA">#REF!</definedName>
    <definedName name="\i" localSheetId="7">#REF!</definedName>
    <definedName name="\i">#REF!</definedName>
    <definedName name="\m" localSheetId="7">#REF!</definedName>
    <definedName name="\m">#REF!</definedName>
    <definedName name="__123Graph_AC86W2CE" hidden="1">[2]WIZ!$G$19:$G$30</definedName>
    <definedName name="__123Graph_AC86W2ROLL" hidden="1">[2]WIZ!$F$19:$F$30</definedName>
    <definedName name="__123Graph_AC86W3CE" hidden="1">[2]WIZ!$J$19:$J$30</definedName>
    <definedName name="__123Graph_AC86W3ROLL" hidden="1">[2]WIZ!$I$19:$I$30</definedName>
    <definedName name="__123Graph_B" hidden="1">[2]WIZ!$G$32:$G$43</definedName>
    <definedName name="__123Graph_BC86W2CE" hidden="1">[2]WIZ!$G$32:$G$43</definedName>
    <definedName name="__123Graph_BC86W2ROLL" hidden="1">[2]WIZ!$F$32:$F$43</definedName>
    <definedName name="__123Graph_BC86W3CE" hidden="1">[2]WIZ!$J$32:$J$43</definedName>
    <definedName name="__123Graph_BC86W3ROLL" hidden="1">[2]WIZ!$I$32:$I$43</definedName>
    <definedName name="__123Graph_LBL_A" hidden="1">[2]WIZ!$G$19:$G$30</definedName>
    <definedName name="__123Graph_LBL_AC86W2CE" hidden="1">[2]WIZ!$G$19:$G$30</definedName>
    <definedName name="__123Graph_LBL_AC86W2ROLL" hidden="1">[2]WIZ!$F$19:$F$30</definedName>
    <definedName name="__123Graph_LBL_AC86W3CE" hidden="1">[2]WIZ!$J$19:$J$30</definedName>
    <definedName name="__123Graph_LBL_AC86W3ROLL" hidden="1">[2]WIZ!$I$19:$I$30</definedName>
    <definedName name="__123Graph_LBL_B" hidden="1">[2]WIZ!$G$32:$G$43</definedName>
    <definedName name="__123Graph_LBL_BC86W2CE" hidden="1">[2]WIZ!$G$32:$G$43</definedName>
    <definedName name="__123Graph_LBL_BC86W2ROLL" hidden="1">[2]WIZ!$F$32:$F$43</definedName>
    <definedName name="__123Graph_LBL_BC86W3CE" hidden="1">[2]WIZ!$J$32:$J$43</definedName>
    <definedName name="__123Graph_LBL_BC86W3ROLL" hidden="1">[2]WIZ!$I$32:$I$43</definedName>
    <definedName name="__123Graph_X" hidden="1">[2]WIZ!$B$19:$B$30</definedName>
    <definedName name="__123Graph_XC86W2CE" hidden="1">[2]WIZ!$B$19:$B$30</definedName>
    <definedName name="__123Graph_XC86W2ROLL" hidden="1">[2]WIZ!$B$19:$B$30</definedName>
    <definedName name="__123Graph_XC86W3CE" hidden="1">[2]WIZ!$B$19:$B$30</definedName>
    <definedName name="__123Graph_XC86W3ROLL" hidden="1">[2]WIZ!$B$19:$B$30</definedName>
    <definedName name="_1__123Graph_AC86W_2" hidden="1">[2]WIZ!$F$19:$F$30</definedName>
    <definedName name="_10__123Graph_LBL_BC86W_2" hidden="1">[2]WIZ!$F$32:$F$43</definedName>
    <definedName name="_11__123Graph_LBL_BC86W30" hidden="1">[2]WIZ!$AE$32:$AE$43</definedName>
    <definedName name="_12__123Graph_LBL_BC86W90" hidden="1">[2]WIZ!$AF$32:$AF$43</definedName>
    <definedName name="_13__123Graph_XC86W30" hidden="1">[2]WIZ!$B$19:$B$30</definedName>
    <definedName name="_14__123Graph_XC86W90" hidden="1">[2]WIZ!$B$19:$B$30</definedName>
    <definedName name="_2__123Graph_AC86W30" hidden="1">[2]WIZ!$AE$19:$AE$30</definedName>
    <definedName name="_296" localSheetId="7">'[3]384-Acciones Corporacion'!#REF!</definedName>
    <definedName name="_296">'[3]384-Acciones Corporacion'!#REF!</definedName>
    <definedName name="_3__123Graph_AC86W90" hidden="1">[2]WIZ!$AF$19:$AF$30</definedName>
    <definedName name="_304" localSheetId="7">'[3]384-Acciones Corporacion'!#REF!</definedName>
    <definedName name="_304">'[3]384-Acciones Corporacion'!#REF!</definedName>
    <definedName name="_312" localSheetId="7">'[3]384-Acciones Corporacion'!#REF!</definedName>
    <definedName name="_312">'[3]384-Acciones Corporacion'!#REF!</definedName>
    <definedName name="_320" localSheetId="7">'[3]384-Acciones Corporacion'!#REF!</definedName>
    <definedName name="_320">'[3]384-Acciones Corporacion'!#REF!</definedName>
    <definedName name="_336" localSheetId="7">'[3]384-Acciones Corporacion'!#REF!</definedName>
    <definedName name="_336">'[3]384-Acciones Corporacion'!#REF!</definedName>
    <definedName name="_344" localSheetId="7">'[3]384-Acciones Corporacion'!#REF!</definedName>
    <definedName name="_344">'[3]384-Acciones Corporacion'!#REF!</definedName>
    <definedName name="_352" localSheetId="7">'[3]384-Acciones Corporacion'!#REF!</definedName>
    <definedName name="_352">'[3]384-Acciones Corporacion'!#REF!</definedName>
    <definedName name="_4__123Graph_BC86W_2" hidden="1">[2]WIZ!$F$32:$F$43</definedName>
    <definedName name="_5__123Graph_BC86W30" hidden="1">[2]WIZ!$AE$32:$AE$43</definedName>
    <definedName name="_522" localSheetId="7">'[3]384-Acciones Corporacion'!#REF!</definedName>
    <definedName name="_522">'[3]384-Acciones Corporacion'!#REF!</definedName>
    <definedName name="_530" localSheetId="7">'[3]384-Acciones Corporacion'!#REF!</definedName>
    <definedName name="_530">'[3]384-Acciones Corporacion'!#REF!</definedName>
    <definedName name="_546" localSheetId="7">'[3]384-Acciones Corporacion'!#REF!</definedName>
    <definedName name="_546">'[3]384-Acciones Corporacion'!#REF!</definedName>
    <definedName name="_554" localSheetId="7">'[3]384-Acciones Corporacion'!#REF!</definedName>
    <definedName name="_554">'[3]384-Acciones Corporacion'!#REF!</definedName>
    <definedName name="_562" localSheetId="7">'[3]384-Acciones Corporacion'!#REF!</definedName>
    <definedName name="_562">'[3]384-Acciones Corporacion'!#REF!</definedName>
    <definedName name="_6__123Graph_BC86W90" hidden="1">[2]WIZ!$AF$32:$AF$43</definedName>
    <definedName name="_7__123Graph_LBL_AC86W_2" hidden="1">[2]WIZ!$F$19:$F$30</definedName>
    <definedName name="_8__123Graph_LBL_AC86W30" hidden="1">[2]WIZ!$AE$19:$AE$30</definedName>
    <definedName name="_9__123Graph_LBL_AC86W90" hidden="1">[2]WIZ!$AF$19:$AF$30</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4" hidden="1">'Actividades de control'!$A$20:$Q$201</definedName>
    <definedName name="_xlnm._FilterDatabase" localSheetId="2" hidden="1">'Ambiente de Control'!$A$23:$O$254</definedName>
    <definedName name="_xlnm._FilterDatabase" localSheetId="7" hidden="1">#REF!</definedName>
    <definedName name="_xlnm._FilterDatabase" localSheetId="3" hidden="1">'Evaluación de riesgos'!$A$15:$O$15</definedName>
    <definedName name="_xlnm._FilterDatabase" localSheetId="5" hidden="1">'Info y Comunicación'!$A$18:$Q$62</definedName>
    <definedName name="_xlnm._FilterDatabase" hidden="1">#REF!</definedName>
    <definedName name="_Key1" localSheetId="7" hidden="1">#REF!</definedName>
    <definedName name="_Key1" hidden="1">#REF!</definedName>
    <definedName name="_Key2" localSheetId="7" hidden="1">#REF!</definedName>
    <definedName name="_Key2" hidden="1">#REF!</definedName>
    <definedName name="_Order1" hidden="1">255</definedName>
    <definedName name="_Order2" hidden="1">255</definedName>
    <definedName name="_Parse_Out" localSheetId="7" hidden="1">'[4]B.BTA.S.VALORES'!#REF!</definedName>
    <definedName name="_Parse_Out" hidden="1">'[4]B.BTA.S.VALORES'!#REF!</definedName>
    <definedName name="_Sort" localSheetId="7" hidden="1">#REF!</definedName>
    <definedName name="_Sort" hidden="1">#REF!</definedName>
    <definedName name="A">[5]oficial!$A$1:$H$160</definedName>
    <definedName name="A_IMPRESIÓN_IM" localSheetId="7">#REF!</definedName>
    <definedName name="A_IMPRESIÓN_IM">#REF!</definedName>
    <definedName name="A205_" localSheetId="7">#REF!</definedName>
    <definedName name="A205_">#REF!</definedName>
    <definedName name="A242_" localSheetId="7">#REF!</definedName>
    <definedName name="A242_">#REF!</definedName>
    <definedName name="A255_" localSheetId="7">#REF!</definedName>
    <definedName name="A255_">#REF!</definedName>
    <definedName name="A498_" localSheetId="7">#REF!</definedName>
    <definedName name="A498_">#REF!</definedName>
    <definedName name="A534_">#N/A</definedName>
    <definedName name="A598_" localSheetId="7">#REF!</definedName>
    <definedName name="A598_">#REF!</definedName>
    <definedName name="A641_" localSheetId="7">#REF!</definedName>
    <definedName name="A641_">#REF!</definedName>
    <definedName name="A68_" localSheetId="7">#REF!</definedName>
    <definedName name="A68_">#REF!</definedName>
    <definedName name="A784_" localSheetId="7">#REF!</definedName>
    <definedName name="A784_">#REF!</definedName>
    <definedName name="ACCIONISTASTOTAL" localSheetId="7">'[6]Oper recip'!#REF!</definedName>
    <definedName name="ACCIONISTASTOTAL">'[6]Oper recip'!#REF!</definedName>
    <definedName name="Accounts" localSheetId="7">#REF!</definedName>
    <definedName name="Accounts">#REF!</definedName>
    <definedName name="Accrual___payment_of_dividends" localSheetId="7">#REF!</definedName>
    <definedName name="Accrual___payment_of_dividends">#REF!</definedName>
    <definedName name="ACT" localSheetId="7">#REF!</definedName>
    <definedName name="ACT">#REF!</definedName>
    <definedName name="ADMINISTRACION_DE_RIESGOS_2025">'Ambiente de Control'!$H$105</definedName>
    <definedName name="AFANT" localSheetId="7">#REF!</definedName>
    <definedName name="AFANT">#REF!</definedName>
    <definedName name="AFHOY" localSheetId="7">#REF!</definedName>
    <definedName name="AFHOY">#REF!</definedName>
    <definedName name="ahaccionistas01" localSheetId="7">#REF!</definedName>
    <definedName name="ahaccionistas01">#REF!</definedName>
    <definedName name="AJPAAG" localSheetId="7">#REF!</definedName>
    <definedName name="AJPAAG">#REF!</definedName>
    <definedName name="Anexo" localSheetId="0" hidden="1">{"'para SB'!$A$1420:$F$1479"}</definedName>
    <definedName name="Anexo" hidden="1">{"'para SB'!$A$1420:$F$1479"}</definedName>
    <definedName name="año" localSheetId="7">#REF!</definedName>
    <definedName name="año">#REF!</definedName>
    <definedName name="AÑO_A_PROCESAR" localSheetId="7">#REF!</definedName>
    <definedName name="AÑO_A_PROCESAR">#REF!</definedName>
    <definedName name="año1" localSheetId="7">#REF!</definedName>
    <definedName name="año1">#REF!</definedName>
    <definedName name="AÑOS_A_PROCESAR" localSheetId="7">#REF!</definedName>
    <definedName name="AÑOS_A_PROCESAR">#REF!</definedName>
    <definedName name="AppName" localSheetId="7">#REF!</definedName>
    <definedName name="AppName">#REF!</definedName>
    <definedName name="_xlnm.Print_Area" localSheetId="7">#REF!</definedName>
    <definedName name="_xlnm.Print_Area" localSheetId="8">Conclusiones!$B$2:$P$37</definedName>
    <definedName name="_xlnm.Print_Area" localSheetId="9">resumen!$B$2:$P$37</definedName>
    <definedName name="_xlnm.Print_Area">#REF!</definedName>
    <definedName name="Área_de_impresión1" localSheetId="7">#REF!</definedName>
    <definedName name="Área_de_impresión1">#REF!</definedName>
    <definedName name="AS2DocOpenMode" hidden="1">"AS2DocumentEdit"</definedName>
    <definedName name="AS2ReportLS" hidden="1">1</definedName>
    <definedName name="AS2SyncStepLS" hidden="1">0</definedName>
    <definedName name="AS2TickmarkLS" localSheetId="7" hidden="1">#REF!</definedName>
    <definedName name="AS2TickmarkLS" hidden="1">#REF!</definedName>
    <definedName name="AS2VersionLS" hidden="1">300</definedName>
    <definedName name="ASFSD" localSheetId="7">#REF!</definedName>
    <definedName name="ASFSD">#REF!</definedName>
    <definedName name="Assertions" localSheetId="7">#REF!</definedName>
    <definedName name="Assertions">#REF!</definedName>
    <definedName name="BASE" localSheetId="7">#REF!</definedName>
    <definedName name="BASE">#REF!</definedName>
    <definedName name="BCE" localSheetId="7">#REF!</definedName>
    <definedName name="BCE">#REF!</definedName>
    <definedName name="BCEBONOS" localSheetId="7">#REF!</definedName>
    <definedName name="BCEBONOS">#REF!</definedName>
    <definedName name="BCECAMBIOS" localSheetId="7">#REF!</definedName>
    <definedName name="BCECAMBIOS">#REF!</definedName>
    <definedName name="BCEEMPRESA" localSheetId="7">#REF!</definedName>
    <definedName name="BCEEMPRESA">#REF!</definedName>
    <definedName name="BCERENTA" localSheetId="7">#REF!</definedName>
    <definedName name="BCERENTA">#REF!</definedName>
    <definedName name="BCETESOROS" localSheetId="7">#REF!</definedName>
    <definedName name="BCETESOROS">#REF!</definedName>
    <definedName name="BG_Del" hidden="1">15</definedName>
    <definedName name="BG_Ins" hidden="1">4</definedName>
    <definedName name="BG_Mod" hidden="1">6</definedName>
    <definedName name="BLOQUE" localSheetId="7">#REF!</definedName>
    <definedName name="BLOQUE">#REF!</definedName>
    <definedName name="BuiltIn_Print_Area___0" localSheetId="7">#REF!</definedName>
    <definedName name="BuiltIn_Print_Area___0">#REF!</definedName>
    <definedName name="BuiltIn_Print_Titles___0" localSheetId="7">#REF!</definedName>
    <definedName name="BuiltIn_Print_Titles___0">#REF!</definedName>
    <definedName name="CALCULO" localSheetId="7">[1]BDATOS!#REF!</definedName>
    <definedName name="CALCULO">[1]BDATOS!#REF!</definedName>
    <definedName name="CAR" localSheetId="7">#REF!</definedName>
    <definedName name="CAR">#REF!</definedName>
    <definedName name="CAVR" localSheetId="7">#REF!</definedName>
    <definedName name="CAVR">#REF!</definedName>
    <definedName name="cdtaccinistas01" localSheetId="7">#REF!</definedName>
    <definedName name="cdtaccinistas01">#REF!</definedName>
    <definedName name="CO.Otros_Cuentas" localSheetId="7">#REF!</definedName>
    <definedName name="CO.Otros_Cuentas">#REF!</definedName>
    <definedName name="CO.Otros_Monto" localSheetId="7">#REF!</definedName>
    <definedName name="CO.Otros_Monto">#REF!</definedName>
    <definedName name="CO.Riesgo_Cuentas" localSheetId="7">#REF!</definedName>
    <definedName name="CO.Riesgo_Cuentas">#REF!</definedName>
    <definedName name="CO.Riesgo_Monto" localSheetId="7">#REF!</definedName>
    <definedName name="CO.Riesgo_Monto">#REF!</definedName>
    <definedName name="CO.Tesoreria_Cuentas" localSheetId="7">#REF!</definedName>
    <definedName name="CO.Tesoreria_Cuentas">#REF!</definedName>
    <definedName name="COMP3CM" localSheetId="7">#REF!,#REF!,#REF!,#REF!,#REF!</definedName>
    <definedName name="COMP3CM">#REF!,#REF!,#REF!,#REF!,#REF!</definedName>
    <definedName name="COMP3PM" localSheetId="7">#REF!,#REF!,#REF!,#REF!</definedName>
    <definedName name="COMP3PM">#REF!,#REF!,#REF!,#REF!</definedName>
    <definedName name="COMP3PY" localSheetId="7">#REF!,#REF!,#REF!,#REF!,#REF!</definedName>
    <definedName name="COMP3PY">#REF!,#REF!,#REF!,#REF!,#REF!</definedName>
    <definedName name="COMPCM" localSheetId="7">#REF!,#REF!,#REF!,#REF!,#REF!,#REF!,#REF!</definedName>
    <definedName name="COMPCM">#REF!,#REF!,#REF!,#REF!,#REF!,#REF!,#REF!</definedName>
    <definedName name="COMPPM" localSheetId="7">#REF!,#REF!,#REF!,#REF!,#REF!,#REF!,#REF!</definedName>
    <definedName name="COMPPM">#REF!,#REF!,#REF!,#REF!,#REF!,#REF!,#REF!</definedName>
    <definedName name="COMPPY" localSheetId="7">#REF!,#REF!,#REF!,#REF!,#REF!,#REF!,#REF!,#REF!</definedName>
    <definedName name="COMPPY">#REF!,#REF!,#REF!,#REF!,#REF!,#REF!,#REF!,#REF!</definedName>
    <definedName name="con10_partic" localSheetId="7">#REF!</definedName>
    <definedName name="con10_partic">#REF!</definedName>
    <definedName name="conahdirectivos01" localSheetId="7">#REF!</definedName>
    <definedName name="conahdirectivos01">#REF!</definedName>
    <definedName name="conahojunta01" localSheetId="7">#REF!</definedName>
    <definedName name="conahojunta01">#REF!</definedName>
    <definedName name="concdtdirectivos01" localSheetId="7">#REF!</definedName>
    <definedName name="concdtdirectivos01">#REF!</definedName>
    <definedName name="concdtentidades01" localSheetId="7">#REF!</definedName>
    <definedName name="concdtentidades01">#REF!</definedName>
    <definedName name="CONGASTO" localSheetId="7">[1]BDATOS!#REF!</definedName>
    <definedName name="CONGASTO">[1]BDATOS!#REF!</definedName>
    <definedName name="conotros" localSheetId="7">#REF!</definedName>
    <definedName name="conotros">#REF!</definedName>
    <definedName name="Contagio030">SUMIF([7]DATA1!$B$1:$B$65536,[8]Octubre!$C1,[7]DATA1!XFA$1:XFA$65536)</definedName>
    <definedName name="Contagio060">SUMIF([7]DATA1!$B$1:$B$65536,[8]Octubre!$C1,[7]DATA1!XFA$1:XFA$65536)</definedName>
    <definedName name="Contagio090">SUMIF([7]DATA1!$B$1:$B$65536,[8]Octubre!$C1,[7]DATA1!XFA$1:XFA$65536)</definedName>
    <definedName name="Contagio120">SUMIF([7]DATA1!$B$1:$B$65536,[8]Octubre!$C1,[7]DATA1!XFA$1:XFA$65536)</definedName>
    <definedName name="Contagio150">SUMIF([7]DATA1!$B$1:$B$65536,[8]Octubre!$C1,[7]DATA1!XFA$1:XFA$65536)</definedName>
    <definedName name="Contagio180">SUMIF([7]DATA1!$B$1:$B$65536,[8]Octubre!$C1,[7]DATA1!XFA$1:XFA$65536)</definedName>
    <definedName name="ContAverage" localSheetId="7">[9]!ContAverage</definedName>
    <definedName name="ContAverage" localSheetId="9">[9]!ContAverage</definedName>
    <definedName name="ContAverage">[9]!ContAverage</definedName>
    <definedName name="CORDEN" localSheetId="7">#REF!</definedName>
    <definedName name="CORDEN">#REF!</definedName>
    <definedName name="CREDITO">[10]oficial!$H$1:$H$160</definedName>
    <definedName name="CUENTA96" localSheetId="7">#REF!</definedName>
    <definedName name="CUENTA96">#REF!</definedName>
    <definedName name="Cuentas">[11]Cuentas!$B$3:$E$41</definedName>
    <definedName name="d">[12]Cuentas!$B$3:$E$42</definedName>
    <definedName name="DEBITO">[10]oficial!$G$1:$G$160</definedName>
    <definedName name="dfsd">SUMIF([7]DATA1!$B$1:$B$65536,[8]Octubre!$C1,[7]DATA1!K$1:K$65536)</definedName>
    <definedName name="Div" localSheetId="7" hidden="1">'[4]B.BTA.S.VALORES'!#REF!</definedName>
    <definedName name="Div" hidden="1">'[4]B.BTA.S.VALORES'!#REF!</definedName>
    <definedName name="Divide" localSheetId="7">#REF!</definedName>
    <definedName name="Divide">#REF!</definedName>
    <definedName name="doce">'[13]Anexo-Participaciones Dic-11'!$E$22</definedName>
    <definedName name="ELIEXTRA">'[14]ELIMINA EXT'!$A$3:$Y$217</definedName>
    <definedName name="ELIFIL">[14]ELIMINA!$A$4:$AM$231</definedName>
    <definedName name="ELIMEXT" localSheetId="7">#REF!</definedName>
    <definedName name="ELIMEXT">#REF!</definedName>
    <definedName name="ELIMINA" localSheetId="7">#REF!</definedName>
    <definedName name="ELIMINA">#REF!</definedName>
    <definedName name="entidades" localSheetId="7">#REF!</definedName>
    <definedName name="entidades">#REF!</definedName>
    <definedName name="EPIANDES" localSheetId="7">#REF!</definedName>
    <definedName name="EPIANDES">#REF!</definedName>
    <definedName name="ESCRIBA" localSheetId="7">[1]BDATOS!#REF!</definedName>
    <definedName name="ESCRIBA">[1]BDATOS!#REF!</definedName>
    <definedName name="ESTADOS_FINANCIEROS_A_PROCESAR" localSheetId="7">#REF!</definedName>
    <definedName name="ESTADOS_FINANCIEROS_A_PROCESAR">#REF!</definedName>
    <definedName name="ESTCAM" localSheetId="7">#REF!</definedName>
    <definedName name="ESTCAM">#REF!</definedName>
    <definedName name="ET" localSheetId="7">#REF!</definedName>
    <definedName name="ET">#REF!</definedName>
    <definedName name="FailureActual" localSheetId="7">[9]!FailureActual</definedName>
    <definedName name="FailureActual" localSheetId="9">[9]!FailureActual</definedName>
    <definedName name="FailureActual">[9]!FailureActual</definedName>
    <definedName name="FailurePlan" localSheetId="7">[9]!FailurePlan</definedName>
    <definedName name="FailurePlan" localSheetId="9">[9]!FailurePlan</definedName>
    <definedName name="FailurePlan">[9]!FailurePlan</definedName>
    <definedName name="FILEXT">[14]FILIALEXT!$A$1:$L$4091</definedName>
    <definedName name="FILIAL">[14]FILIAL!$A$3:$AE$5414</definedName>
    <definedName name="FleetAdj" localSheetId="7">[9]!FleetAdj</definedName>
    <definedName name="FleetAdj" localSheetId="9">[9]!FleetAdj</definedName>
    <definedName name="FleetAdj">[9]!FleetAdj</definedName>
    <definedName name="FleetNoAdj" localSheetId="7">[9]!FleetNoAdj</definedName>
    <definedName name="FleetNoAdj" localSheetId="9">[9]!FleetNoAdj</definedName>
    <definedName name="FleetNoAdj">[9]!FleetNoAdj</definedName>
    <definedName name="GastosRegionales_Monto">'[15]Gastos regionales'!$G$8:$G$47</definedName>
    <definedName name="gorr">"Botón 17"</definedName>
    <definedName name="HTML_CodePage" hidden="1">1252</definedName>
    <definedName name="HTML_Control" localSheetId="0" hidden="1">{"'para SB'!$A$1420:$F$1479"}</definedName>
    <definedName name="HTML_Control" hidden="1">{"'para SB'!$A$1420:$F$1479"}</definedName>
    <definedName name="HTML_Description" hidden="1">""</definedName>
    <definedName name="HTML_Email" hidden="1">""</definedName>
    <definedName name="HTML_Header" hidden="1">""</definedName>
    <definedName name="HTML_LastUpdate" hidden="1">"22/06/00"</definedName>
    <definedName name="HTML_LineAfter" hidden="1">FALSE</definedName>
    <definedName name="HTML_LineBefore" hidden="1">FALSE</definedName>
    <definedName name="HTML_Name" hidden="1">"BANCO CENTRAL DE HONDURAS"</definedName>
    <definedName name="HTML_OBDlg2" hidden="1">TRUE</definedName>
    <definedName name="HTML_OBDlg4" hidden="1">TRUE</definedName>
    <definedName name="HTML_OS" hidden="1">0</definedName>
    <definedName name="HTML_PathFile" hidden="1">"A:\tasaintss.htm"</definedName>
    <definedName name="HTML_Title" hidden="1">""</definedName>
    <definedName name="INDI" localSheetId="7">#REF!</definedName>
    <definedName name="INDI">#REF!</definedName>
    <definedName name="INDICACART" localSheetId="7">#REF!</definedName>
    <definedName name="INDICACART">#REF!</definedName>
    <definedName name="INVER" localSheetId="7">#REF!</definedName>
    <definedName name="INVER">#REF!</definedName>
    <definedName name="junio111" localSheetId="7">#REF!</definedName>
    <definedName name="junio111">#REF!</definedName>
    <definedName name="JUNTA" localSheetId="7">#REF!</definedName>
    <definedName name="JUNTA">#REF!</definedName>
    <definedName name="JUNTA1" localSheetId="7">#REF!</definedName>
    <definedName name="JUNTA1">#REF!</definedName>
    <definedName name="LLPModel" localSheetId="7">[16]!LLPModel</definedName>
    <definedName name="LLPModel" localSheetId="9">[16]!LLPModel</definedName>
    <definedName name="LLPModel">[16]!LLPModel</definedName>
    <definedName name="MATRIZ">[17]MATRIZ!$A$7:$BY$4664</definedName>
    <definedName name="MC.PL_Cuentas" localSheetId="7">#REF!</definedName>
    <definedName name="MC.PL_Cuentas">#REF!</definedName>
    <definedName name="MC.PL_Monto" localSheetId="7">#REF!</definedName>
    <definedName name="MC.PL_Monto">#REF!</definedName>
    <definedName name="MESANT" localSheetId="7">#REF!</definedName>
    <definedName name="MESANT">#REF!</definedName>
    <definedName name="MESES">'[18]7'!$AL$3:$AL$7</definedName>
    <definedName name="MESHOY" localSheetId="7">#REF!</definedName>
    <definedName name="MESHOY">#REF!</definedName>
    <definedName name="Mora030">SUMIF([7]DATA1!$B$1:$B$65536,[8]Octubre!$C1,[7]DATA1!XFA$1:XFA$65536)</definedName>
    <definedName name="Mora060">SUMIF([7]DATA1!$B$1:$B$65536,[8]Octubre!$C1,[7]DATA1!XFA$1:XFA$65536)</definedName>
    <definedName name="Mora090">SUMIF([7]DATA1!$B$1:$B$65536,[8]Octubre!$C1,[7]DATA1!XFA$1:XFA$65536)</definedName>
    <definedName name="Mora120">SUMIF([7]DATA1!$B$1:$B$65536,[8]Octubre!$C1,[7]DATA1!XFA$1:XFA$65536)</definedName>
    <definedName name="Mora150">SUMIF([7]DATA1!$B$1:$B$65536,[8]Octubre!$C1,[7]DATA1!XFA$1:XFA$65536)</definedName>
    <definedName name="Mora180">SUMIF([7]DATA1!$B$1:$B$65536,[8]Octubre!$C1,[7]DATA1!XFA$1:XFA$65536)</definedName>
    <definedName name="MultiSelectNames" localSheetId="7">#REF!</definedName>
    <definedName name="MultiSelectNames">#REF!</definedName>
    <definedName name="Nivel" localSheetId="7">#REF!</definedName>
    <definedName name="Nivel">#REF!</definedName>
    <definedName name="NOPUC" localSheetId="7">#REF!</definedName>
    <definedName name="NOPUC">#REF!</definedName>
    <definedName name="OFI">[10]oficial!$A$1:$H$160</definedName>
    <definedName name="ORDEN1" localSheetId="7">#REF!</definedName>
    <definedName name="ORDEN1">#REF!</definedName>
    <definedName name="ORDEN2" localSheetId="7">#REF!</definedName>
    <definedName name="ORDEN2">#REF!</definedName>
    <definedName name="ORDEN3" localSheetId="7">#REF!</definedName>
    <definedName name="ORDEN3">#REF!</definedName>
    <definedName name="ORDEN4" localSheetId="7">#REF!</definedName>
    <definedName name="ORDEN4">#REF!</definedName>
    <definedName name="ORDEN5" localSheetId="7">#REF!</definedName>
    <definedName name="ORDEN5">#REF!</definedName>
    <definedName name="ORDEN6" localSheetId="7">#REF!</definedName>
    <definedName name="ORDEN6">#REF!</definedName>
    <definedName name="p">'[19]Participación Accionaria Junio '!$K$11</definedName>
    <definedName name="PAS" localSheetId="7">#REF!</definedName>
    <definedName name="PAS">#REF!</definedName>
    <definedName name="PAT" localSheetId="7">#REF!</definedName>
    <definedName name="PAT">#REF!</definedName>
    <definedName name="Pcnt.Competencia">IF([20]Resumen!B1&gt;0.01,IF([20]Resumen!XFD1&gt;0.01,[20]Resumen!XFD1/[20]Resumen!B1,0),0)</definedName>
    <definedName name="Pcnt.COMSAL">IF([20]Resumen!D1&gt;0.01,IF([20]Resumen!XFD1&gt;0.01,[20]Resumen!XFD1/[20]Resumen!D1,0),0)</definedName>
    <definedName name="PL.120_Cuentas">'[21]Time Deposits (PL.120)'!$C$7:$C$10</definedName>
    <definedName name="PL.120_Monto">'[21]Time Deposits (PL.120)'!$E$7:$E$10</definedName>
    <definedName name="PL.501_Cuentas">'[15]Swap Gain MtM (PL.501)'!$C$7:$C$12</definedName>
    <definedName name="PL.501_Monto">'[15]Swap Gain MtM (PL.501)'!$E$7:$E$12</definedName>
    <definedName name="PL.502_Cuentas">'[15]Gain on Sale of OREOs (PL.502)'!$C$7:$C$9</definedName>
    <definedName name="PL.502_Monto">'[15]Gain on Sale of OREOs (PL.502)'!$E$7:$E$9</definedName>
    <definedName name="PL.505_Monto">'[15]Other Income (PL.505)'!$E$8:$E$39</definedName>
    <definedName name="PL.581_Cuentas">'[15]Other Compensation (PL.581)'!$C$7:$C$19</definedName>
    <definedName name="PL.581_Monto">'[15]Other Compensation (PL.581)'!$E$7:$E$19</definedName>
    <definedName name="PL.601_Cuentas">'[15]Other Comp Benefits (PL.601)'!$C$7:$C$19</definedName>
    <definedName name="PL.601_Monto">'[15]Other Comp Benefits (PL.601)'!$E$7:$E$19</definedName>
    <definedName name="PL.621_Cuentas">'[15]Rents Build &amp; Park (PL.621)'!$C$7:$C$10</definedName>
    <definedName name="PL.621_Monto">'[15]Rents Build &amp; Park (PL.621)'!$E$7:$E$10</definedName>
    <definedName name="PL.657_Cuentas">'[15]Consulting Fees (PL.657)'!$C$7:$C$13</definedName>
    <definedName name="PL.657_Monto">'[15]Consulting Fees (PL.657)'!$E$7:$E$13</definedName>
    <definedName name="PL.661_Cuentas">'[15]Professional Services (PL.661)'!$C$7:$C$15</definedName>
    <definedName name="PL.661_Monto">'[15]Professional Services (PL.661)'!$E$7:$E$15</definedName>
    <definedName name="PL.665_Cuentas">'[15]Insurance (PL.665)'!$C$7:$C$16</definedName>
    <definedName name="PL.665_Monto">'[15]Insurance (PL.665)'!$E$7:$E$16</definedName>
    <definedName name="PL.713_Cuentas">'[15]Frauds (PL.713)'!$C$7:$C$16</definedName>
    <definedName name="PL.713_Monto">'[15]Frauds (PL.713)'!$E$7:$E$16</definedName>
    <definedName name="PL.717_Cuentas">'[21]Corporate Expenses (PL.717)'!$D$8:$D$43</definedName>
    <definedName name="PL.717_Monto">'[21]Corporate Expenses (PL.717)'!$F$8:$F$43</definedName>
    <definedName name="PL.721_Cuentas">'[15]Veh &amp; Equ Maintenance (PL.721)'!$C$7:$C$13</definedName>
    <definedName name="PL.721_Monto">'[15]Veh &amp; Equ Maintenance (PL.721)'!$E$7:$E$13</definedName>
    <definedName name="PL.741_Cuentas">'[15]Representation Expnses (PL.741)'!$C$7:$C$16</definedName>
    <definedName name="PL.741_Monto">'[15]Representation Expnses (PL.741)'!$E$7:$E$16</definedName>
    <definedName name="PL.773_Monto">'[15]Other Services (PL.773)'!$E$8:$E$43</definedName>
    <definedName name="PL.797_Cuentas">'[15]Depreciation (PL.797)'!$C$7:$C$12</definedName>
    <definedName name="PL.797_Monto">'[15]Depreciation (PL.797)'!$E$7:$E$12</definedName>
    <definedName name="PRES" localSheetId="7">#REF!</definedName>
    <definedName name="PRES">#REF!</definedName>
    <definedName name="PRES1" localSheetId="7">#REF!</definedName>
    <definedName name="PRES1">#REF!</definedName>
    <definedName name="Presup" localSheetId="7">SUMIF([22]DATA!$H$1:$H$65536,#REF!&amp;"-"&amp;#REF!&amp;"-"&amp;MONTH(#REF!),[22]DATA!$G$1:$G$65536)</definedName>
    <definedName name="Presup">SUMIF([22]DATA!$H$1:$H$65536,#REF!&amp;"-"&amp;#REF!&amp;"-"&amp;MONTH(#REF!),[22]DATA!$G$1:$G$65536)</definedName>
    <definedName name="ProductivityWith" localSheetId="7">[9]!ProductivityWith</definedName>
    <definedName name="ProductivityWith" localSheetId="9">[9]!ProductivityWith</definedName>
    <definedName name="ProductivityWith">[9]!ProductivityWith</definedName>
    <definedName name="ProductivityWithout" localSheetId="7">[9]!ProductivityWithout</definedName>
    <definedName name="ProductivityWithout" localSheetId="9">[9]!ProductivityWithout</definedName>
    <definedName name="ProductivityWithout">[9]!ProductivityWithout</definedName>
    <definedName name="PUC" localSheetId="7">#REF!</definedName>
    <definedName name="PUC">#REF!</definedName>
    <definedName name="PYG" localSheetId="7">#REF!</definedName>
    <definedName name="PYG">#REF!</definedName>
    <definedName name="PYGBONOS" localSheetId="7">#REF!</definedName>
    <definedName name="PYGBONOS">#REF!</definedName>
    <definedName name="PYGCAMBIOS" localSheetId="7">#REF!</definedName>
    <definedName name="PYGCAMBIOS">#REF!</definedName>
    <definedName name="PYGRENTA" localSheetId="7">#REF!</definedName>
    <definedName name="PYGRENTA">#REF!</definedName>
    <definedName name="PYGTESOROS" localSheetId="7">#REF!</definedName>
    <definedName name="PYGTESOROS">#REF!</definedName>
    <definedName name="qeq">SUMIF([7]DATA1!$B$1:$B$65536,[8]Octubre!$C1,[7]DATA1!XFA$1:XFA$65536)</definedName>
    <definedName name="ref_contr" localSheetId="7">#REF!</definedName>
    <definedName name="ref_contr">#REF!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o" localSheetId="0" hidden="1">{"'Sheet1'!$A$1:$F$179"}</definedName>
    <definedName name="ro" hidden="1">{"'Sheet1'!$A$1:$F$179"}</definedName>
    <definedName name="rod" localSheetId="0" hidden="1">{"'Sheet1'!$A$1:$F$179"}</definedName>
    <definedName name="rod" hidden="1">{"'Sheet1'!$A$1:$F$179"}</definedName>
    <definedName name="rodirgo" localSheetId="0" hidden="1">{"'Sheet1'!$A$1:$F$179"}</definedName>
    <definedName name="rodirgo" hidden="1">{"'Sheet1'!$A$1:$F$179"}</definedName>
    <definedName name="Saldo">SUMIF([7]DATA2!XFB$1:XFB$65536,[8]Octubre!$C1,[7]DATA2!A$1:A$65536)</definedName>
    <definedName name="sdaf" localSheetId="0" hidden="1">{"'para SB'!$A$1420:$F$1479"}</definedName>
    <definedName name="sdaf" hidden="1">{"'para SB'!$A$1420:$F$1479"}</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6">#N/A</definedName>
    <definedName name="SHARED_FORMULA_7">#N/A</definedName>
    <definedName name="SHARED_FORMULA_8">#N/A</definedName>
    <definedName name="SHARED_FORMULA_9">#N/A</definedName>
    <definedName name="TestTypes" localSheetId="7">#REF!</definedName>
    <definedName name="TestTypes">#REF!</definedName>
    <definedName name="TextRefCopyRangeCount" hidden="1">1</definedName>
    <definedName name="Títulos_a_imprimir_IM" localSheetId="7">#REF!,#REF!</definedName>
    <definedName name="Títulos_a_imprimir_IM">#REF!,#REF!</definedName>
    <definedName name="TOTAL" localSheetId="7">#REF!</definedName>
    <definedName name="TOTAL">#REF!</definedName>
    <definedName name="Total_Contagio">SUMIF([7]DATA1!$B$1:$B$65536,[8]Octubre!$C1,[7]DATA1!K$1:K$65536)</definedName>
    <definedName name="Total_Mora">SUMIF([7]DATA1!$B$1:$B$65536,[8]Octubre!$C1,[7]DATA1!K$1:K$65536)</definedName>
    <definedName name="TypesOfTransaction" localSheetId="7">#REF!</definedName>
    <definedName name="TypesOfTransaction">#REF!</definedName>
    <definedName name="uno">'[13]Anexo-Participaciones Dic-11'!$E$9</definedName>
    <definedName name="utilidad" localSheetId="7">'[6]Estado de Resultados'!#REF!</definedName>
    <definedName name="utilidad">'[6]Estado de Resultados'!#REF!</definedName>
    <definedName name="VALID" localSheetId="7">#REF!</definedName>
    <definedName name="VALID">#REF!</definedName>
    <definedName name="VALOR" localSheetId="0" hidden="1">{#N/A,#N/A,FALSE,"ANEXO1";"ACTIVO",#N/A,FALSE,"ANEXO1";"PASIVO",#N/A,FALSE,"ANEXO1";"G Y P",#N/A,FALSE,"ANEXO1"}</definedName>
    <definedName name="VALOR" hidden="1">{#N/A,#N/A,FALSE,"ANEXO1";"ACTIVO",#N/A,FALSE,"ANEXO1";"PASIVO",#N/A,FALSE,"ANEXO1";"G Y P",#N/A,FALSE,"ANEXO1"}</definedName>
    <definedName name="veinticuatro" localSheetId="7">#REF!</definedName>
    <definedName name="veinticuatro">#REF!</definedName>
    <definedName name="veintidos" localSheetId="7">#REF!</definedName>
    <definedName name="veintidos">#REF!</definedName>
    <definedName name="veintitres" localSheetId="7">#REF!</definedName>
    <definedName name="veintitres">#REF!</definedName>
    <definedName name="veintiuno" localSheetId="7">#REF!</definedName>
    <definedName name="veintiuno">#REF!</definedName>
    <definedName name="W">[5]oficial!$G$1:$G$160</definedName>
    <definedName name="we">SUMIF([7]DATA1!$B$1:$B$65536,[8]Octubre!$C1,[7]DATA1!XFA$1:XFA$65536)</definedName>
    <definedName name="weq">SUMIF([7]DATA1!$B$1:$B$65536,[8]Octubre!$C1,[7]DATA1!XFA$1:XFA$65536)</definedName>
    <definedName name="wrn.CONSOLIDADO." localSheetId="0" hidden="1">{#N/A,#N/A,FALSE,"ANEXO1";"ACTIVO",#N/A,FALSE,"ANEXO1";"PASIVO",#N/A,FALSE,"ANEXO1";"G Y P",#N/A,FALSE,"ANEXO1"}</definedName>
    <definedName name="wrn.CONSOLIDADO." hidden="1">{#N/A,#N/A,FALSE,"ANEXO1";"ACTIVO",#N/A,FALSE,"ANEXO1";"PASIVO",#N/A,FALSE,"ANEXO1";"G Y P",#N/A,FALSE,"ANEXO1"}</definedName>
    <definedName name="ws" localSheetId="0" hidden="1">{"'Sheet1'!$A$1:$F$179"}</definedName>
    <definedName name="ws" hidden="1">{"'Sheet1'!$A$1:$F$179"}</definedName>
    <definedName name="XXX" localSheetId="7">#REF!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5" i="26" l="1"/>
  <c r="H99" i="29"/>
  <c r="H100" i="29"/>
  <c r="H101" i="29"/>
  <c r="H102" i="29"/>
  <c r="H103" i="29"/>
  <c r="H104" i="29"/>
  <c r="H105" i="29"/>
  <c r="H106" i="29"/>
  <c r="H107" i="29"/>
  <c r="H108" i="29"/>
  <c r="H109" i="29"/>
  <c r="G99" i="29"/>
  <c r="G100" i="29"/>
  <c r="G101" i="29"/>
  <c r="G102" i="29"/>
  <c r="G103" i="29"/>
  <c r="G104" i="29"/>
  <c r="G105" i="29"/>
  <c r="G106" i="29"/>
  <c r="G107" i="29"/>
  <c r="G108" i="29"/>
  <c r="G109" i="29"/>
  <c r="B82" i="28" l="1"/>
  <c r="B81" i="28"/>
  <c r="B80" i="28"/>
  <c r="B79" i="28"/>
  <c r="B78" i="28"/>
  <c r="B77" i="28"/>
  <c r="B76" i="28"/>
  <c r="B75" i="28"/>
  <c r="B74" i="28"/>
  <c r="B73" i="28"/>
  <c r="B72" i="28"/>
  <c r="B71" i="28"/>
  <c r="B70" i="28"/>
  <c r="B69" i="28"/>
  <c r="B68" i="28"/>
  <c r="B67" i="28"/>
  <c r="B66" i="28"/>
  <c r="B65" i="28"/>
  <c r="B64" i="28"/>
  <c r="B63" i="28"/>
  <c r="B62" i="28"/>
  <c r="B61" i="28"/>
  <c r="B60" i="28"/>
  <c r="B59" i="28"/>
  <c r="B58" i="28"/>
  <c r="B57" i="28"/>
  <c r="B56" i="28"/>
  <c r="B55" i="28"/>
  <c r="B54" i="28"/>
  <c r="B53" i="28"/>
  <c r="B52" i="28"/>
  <c r="B51" i="28"/>
  <c r="B50" i="28"/>
  <c r="B49" i="28"/>
  <c r="B48" i="28"/>
  <c r="B47" i="28"/>
  <c r="B46"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B13" i="28"/>
  <c r="B12" i="28"/>
  <c r="B11" i="28"/>
  <c r="B10" i="28"/>
  <c r="B9" i="28"/>
  <c r="B8" i="28"/>
  <c r="B7" i="28"/>
  <c r="B6" i="28"/>
  <c r="B5" i="28"/>
  <c r="B4" i="28"/>
  <c r="B3" i="28"/>
  <c r="B2" i="28"/>
  <c r="M160" i="20"/>
  <c r="N160" i="20" s="1"/>
  <c r="P160" i="20" s="1"/>
  <c r="D160" i="20"/>
  <c r="M152" i="20"/>
  <c r="N152" i="20" s="1"/>
  <c r="P152" i="20" s="1"/>
  <c r="D152" i="20"/>
  <c r="M138" i="20"/>
  <c r="N138" i="20" s="1"/>
  <c r="P138" i="20" s="1"/>
  <c r="D138" i="20"/>
  <c r="M130" i="20"/>
  <c r="N130" i="20" s="1"/>
  <c r="P130" i="20" s="1"/>
  <c r="D130" i="20"/>
  <c r="M100" i="20"/>
  <c r="D100" i="20"/>
  <c r="M92" i="20"/>
  <c r="N92" i="20" s="1"/>
  <c r="P92" i="20" s="1"/>
  <c r="D92" i="20"/>
  <c r="M84" i="20"/>
  <c r="N84" i="20" s="1"/>
  <c r="P84" i="20" s="1"/>
  <c r="D84" i="20"/>
  <c r="M73" i="20"/>
  <c r="N73" i="20" s="1"/>
  <c r="P73" i="20" s="1"/>
  <c r="D73" i="20"/>
  <c r="M65" i="20"/>
  <c r="D65" i="20"/>
  <c r="M53" i="20"/>
  <c r="N53" i="20" s="1"/>
  <c r="P53" i="20" s="1"/>
  <c r="D53" i="20"/>
  <c r="M44" i="20"/>
  <c r="N44" i="20" s="1"/>
  <c r="P44" i="20" s="1"/>
  <c r="D44" i="20"/>
  <c r="M36" i="20"/>
  <c r="N36" i="20" s="1"/>
  <c r="P36" i="20" s="1"/>
  <c r="D36" i="20"/>
  <c r="M28" i="20"/>
  <c r="D28" i="20"/>
  <c r="M20" i="20"/>
  <c r="N20" i="20" s="1"/>
  <c r="P20" i="20" s="1"/>
  <c r="D20" i="20"/>
  <c r="M182" i="17"/>
  <c r="N182" i="17" s="1"/>
  <c r="P182" i="17" s="1"/>
  <c r="D182" i="17"/>
  <c r="M158" i="17"/>
  <c r="N158" i="17" s="1"/>
  <c r="P158" i="17" s="1"/>
  <c r="D158" i="17"/>
  <c r="M149" i="17"/>
  <c r="N149" i="17" s="1"/>
  <c r="P149" i="17" s="1"/>
  <c r="D149" i="17"/>
  <c r="M140" i="17"/>
  <c r="N140" i="17" s="1"/>
  <c r="P140" i="17" s="1"/>
  <c r="D140" i="17"/>
  <c r="M122" i="17"/>
  <c r="N122" i="17" s="1"/>
  <c r="P122" i="17" s="1"/>
  <c r="D122" i="17"/>
  <c r="M107" i="17"/>
  <c r="N107" i="17" s="1"/>
  <c r="P107" i="17" s="1"/>
  <c r="D107" i="17"/>
  <c r="M86" i="17"/>
  <c r="N86" i="17" s="1"/>
  <c r="P86" i="17" s="1"/>
  <c r="D86" i="17"/>
  <c r="M72" i="17"/>
  <c r="N72" i="17" s="1"/>
  <c r="P72" i="17" s="1"/>
  <c r="D72" i="17"/>
  <c r="M57" i="17"/>
  <c r="N57" i="17" s="1"/>
  <c r="P57" i="17" s="1"/>
  <c r="D57" i="17"/>
  <c r="M46" i="17"/>
  <c r="N46" i="17" s="1"/>
  <c r="P46" i="17" s="1"/>
  <c r="D46" i="17"/>
  <c r="M34" i="17"/>
  <c r="N34" i="17" s="1"/>
  <c r="P34" i="17" s="1"/>
  <c r="D34" i="17"/>
  <c r="M21" i="17"/>
  <c r="N21" i="17" s="1"/>
  <c r="P21" i="17" s="1"/>
  <c r="D21" i="17"/>
  <c r="N151" i="19"/>
  <c r="O151" i="19" s="1"/>
  <c r="Q151" i="19" s="1"/>
  <c r="E151" i="19"/>
  <c r="N143" i="19"/>
  <c r="O143" i="19" s="1"/>
  <c r="Q143" i="19" s="1"/>
  <c r="E143" i="19"/>
  <c r="N135" i="19"/>
  <c r="O135" i="19" s="1"/>
  <c r="Q135" i="19" s="1"/>
  <c r="E135" i="19"/>
  <c r="N126" i="19"/>
  <c r="O126" i="19" s="1"/>
  <c r="Q126" i="19" s="1"/>
  <c r="E126" i="19"/>
  <c r="N116" i="19"/>
  <c r="O116" i="19" s="1"/>
  <c r="Q116" i="19" s="1"/>
  <c r="E116" i="19"/>
  <c r="N108" i="19"/>
  <c r="O108" i="19" s="1"/>
  <c r="Q108" i="19" s="1"/>
  <c r="E108" i="19"/>
  <c r="N96" i="19"/>
  <c r="O96" i="19" s="1"/>
  <c r="Q96" i="19" s="1"/>
  <c r="E96" i="19"/>
  <c r="N88" i="19"/>
  <c r="O88" i="19" s="1"/>
  <c r="Q88" i="19" s="1"/>
  <c r="E88" i="19"/>
  <c r="N78" i="19"/>
  <c r="O78" i="19" s="1"/>
  <c r="Q78" i="19" s="1"/>
  <c r="E78" i="19"/>
  <c r="N67" i="19"/>
  <c r="O67" i="19" s="1"/>
  <c r="Q67" i="19" s="1"/>
  <c r="E67" i="19"/>
  <c r="N52" i="19"/>
  <c r="O52" i="19" s="1"/>
  <c r="Q52" i="19" s="1"/>
  <c r="E52" i="19"/>
  <c r="N41" i="19"/>
  <c r="O41" i="19" s="1"/>
  <c r="Q41" i="19" s="1"/>
  <c r="E41" i="19"/>
  <c r="N31" i="19"/>
  <c r="O31" i="19" s="1"/>
  <c r="Q31" i="19" s="1"/>
  <c r="E31" i="19"/>
  <c r="N19" i="19"/>
  <c r="E19" i="19"/>
  <c r="J201" i="18"/>
  <c r="K201" i="18" s="1"/>
  <c r="M201" i="18" s="1"/>
  <c r="A201" i="18"/>
  <c r="J192" i="18"/>
  <c r="K192" i="18" s="1"/>
  <c r="M192" i="18" s="1"/>
  <c r="A192" i="18"/>
  <c r="J184" i="18"/>
  <c r="K184" i="18" s="1"/>
  <c r="M184" i="18" s="1"/>
  <c r="A184" i="18"/>
  <c r="J173" i="18"/>
  <c r="K173" i="18" s="1"/>
  <c r="M173" i="18" s="1"/>
  <c r="A173" i="18"/>
  <c r="J162" i="18"/>
  <c r="K162" i="18" s="1"/>
  <c r="M162" i="18" s="1"/>
  <c r="A162" i="18"/>
  <c r="J147" i="18"/>
  <c r="K147" i="18" s="1"/>
  <c r="M147" i="18" s="1"/>
  <c r="A147" i="18"/>
  <c r="J128" i="18"/>
  <c r="K128" i="18" s="1"/>
  <c r="M128" i="18" s="1"/>
  <c r="A128" i="18"/>
  <c r="J116" i="18"/>
  <c r="K116" i="18" s="1"/>
  <c r="M116" i="18" s="1"/>
  <c r="A116" i="18"/>
  <c r="J105" i="18"/>
  <c r="K105" i="18" s="1"/>
  <c r="M105" i="18" s="1"/>
  <c r="A105" i="18"/>
  <c r="J91" i="18"/>
  <c r="K91" i="18" s="1"/>
  <c r="M91" i="18" s="1"/>
  <c r="A91" i="18"/>
  <c r="J82" i="18"/>
  <c r="K82" i="18" s="1"/>
  <c r="M82" i="18" s="1"/>
  <c r="A82" i="18"/>
  <c r="J72" i="18"/>
  <c r="K72" i="18" s="1"/>
  <c r="M72" i="18" s="1"/>
  <c r="A72" i="18"/>
  <c r="J61" i="18"/>
  <c r="K61" i="18" s="1"/>
  <c r="M61" i="18" s="1"/>
  <c r="A61" i="18"/>
  <c r="J52" i="18"/>
  <c r="K52" i="18" s="1"/>
  <c r="M52" i="18" s="1"/>
  <c r="A52" i="18"/>
  <c r="J36" i="18"/>
  <c r="K36" i="18" s="1"/>
  <c r="M36" i="18" s="1"/>
  <c r="A36" i="18"/>
  <c r="J28" i="18"/>
  <c r="K28" i="18" s="1"/>
  <c r="M28" i="18" s="1"/>
  <c r="A28" i="18"/>
  <c r="J16" i="18"/>
  <c r="K16" i="18" s="1"/>
  <c r="M16" i="18" s="1"/>
  <c r="A16" i="18"/>
  <c r="K239" i="24"/>
  <c r="L239" i="24" s="1"/>
  <c r="N239" i="24" s="1"/>
  <c r="B239" i="24"/>
  <c r="K231" i="24"/>
  <c r="L231" i="24" s="1"/>
  <c r="N231" i="24" s="1"/>
  <c r="B231" i="24"/>
  <c r="K223" i="24"/>
  <c r="L223" i="24" s="1"/>
  <c r="N223" i="24" s="1"/>
  <c r="B223" i="24"/>
  <c r="K206" i="24"/>
  <c r="L206" i="24" s="1"/>
  <c r="N206" i="24" s="1"/>
  <c r="B206" i="24"/>
  <c r="K198" i="24"/>
  <c r="L198" i="24" s="1"/>
  <c r="N198" i="24" s="1"/>
  <c r="B198" i="24"/>
  <c r="K191" i="24"/>
  <c r="L191" i="24" s="1"/>
  <c r="N191" i="24" s="1"/>
  <c r="B191" i="24"/>
  <c r="K180" i="24"/>
  <c r="L180" i="24" s="1"/>
  <c r="N180" i="24" s="1"/>
  <c r="B180" i="24"/>
  <c r="K172" i="24"/>
  <c r="L172" i="24" s="1"/>
  <c r="N172" i="24" s="1"/>
  <c r="B172" i="24"/>
  <c r="K164" i="24"/>
  <c r="L164" i="24" s="1"/>
  <c r="B164" i="24"/>
  <c r="K156" i="24"/>
  <c r="L156" i="24" s="1"/>
  <c r="N156" i="24" s="1"/>
  <c r="B156" i="24"/>
  <c r="K148" i="24"/>
  <c r="L148" i="24" s="1"/>
  <c r="N148" i="24" s="1"/>
  <c r="B148" i="24"/>
  <c r="K140" i="24"/>
  <c r="L140" i="24" s="1"/>
  <c r="N140" i="24" s="1"/>
  <c r="B140" i="24"/>
  <c r="K132" i="24"/>
  <c r="L132" i="24" s="1"/>
  <c r="N132" i="24" s="1"/>
  <c r="B132" i="24"/>
  <c r="K120" i="24"/>
  <c r="L120" i="24" s="1"/>
  <c r="N120" i="24" s="1"/>
  <c r="B120" i="24"/>
  <c r="K112" i="24"/>
  <c r="L112" i="24" s="1"/>
  <c r="N112" i="24" s="1"/>
  <c r="B112" i="24"/>
  <c r="K104" i="24"/>
  <c r="L104" i="24" s="1"/>
  <c r="N104" i="24" s="1"/>
  <c r="B104" i="24"/>
  <c r="K93" i="24"/>
  <c r="L93" i="24" s="1"/>
  <c r="N93" i="24" s="1"/>
  <c r="B93" i="24"/>
  <c r="K85" i="24"/>
  <c r="L85" i="24" s="1"/>
  <c r="N85" i="24" s="1"/>
  <c r="B85" i="24"/>
  <c r="K77" i="24"/>
  <c r="L77" i="24" s="1"/>
  <c r="N77" i="24" s="1"/>
  <c r="B77" i="24"/>
  <c r="K66" i="24"/>
  <c r="L66" i="24" s="1"/>
  <c r="N66" i="24" s="1"/>
  <c r="B66" i="24"/>
  <c r="K58" i="24"/>
  <c r="L58" i="24" s="1"/>
  <c r="N58" i="24" s="1"/>
  <c r="B58" i="24"/>
  <c r="K50" i="24"/>
  <c r="L50" i="24" s="1"/>
  <c r="N50" i="24" s="1"/>
  <c r="B50" i="24"/>
  <c r="K41" i="24"/>
  <c r="B41" i="24"/>
  <c r="K32" i="24"/>
  <c r="L32" i="24" s="1"/>
  <c r="N32" i="24" s="1"/>
  <c r="B32" i="24"/>
  <c r="K24" i="24"/>
  <c r="B24" i="24"/>
  <c r="A2" i="23"/>
  <c r="L40" i="28" l="1"/>
  <c r="H56" i="29" s="1"/>
  <c r="C58" i="28"/>
  <c r="F55" i="28"/>
  <c r="F56" i="28"/>
  <c r="F63" i="28"/>
  <c r="G66" i="28"/>
  <c r="G56" i="28"/>
  <c r="G61" i="28"/>
  <c r="K66" i="28"/>
  <c r="G81" i="29" s="1"/>
  <c r="L66" i="28"/>
  <c r="H81" i="29" s="1"/>
  <c r="F58" i="28"/>
  <c r="G63" i="28"/>
  <c r="C67" i="28"/>
  <c r="K68" i="28"/>
  <c r="G83" i="29" s="1"/>
  <c r="K58" i="28"/>
  <c r="G74" i="29" s="1"/>
  <c r="F60" i="28"/>
  <c r="C62" i="28"/>
  <c r="L63" i="28"/>
  <c r="H78" i="29" s="1"/>
  <c r="G65" i="28"/>
  <c r="E67" i="28"/>
  <c r="F67" i="28"/>
  <c r="G67" i="28"/>
  <c r="E58" i="28"/>
  <c r="C65" i="28"/>
  <c r="K56" i="28"/>
  <c r="G72" i="29" s="1"/>
  <c r="E65" i="28"/>
  <c r="K63" i="28"/>
  <c r="G78" i="29" s="1"/>
  <c r="C55" i="28"/>
  <c r="G60" i="28"/>
  <c r="K65" i="28"/>
  <c r="G80" i="29" s="1"/>
  <c r="E55" i="28"/>
  <c r="C64" i="28"/>
  <c r="K55" i="28"/>
  <c r="G71" i="29" s="1"/>
  <c r="F57" i="28"/>
  <c r="C59" i="28"/>
  <c r="G62" i="28"/>
  <c r="E64" i="28"/>
  <c r="K67" i="28"/>
  <c r="G82" i="29" s="1"/>
  <c r="K61" i="28"/>
  <c r="G77" i="29" s="1"/>
  <c r="G58" i="28"/>
  <c r="C57" i="28"/>
  <c r="L58" i="28"/>
  <c r="H74" i="29" s="1"/>
  <c r="E62" i="28"/>
  <c r="E57" i="28"/>
  <c r="K60" i="28"/>
  <c r="G76" i="29" s="1"/>
  <c r="F62" i="28"/>
  <c r="L65" i="28"/>
  <c r="H80" i="29" s="1"/>
  <c r="L60" i="28"/>
  <c r="H76" i="29" s="1"/>
  <c r="L55" i="28"/>
  <c r="H71" i="29" s="1"/>
  <c r="G57" i="28"/>
  <c r="E59" i="28"/>
  <c r="K62" i="28"/>
  <c r="F64" i="28"/>
  <c r="C66" i="28"/>
  <c r="L67" i="28"/>
  <c r="H82" i="29" s="1"/>
  <c r="L59" i="28"/>
  <c r="H75" i="29" s="1"/>
  <c r="E63" i="28"/>
  <c r="C60" i="28"/>
  <c r="L61" i="28"/>
  <c r="H77" i="29" s="1"/>
  <c r="L56" i="28"/>
  <c r="H72" i="29" s="1"/>
  <c r="E60" i="28"/>
  <c r="F65" i="28"/>
  <c r="K57" i="28"/>
  <c r="G73" i="29" s="1"/>
  <c r="F59" i="28"/>
  <c r="C61" i="28"/>
  <c r="L62" i="28"/>
  <c r="G64" i="28"/>
  <c r="E66" i="28"/>
  <c r="F66" i="28"/>
  <c r="C56" i="28"/>
  <c r="L57" i="28"/>
  <c r="H73" i="29" s="1"/>
  <c r="G59" i="28"/>
  <c r="E61" i="28"/>
  <c r="K64" i="28"/>
  <c r="G79" i="29" s="1"/>
  <c r="E56" i="28"/>
  <c r="K59" i="28"/>
  <c r="G75" i="29" s="1"/>
  <c r="F61" i="28"/>
  <c r="C63" i="28"/>
  <c r="L64" i="28"/>
  <c r="H79" i="29" s="1"/>
  <c r="L41" i="28"/>
  <c r="H57" i="29" s="1"/>
  <c r="G26" i="28"/>
  <c r="L29" i="28"/>
  <c r="L33" i="28"/>
  <c r="H49" i="29" s="1"/>
  <c r="L42" i="28"/>
  <c r="L38" i="28"/>
  <c r="H54" i="29" s="1"/>
  <c r="L30" i="28"/>
  <c r="L34" i="28"/>
  <c r="H50" i="29" s="1"/>
  <c r="L39" i="28"/>
  <c r="H55" i="29" s="1"/>
  <c r="L31" i="28"/>
  <c r="H47" i="29" s="1"/>
  <c r="L28" i="28"/>
  <c r="L32" i="28"/>
  <c r="H48" i="29" s="1"/>
  <c r="L37" i="28"/>
  <c r="H53" i="29" s="1"/>
  <c r="K32" i="28"/>
  <c r="G48" i="29" s="1"/>
  <c r="C26" i="28"/>
  <c r="F26" i="28"/>
  <c r="E26" i="28"/>
  <c r="K26" i="28"/>
  <c r="G39" i="29" s="1"/>
  <c r="E27" i="28"/>
  <c r="F28" i="28"/>
  <c r="G29" i="28"/>
  <c r="K30" i="28"/>
  <c r="C34" i="28"/>
  <c r="E35" i="28"/>
  <c r="E41" i="28"/>
  <c r="C32" i="28"/>
  <c r="E33" i="28"/>
  <c r="F34" i="28"/>
  <c r="G35" i="28"/>
  <c r="E28" i="28"/>
  <c r="K31" i="28"/>
  <c r="G47" i="29" s="1"/>
  <c r="K29" i="28"/>
  <c r="G27" i="28"/>
  <c r="K27" i="28"/>
  <c r="G40" i="29" s="1"/>
  <c r="C31" i="28"/>
  <c r="E32" i="28"/>
  <c r="F33" i="28"/>
  <c r="G34" i="28"/>
  <c r="K35" i="28"/>
  <c r="G51" i="29" s="1"/>
  <c r="G39" i="28"/>
  <c r="G30" i="28"/>
  <c r="E34" i="28"/>
  <c r="C30" i="28"/>
  <c r="E31" i="28"/>
  <c r="F32" i="28"/>
  <c r="G33" i="28"/>
  <c r="K34" i="28"/>
  <c r="G50" i="29" s="1"/>
  <c r="G28" i="28"/>
  <c r="C33" i="28"/>
  <c r="F35" i="28"/>
  <c r="K28" i="28"/>
  <c r="L26" i="28"/>
  <c r="H39" i="29" s="1"/>
  <c r="C29" i="28"/>
  <c r="E30" i="28"/>
  <c r="F31" i="28"/>
  <c r="G32" i="28"/>
  <c r="K33" i="28"/>
  <c r="G49" i="29" s="1"/>
  <c r="C36" i="28"/>
  <c r="C27" i="28"/>
  <c r="F29" i="28"/>
  <c r="C35" i="28"/>
  <c r="F27" i="28"/>
  <c r="C41" i="28"/>
  <c r="L27" i="28"/>
  <c r="H40" i="29" s="1"/>
  <c r="C28" i="28"/>
  <c r="E29" i="28"/>
  <c r="F30" i="28"/>
  <c r="G31" i="28"/>
  <c r="C68" i="28"/>
  <c r="L68" i="28"/>
  <c r="H83" i="29" s="1"/>
  <c r="G68" i="28"/>
  <c r="E68" i="28"/>
  <c r="K39" i="28"/>
  <c r="G55" i="29" s="1"/>
  <c r="F36" i="28"/>
  <c r="E38" i="28"/>
  <c r="F38" i="28"/>
  <c r="L36" i="28"/>
  <c r="H52" i="29" s="1"/>
  <c r="E40" i="28"/>
  <c r="K38" i="28"/>
  <c r="G54" i="29" s="1"/>
  <c r="C42" i="28"/>
  <c r="E42" i="28"/>
  <c r="E37" i="28"/>
  <c r="K40" i="28"/>
  <c r="G56" i="29" s="1"/>
  <c r="F42" i="28"/>
  <c r="F37" i="28"/>
  <c r="C39" i="28"/>
  <c r="G42" i="28"/>
  <c r="L35" i="28"/>
  <c r="H51" i="29" s="1"/>
  <c r="G37" i="28"/>
  <c r="E39" i="28"/>
  <c r="K42" i="28"/>
  <c r="G58" i="29" s="1"/>
  <c r="E36" i="28"/>
  <c r="F41" i="28"/>
  <c r="C38" i="28"/>
  <c r="G41" i="28"/>
  <c r="G36" i="28"/>
  <c r="K41" i="28"/>
  <c r="G57" i="29" s="1"/>
  <c r="K36" i="28"/>
  <c r="G52" i="29" s="1"/>
  <c r="C40" i="28"/>
  <c r="G38" i="28"/>
  <c r="F40" i="28"/>
  <c r="C37" i="28"/>
  <c r="G40" i="28"/>
  <c r="K37" i="28"/>
  <c r="G53" i="29" s="1"/>
  <c r="F39" i="28"/>
  <c r="F68" i="28"/>
  <c r="L71" i="28"/>
  <c r="H86" i="29" s="1"/>
  <c r="G82" i="28"/>
  <c r="G69" i="28"/>
  <c r="G75" i="28"/>
  <c r="F74" i="28"/>
  <c r="K25" i="28"/>
  <c r="G38" i="29" s="1"/>
  <c r="L77" i="28"/>
  <c r="H92" i="29" s="1"/>
  <c r="F70" i="28"/>
  <c r="E69" i="28"/>
  <c r="G71" i="28"/>
  <c r="L69" i="28"/>
  <c r="H84" i="29" s="1"/>
  <c r="L73" i="28"/>
  <c r="H88" i="29" s="1"/>
  <c r="C80" i="28"/>
  <c r="E73" i="28"/>
  <c r="K80" i="28"/>
  <c r="C70" i="28"/>
  <c r="E81" i="28"/>
  <c r="K72" i="28"/>
  <c r="G87" i="29" s="1"/>
  <c r="G79" i="28"/>
  <c r="C76" i="28"/>
  <c r="L81" i="28"/>
  <c r="H97" i="29" s="1"/>
  <c r="E77" i="28"/>
  <c r="C72" i="28"/>
  <c r="F78" i="28"/>
  <c r="K70" i="28"/>
  <c r="G85" i="29" s="1"/>
  <c r="E71" i="28"/>
  <c r="K76" i="28"/>
  <c r="G91" i="29" s="1"/>
  <c r="O19" i="19"/>
  <c r="Q19" i="19" s="1"/>
  <c r="G55" i="28" s="1"/>
  <c r="G2" i="28"/>
  <c r="F72" i="28"/>
  <c r="G73" i="28"/>
  <c r="C74" i="28"/>
  <c r="K74" i="28"/>
  <c r="G89" i="29" s="1"/>
  <c r="E75" i="28"/>
  <c r="L75" i="28"/>
  <c r="H90" i="29" s="1"/>
  <c r="F76" i="28"/>
  <c r="G77" i="28"/>
  <c r="C78" i="28"/>
  <c r="K78" i="28"/>
  <c r="G93" i="29" s="1"/>
  <c r="E79" i="28"/>
  <c r="L79" i="28"/>
  <c r="H94" i="29" s="1"/>
  <c r="F80" i="28"/>
  <c r="G81" i="28"/>
  <c r="C82" i="28"/>
  <c r="K82" i="28"/>
  <c r="G98" i="29" s="1"/>
  <c r="N28" i="20"/>
  <c r="P28" i="20" s="1"/>
  <c r="G70" i="28" s="1"/>
  <c r="N65" i="20"/>
  <c r="P65" i="20" s="1"/>
  <c r="G74" i="28" s="1"/>
  <c r="N100" i="20"/>
  <c r="P100" i="20" s="1"/>
  <c r="G78" i="28" s="1"/>
  <c r="C69" i="28"/>
  <c r="K69" i="28"/>
  <c r="G84" i="29" s="1"/>
  <c r="E70" i="28"/>
  <c r="L70" i="28"/>
  <c r="H85" i="29" s="1"/>
  <c r="F71" i="28"/>
  <c r="G72" i="28"/>
  <c r="C73" i="28"/>
  <c r="K73" i="28"/>
  <c r="G88" i="29" s="1"/>
  <c r="E74" i="28"/>
  <c r="L74" i="28"/>
  <c r="H89" i="29" s="1"/>
  <c r="F75" i="28"/>
  <c r="G76" i="28"/>
  <c r="C77" i="28"/>
  <c r="K77" i="28"/>
  <c r="G92" i="29" s="1"/>
  <c r="E78" i="28"/>
  <c r="L78" i="28"/>
  <c r="H93" i="29" s="1"/>
  <c r="F79" i="28"/>
  <c r="G80" i="28"/>
  <c r="C81" i="28"/>
  <c r="K81" i="28"/>
  <c r="G97" i="29" s="1"/>
  <c r="E82" i="28"/>
  <c r="L82" i="28"/>
  <c r="H98" i="29" s="1"/>
  <c r="F82" i="28"/>
  <c r="F69" i="28"/>
  <c r="C71" i="28"/>
  <c r="K71" i="28"/>
  <c r="G86" i="29" s="1"/>
  <c r="E72" i="28"/>
  <c r="L72" i="28"/>
  <c r="H87" i="29" s="1"/>
  <c r="F73" i="28"/>
  <c r="C75" i="28"/>
  <c r="K75" i="28"/>
  <c r="G90" i="29" s="1"/>
  <c r="E76" i="28"/>
  <c r="L76" i="28"/>
  <c r="H91" i="29" s="1"/>
  <c r="F77" i="28"/>
  <c r="C79" i="28"/>
  <c r="K79" i="28"/>
  <c r="G94" i="29" s="1"/>
  <c r="E80" i="28"/>
  <c r="L80" i="28"/>
  <c r="F81" i="28"/>
  <c r="G53" i="28"/>
  <c r="K46" i="28"/>
  <c r="G62" i="29" s="1"/>
  <c r="L52" i="28"/>
  <c r="H68" i="29" s="1"/>
  <c r="F51" i="28"/>
  <c r="C43" i="28"/>
  <c r="C2" i="28"/>
  <c r="K2" i="28"/>
  <c r="E3" i="28"/>
  <c r="C4" i="28"/>
  <c r="K4" i="28"/>
  <c r="G17" i="29" s="1"/>
  <c r="E5" i="28"/>
  <c r="L5" i="28"/>
  <c r="H18" i="29" s="1"/>
  <c r="F6" i="28"/>
  <c r="G7" i="28"/>
  <c r="C8" i="28"/>
  <c r="K8" i="28"/>
  <c r="G21" i="29" s="1"/>
  <c r="E9" i="28"/>
  <c r="L9" i="28"/>
  <c r="H22" i="29" s="1"/>
  <c r="F10" i="28"/>
  <c r="G11" i="28"/>
  <c r="C12" i="28"/>
  <c r="K12" i="28"/>
  <c r="G24" i="29" s="1"/>
  <c r="E13" i="28"/>
  <c r="L13" i="28"/>
  <c r="H26" i="29" s="1"/>
  <c r="F14" i="28"/>
  <c r="G15" i="28"/>
  <c r="C16" i="28"/>
  <c r="K16" i="28"/>
  <c r="G29" i="29" s="1"/>
  <c r="E17" i="28"/>
  <c r="L17" i="28"/>
  <c r="H30" i="29" s="1"/>
  <c r="F18" i="28"/>
  <c r="G19" i="28"/>
  <c r="C20" i="28"/>
  <c r="K20" i="28"/>
  <c r="G33" i="29" s="1"/>
  <c r="E21" i="28"/>
  <c r="L21" i="28"/>
  <c r="H34" i="29" s="1"/>
  <c r="F22" i="28"/>
  <c r="G23" i="28"/>
  <c r="C24" i="28"/>
  <c r="K24" i="28"/>
  <c r="G37" i="29" s="1"/>
  <c r="E25" i="28"/>
  <c r="L25" i="28"/>
  <c r="H38" i="29" s="1"/>
  <c r="F3" i="28"/>
  <c r="E2" i="28"/>
  <c r="L2" i="28"/>
  <c r="K3" i="28"/>
  <c r="G16" i="29" s="1"/>
  <c r="E4" i="28"/>
  <c r="L4" i="28"/>
  <c r="H17" i="29" s="1"/>
  <c r="F5" i="28"/>
  <c r="G6" i="28"/>
  <c r="C7" i="28"/>
  <c r="K7" i="28"/>
  <c r="G20" i="29" s="1"/>
  <c r="E8" i="28"/>
  <c r="L8" i="28"/>
  <c r="H21" i="29" s="1"/>
  <c r="F9" i="28"/>
  <c r="G10" i="28"/>
  <c r="C11" i="28"/>
  <c r="K11" i="28"/>
  <c r="G25" i="29" s="1"/>
  <c r="E12" i="28"/>
  <c r="L12" i="28"/>
  <c r="H24" i="29" s="1"/>
  <c r="F13" i="28"/>
  <c r="G14" i="28"/>
  <c r="C15" i="28"/>
  <c r="K15" i="28"/>
  <c r="G28" i="29" s="1"/>
  <c r="E16" i="28"/>
  <c r="L16" i="28"/>
  <c r="H29" i="29" s="1"/>
  <c r="F17" i="28"/>
  <c r="G18" i="28"/>
  <c r="C19" i="28"/>
  <c r="K19" i="28"/>
  <c r="G32" i="29" s="1"/>
  <c r="E20" i="28"/>
  <c r="L20" i="28"/>
  <c r="H33" i="29" s="1"/>
  <c r="F21" i="28"/>
  <c r="G22" i="28"/>
  <c r="C23" i="28"/>
  <c r="K23" i="28"/>
  <c r="G36" i="29" s="1"/>
  <c r="E24" i="28"/>
  <c r="L24" i="28"/>
  <c r="H37" i="29" s="1"/>
  <c r="F25" i="28"/>
  <c r="F2" i="28"/>
  <c r="L3" i="28"/>
  <c r="H16" i="29" s="1"/>
  <c r="F4" i="28"/>
  <c r="G5" i="28"/>
  <c r="C6" i="28"/>
  <c r="K6" i="28"/>
  <c r="G19" i="29" s="1"/>
  <c r="E7" i="28"/>
  <c r="L7" i="28"/>
  <c r="H20" i="29" s="1"/>
  <c r="F8" i="28"/>
  <c r="G9" i="28"/>
  <c r="C10" i="28"/>
  <c r="K10" i="28"/>
  <c r="G23" i="29" s="1"/>
  <c r="E11" i="28"/>
  <c r="L11" i="28"/>
  <c r="H25" i="29" s="1"/>
  <c r="F12" i="28"/>
  <c r="G13" i="28"/>
  <c r="C14" i="28"/>
  <c r="K14" i="28"/>
  <c r="G27" i="29" s="1"/>
  <c r="E15" i="28"/>
  <c r="L15" i="28"/>
  <c r="H28" i="29" s="1"/>
  <c r="F16" i="28"/>
  <c r="G17" i="28"/>
  <c r="C18" i="28"/>
  <c r="K18" i="28"/>
  <c r="G31" i="29" s="1"/>
  <c r="E19" i="28"/>
  <c r="L19" i="28"/>
  <c r="H32" i="29" s="1"/>
  <c r="F20" i="28"/>
  <c r="G21" i="28"/>
  <c r="C22" i="28"/>
  <c r="K22" i="28"/>
  <c r="G35" i="29" s="1"/>
  <c r="E23" i="28"/>
  <c r="L23" i="28"/>
  <c r="H36" i="29" s="1"/>
  <c r="F24" i="28"/>
  <c r="G25" i="28"/>
  <c r="C3" i="28"/>
  <c r="G4" i="28"/>
  <c r="C5" i="28"/>
  <c r="K5" i="28"/>
  <c r="G18" i="29" s="1"/>
  <c r="E6" i="28"/>
  <c r="L6" i="28"/>
  <c r="H19" i="29" s="1"/>
  <c r="F7" i="28"/>
  <c r="G8" i="28"/>
  <c r="C9" i="28"/>
  <c r="K9" i="28"/>
  <c r="G22" i="29" s="1"/>
  <c r="E10" i="28"/>
  <c r="L10" i="28"/>
  <c r="H23" i="29" s="1"/>
  <c r="F11" i="28"/>
  <c r="G12" i="28"/>
  <c r="C13" i="28"/>
  <c r="K13" i="28"/>
  <c r="G26" i="29" s="1"/>
  <c r="E14" i="28"/>
  <c r="L14" i="28"/>
  <c r="H27" i="29" s="1"/>
  <c r="F15" i="28"/>
  <c r="G16" i="28"/>
  <c r="C17" i="28"/>
  <c r="K17" i="28"/>
  <c r="G30" i="29" s="1"/>
  <c r="E18" i="28"/>
  <c r="L18" i="28"/>
  <c r="H31" i="29" s="1"/>
  <c r="F19" i="28"/>
  <c r="G20" i="28"/>
  <c r="C21" i="28"/>
  <c r="K21" i="28"/>
  <c r="G34" i="29" s="1"/>
  <c r="E22" i="28"/>
  <c r="L22" i="28"/>
  <c r="H35" i="29" s="1"/>
  <c r="F23" i="28"/>
  <c r="G24" i="28"/>
  <c r="C25" i="28"/>
  <c r="L41" i="24"/>
  <c r="N41" i="24" s="1"/>
  <c r="G3" i="28" s="1"/>
  <c r="L46" i="28"/>
  <c r="H62" i="29" s="1"/>
  <c r="G51" i="28"/>
  <c r="K44" i="28"/>
  <c r="G60" i="29" s="1"/>
  <c r="K53" i="28"/>
  <c r="G69" i="29" s="1"/>
  <c r="L53" i="28"/>
  <c r="H69" i="29" s="1"/>
  <c r="K49" i="28"/>
  <c r="G65" i="29" s="1"/>
  <c r="K51" i="28"/>
  <c r="G67" i="29" s="1"/>
  <c r="C45" i="28"/>
  <c r="E47" i="28"/>
  <c r="G54" i="28"/>
  <c r="F45" i="28"/>
  <c r="C52" i="28"/>
  <c r="C48" i="28"/>
  <c r="C50" i="28"/>
  <c r="E52" i="28"/>
  <c r="L54" i="28"/>
  <c r="H70" i="29" s="1"/>
  <c r="E48" i="28"/>
  <c r="E50" i="28"/>
  <c r="C54" i="28"/>
  <c r="L49" i="28"/>
  <c r="H65" i="29" s="1"/>
  <c r="K48" i="28"/>
  <c r="G64" i="29" s="1"/>
  <c r="G45" i="28"/>
  <c r="F44" i="28"/>
  <c r="E43" i="28"/>
  <c r="L51" i="28"/>
  <c r="H67" i="29" s="1"/>
  <c r="K50" i="28"/>
  <c r="G66" i="29" s="1"/>
  <c r="G47" i="28"/>
  <c r="F46" i="28"/>
  <c r="E45" i="28"/>
  <c r="C44" i="28"/>
  <c r="G52" i="28"/>
  <c r="C51" i="28"/>
  <c r="G48" i="28"/>
  <c r="C47" i="28"/>
  <c r="F43" i="28"/>
  <c r="K54" i="28"/>
  <c r="G70" i="29" s="1"/>
  <c r="F53" i="28"/>
  <c r="C49" i="28"/>
  <c r="L47" i="28"/>
  <c r="H63" i="29" s="1"/>
  <c r="E46" i="28"/>
  <c r="E53" i="28"/>
  <c r="G50" i="28"/>
  <c r="K47" i="28"/>
  <c r="G63" i="29" s="1"/>
  <c r="C46" i="28"/>
  <c r="L44" i="28"/>
  <c r="H60" i="29" s="1"/>
  <c r="G43" i="28"/>
  <c r="F54" i="28"/>
  <c r="K52" i="28"/>
  <c r="G68" i="29" s="1"/>
  <c r="E51" i="28"/>
  <c r="G49" i="28"/>
  <c r="G44" i="28"/>
  <c r="E54" i="28"/>
  <c r="F49" i="28"/>
  <c r="E44" i="28"/>
  <c r="E49" i="28"/>
  <c r="L45" i="28"/>
  <c r="H61" i="29" s="1"/>
  <c r="F52" i="28"/>
  <c r="L50" i="28"/>
  <c r="H66" i="29" s="1"/>
  <c r="F47" i="28"/>
  <c r="K45" i="28"/>
  <c r="G61" i="29" s="1"/>
  <c r="K43" i="28"/>
  <c r="G59" i="29" s="1"/>
  <c r="F48" i="28"/>
  <c r="F50" i="28"/>
  <c r="L43" i="28"/>
  <c r="H59" i="29" s="1"/>
  <c r="G46" i="28"/>
  <c r="L48" i="28"/>
  <c r="H64" i="29" s="1"/>
  <c r="C53" i="28"/>
  <c r="I98" i="29" l="1"/>
  <c r="I97" i="29"/>
  <c r="G96" i="29"/>
  <c r="G95" i="29"/>
  <c r="H95" i="29"/>
  <c r="H96" i="29"/>
  <c r="I26" i="29"/>
  <c r="G43" i="29"/>
  <c r="G46" i="29"/>
  <c r="G42" i="29"/>
  <c r="G45" i="29"/>
  <c r="G41" i="29"/>
  <c r="G44" i="29"/>
  <c r="H42" i="29"/>
  <c r="H45" i="29"/>
  <c r="H43" i="29"/>
  <c r="H46" i="29"/>
  <c r="H41" i="29"/>
  <c r="H44" i="29"/>
  <c r="I28" i="29"/>
  <c r="I25" i="29"/>
  <c r="I27" i="29"/>
  <c r="M41" i="28"/>
  <c r="M40" i="28"/>
  <c r="M55" i="28"/>
  <c r="M29" i="28"/>
  <c r="M38" i="28"/>
  <c r="M60" i="28"/>
  <c r="M56" i="28"/>
  <c r="M66" i="28"/>
  <c r="M58" i="28"/>
  <c r="M59" i="28"/>
  <c r="M57" i="28"/>
  <c r="M61" i="28"/>
  <c r="M67" i="28"/>
  <c r="M62" i="28"/>
  <c r="M64" i="28"/>
  <c r="M65" i="28"/>
  <c r="M63" i="28"/>
  <c r="M68" i="28"/>
  <c r="M33" i="28"/>
  <c r="M32" i="28"/>
  <c r="M37" i="28"/>
  <c r="M28" i="28"/>
  <c r="M42" i="28"/>
  <c r="M31" i="28"/>
  <c r="M35" i="28"/>
  <c r="M34" i="28"/>
  <c r="M30" i="28"/>
  <c r="M39" i="28"/>
  <c r="M26" i="28"/>
  <c r="M27" i="28"/>
  <c r="M36" i="28"/>
  <c r="I67" i="28"/>
  <c r="M25" i="28"/>
  <c r="M71" i="28"/>
  <c r="M73" i="28"/>
  <c r="M2" i="28"/>
  <c r="I23" i="28"/>
  <c r="I15" i="28"/>
  <c r="I7" i="28"/>
  <c r="M77" i="28"/>
  <c r="M81" i="28"/>
  <c r="K97" i="29" s="1"/>
  <c r="M69" i="28"/>
  <c r="M76" i="28"/>
  <c r="M80" i="28"/>
  <c r="M72" i="28"/>
  <c r="M70" i="28"/>
  <c r="M24" i="28"/>
  <c r="M16" i="28"/>
  <c r="M8" i="28"/>
  <c r="M15" i="28"/>
  <c r="K28" i="29" s="1"/>
  <c r="M7" i="28"/>
  <c r="I59" i="28"/>
  <c r="I55" i="28"/>
  <c r="I63" i="28"/>
  <c r="I80" i="28"/>
  <c r="I31" i="28"/>
  <c r="I62" i="28"/>
  <c r="I58" i="28"/>
  <c r="I26" i="28"/>
  <c r="M10" i="28"/>
  <c r="I46" i="28"/>
  <c r="I36" i="28"/>
  <c r="M18" i="28"/>
  <c r="I24" i="28"/>
  <c r="I16" i="28"/>
  <c r="I8" i="28"/>
  <c r="M21" i="28"/>
  <c r="M13" i="28"/>
  <c r="K26" i="29" s="1"/>
  <c r="M5" i="28"/>
  <c r="I81" i="28"/>
  <c r="I18" i="28"/>
  <c r="I65" i="28"/>
  <c r="M78" i="28"/>
  <c r="M75" i="28"/>
  <c r="M46" i="28"/>
  <c r="I45" i="28"/>
  <c r="I37" i="28"/>
  <c r="I39" i="28"/>
  <c r="I72" i="28"/>
  <c r="I56" i="28"/>
  <c r="I25" i="28"/>
  <c r="I10" i="28"/>
  <c r="I50" i="28"/>
  <c r="I47" i="28"/>
  <c r="I54" i="28"/>
  <c r="I43" i="28"/>
  <c r="I44" i="28"/>
  <c r="I73" i="28"/>
  <c r="I48" i="28"/>
  <c r="I78" i="28"/>
  <c r="I29" i="28"/>
  <c r="I35" i="28"/>
  <c r="I66" i="28"/>
  <c r="I34" i="28"/>
  <c r="I32" i="28"/>
  <c r="I19" i="28"/>
  <c r="I11" i="28"/>
  <c r="I20" i="28"/>
  <c r="I12" i="28"/>
  <c r="I4" i="28"/>
  <c r="M12" i="28"/>
  <c r="M20" i="28"/>
  <c r="M17" i="28"/>
  <c r="M9" i="28"/>
  <c r="M4" i="28"/>
  <c r="I79" i="28"/>
  <c r="I71" i="28"/>
  <c r="I70" i="28"/>
  <c r="I33" i="28"/>
  <c r="I61" i="28"/>
  <c r="I3" i="28"/>
  <c r="I64" i="28"/>
  <c r="I42" i="28"/>
  <c r="I28" i="28"/>
  <c r="I30" i="28"/>
  <c r="M23" i="28"/>
  <c r="M11" i="28"/>
  <c r="K25" i="29" s="1"/>
  <c r="I52" i="28"/>
  <c r="I49" i="28"/>
  <c r="I53" i="28"/>
  <c r="I74" i="28"/>
  <c r="I41" i="28"/>
  <c r="I75" i="28"/>
  <c r="I57" i="28"/>
  <c r="I27" i="28"/>
  <c r="I68" i="28"/>
  <c r="I60" i="28"/>
  <c r="I40" i="28"/>
  <c r="I9" i="28"/>
  <c r="I2" i="28"/>
  <c r="I38" i="28"/>
  <c r="I17" i="28"/>
  <c r="I77" i="28"/>
  <c r="I69" i="28"/>
  <c r="I76" i="28"/>
  <c r="I82" i="28"/>
  <c r="I51" i="28"/>
  <c r="M79" i="28"/>
  <c r="M82" i="28"/>
  <c r="K98" i="29" s="1"/>
  <c r="M74" i="28"/>
  <c r="M52" i="28"/>
  <c r="M22" i="28"/>
  <c r="M19" i="28"/>
  <c r="M14" i="28"/>
  <c r="K27" i="29" s="1"/>
  <c r="M6" i="28"/>
  <c r="M3" i="28"/>
  <c r="I21" i="28"/>
  <c r="I13" i="28"/>
  <c r="I5" i="28"/>
  <c r="I22" i="28"/>
  <c r="I14" i="28"/>
  <c r="I6" i="28"/>
  <c r="H53" i="28"/>
  <c r="M47" i="28"/>
  <c r="M51" i="28"/>
  <c r="M48" i="28"/>
  <c r="H78" i="28"/>
  <c r="H79" i="28"/>
  <c r="H80" i="28"/>
  <c r="H81" i="28"/>
  <c r="H82" i="28"/>
  <c r="H70" i="28"/>
  <c r="H58" i="28"/>
  <c r="H34" i="28"/>
  <c r="H22" i="28"/>
  <c r="H10" i="28"/>
  <c r="H72" i="28"/>
  <c r="H60" i="28"/>
  <c r="H36" i="28"/>
  <c r="H24" i="28"/>
  <c r="H12" i="28"/>
  <c r="H71" i="28"/>
  <c r="H35" i="28"/>
  <c r="H14" i="28"/>
  <c r="H4" i="28"/>
  <c r="H61" i="28"/>
  <c r="H43" i="28"/>
  <c r="H5" i="28"/>
  <c r="H62" i="28"/>
  <c r="H25" i="28"/>
  <c r="H15" i="28"/>
  <c r="H6" i="28"/>
  <c r="H39" i="28"/>
  <c r="H30" i="28"/>
  <c r="H21" i="28"/>
  <c r="H40" i="28"/>
  <c r="H31" i="28"/>
  <c r="H63" i="28"/>
  <c r="H55" i="28"/>
  <c r="H41" i="28"/>
  <c r="H32" i="28"/>
  <c r="H13" i="28"/>
  <c r="H73" i="28"/>
  <c r="H64" i="28"/>
  <c r="H56" i="28"/>
  <c r="H42" i="28"/>
  <c r="H33" i="28"/>
  <c r="H23" i="28"/>
  <c r="H57" i="28"/>
  <c r="H37" i="28"/>
  <c r="H65" i="28"/>
  <c r="H38" i="28"/>
  <c r="H7" i="28"/>
  <c r="H74" i="28"/>
  <c r="H66" i="28"/>
  <c r="H59" i="28"/>
  <c r="H8" i="28"/>
  <c r="H75" i="28"/>
  <c r="H67" i="28"/>
  <c r="H16" i="28"/>
  <c r="H9" i="28"/>
  <c r="H76" i="28"/>
  <c r="H68" i="28"/>
  <c r="H17" i="28"/>
  <c r="H77" i="28"/>
  <c r="H69" i="28"/>
  <c r="H18" i="28"/>
  <c r="H2" i="28"/>
  <c r="H26" i="28"/>
  <c r="H19" i="28"/>
  <c r="H11" i="28"/>
  <c r="H3" i="28"/>
  <c r="H27" i="28"/>
  <c r="H20" i="28"/>
  <c r="H28" i="28"/>
  <c r="H29" i="28"/>
  <c r="H45" i="28"/>
  <c r="H54" i="28"/>
  <c r="H48" i="28"/>
  <c r="H46" i="28"/>
  <c r="H52" i="28"/>
  <c r="H50" i="28"/>
  <c r="M49" i="28"/>
  <c r="M53" i="28"/>
  <c r="M43" i="28"/>
  <c r="H44" i="28"/>
  <c r="H47" i="28"/>
  <c r="M44" i="28"/>
  <c r="H49" i="28"/>
  <c r="M50" i="28"/>
  <c r="H51" i="28"/>
  <c r="M45" i="28"/>
  <c r="M54" i="28"/>
  <c r="I96" i="29" l="1"/>
  <c r="I95" i="29"/>
  <c r="K96" i="29"/>
  <c r="K95" i="29"/>
  <c r="N59" i="28"/>
  <c r="N67" i="28"/>
  <c r="N60" i="28"/>
  <c r="N65" i="28"/>
  <c r="N58" i="28"/>
  <c r="N62" i="28"/>
  <c r="N61" i="28"/>
  <c r="N63" i="28"/>
  <c r="N66" i="28"/>
  <c r="N64" i="28"/>
  <c r="N56" i="28"/>
  <c r="N57" i="28"/>
  <c r="N68" i="28"/>
  <c r="N55" i="28"/>
  <c r="N41" i="28"/>
  <c r="N34" i="28"/>
  <c r="N39" i="28"/>
  <c r="N26" i="28"/>
  <c r="N42" i="28"/>
  <c r="N38" i="28"/>
  <c r="N30" i="28"/>
  <c r="N35" i="28"/>
  <c r="N27" i="28"/>
  <c r="N37" i="28"/>
  <c r="N29" i="28"/>
  <c r="N36" i="28"/>
  <c r="N28" i="28"/>
  <c r="N40" i="28"/>
  <c r="N33" i="28"/>
  <c r="N32" i="28"/>
  <c r="N31" i="28"/>
  <c r="N70" i="28"/>
  <c r="N72" i="28"/>
  <c r="N79" i="28"/>
  <c r="N80" i="28"/>
  <c r="N77" i="28"/>
  <c r="N69" i="28"/>
  <c r="N76" i="28"/>
  <c r="N10" i="28"/>
  <c r="N6" i="28"/>
  <c r="N7" i="28"/>
  <c r="N17" i="28"/>
  <c r="N23" i="28"/>
  <c r="N4" i="28"/>
  <c r="N20" i="28"/>
  <c r="N24" i="28"/>
  <c r="N5" i="28"/>
  <c r="N9" i="28"/>
  <c r="N12" i="28"/>
  <c r="N13" i="28"/>
  <c r="N19" i="28"/>
  <c r="N25" i="28"/>
  <c r="N14" i="28"/>
  <c r="N8" i="28"/>
  <c r="N21" i="28"/>
  <c r="N22" i="28"/>
  <c r="N16" i="28"/>
  <c r="N11" i="28"/>
  <c r="N18" i="28"/>
  <c r="N2" i="28"/>
  <c r="N15" i="28"/>
  <c r="N3" i="28"/>
  <c r="N75" i="28"/>
  <c r="N73" i="28"/>
  <c r="N78" i="28"/>
  <c r="N81" i="28"/>
  <c r="N74" i="28"/>
  <c r="N82" i="28"/>
  <c r="N71" i="28"/>
  <c r="N51" i="28"/>
  <c r="N53" i="28"/>
  <c r="N47" i="28"/>
  <c r="N45" i="28"/>
  <c r="N50" i="28"/>
  <c r="N43" i="28"/>
  <c r="N52" i="28"/>
  <c r="N54" i="28"/>
  <c r="N49" i="28"/>
  <c r="N46" i="28"/>
  <c r="N44" i="28"/>
  <c r="N48" i="28"/>
  <c r="C163" i="29"/>
  <c r="C151" i="29"/>
  <c r="C139" i="29"/>
  <c r="C127" i="29"/>
  <c r="C115" i="29"/>
  <c r="C162" i="29"/>
  <c r="C147" i="29"/>
  <c r="C134" i="29"/>
  <c r="C132" i="29"/>
  <c r="C119" i="29"/>
  <c r="C149" i="29"/>
  <c r="C161" i="29"/>
  <c r="C159" i="29"/>
  <c r="C157" i="29"/>
  <c r="C155" i="29"/>
  <c r="C153" i="29"/>
  <c r="C146" i="29"/>
  <c r="C129" i="29"/>
  <c r="C114" i="29"/>
  <c r="C158" i="29"/>
  <c r="C141" i="29"/>
  <c r="C136" i="29"/>
  <c r="C126" i="29"/>
  <c r="C148" i="29"/>
  <c r="C131" i="29"/>
  <c r="C116" i="29"/>
  <c r="C160" i="29"/>
  <c r="C143" i="29"/>
  <c r="C138" i="29"/>
  <c r="C128" i="29"/>
  <c r="C121" i="29"/>
  <c r="C111" i="29"/>
  <c r="C142" i="29"/>
  <c r="C124" i="29"/>
  <c r="C164" i="29"/>
  <c r="C145" i="29"/>
  <c r="C130" i="29"/>
  <c r="C123" i="29"/>
  <c r="C156" i="29"/>
  <c r="C152" i="29"/>
  <c r="C112" i="29"/>
  <c r="C137" i="29"/>
  <c r="C133" i="29"/>
  <c r="C118" i="29"/>
  <c r="C144" i="29"/>
  <c r="C140" i="29"/>
  <c r="C122" i="29"/>
  <c r="C125" i="29"/>
  <c r="C154" i="29"/>
  <c r="C150" i="29"/>
  <c r="C110" i="29"/>
  <c r="C113" i="29"/>
  <c r="C135" i="29"/>
  <c r="C120" i="29"/>
  <c r="C117" i="29"/>
  <c r="H113" i="29" l="1"/>
  <c r="G113" i="29"/>
  <c r="G111" i="29"/>
  <c r="H111" i="29"/>
  <c r="H110" i="29"/>
  <c r="G110" i="29"/>
  <c r="H114" i="29"/>
  <c r="G114" i="29"/>
  <c r="H116" i="29"/>
  <c r="G116" i="29"/>
  <c r="H112" i="29"/>
  <c r="G112" i="29"/>
  <c r="G115" i="29"/>
  <c r="H115" i="29"/>
  <c r="K15" i="29"/>
  <c r="H15" i="29"/>
  <c r="G15" i="29"/>
  <c r="K19" i="29"/>
  <c r="G25" i="26"/>
  <c r="G25" i="32"/>
  <c r="E25" i="32"/>
  <c r="G27" i="26"/>
  <c r="O27" i="26" s="1"/>
  <c r="G27" i="32"/>
  <c r="O27" i="32" s="1"/>
  <c r="E27" i="32"/>
  <c r="G29" i="32"/>
  <c r="O29" i="32" s="1"/>
  <c r="E29" i="32"/>
  <c r="O31" i="26"/>
  <c r="G31" i="32"/>
  <c r="O31" i="32" s="1"/>
  <c r="E31" i="32"/>
  <c r="O33" i="26"/>
  <c r="O33" i="32"/>
  <c r="E33" i="32"/>
  <c r="E31" i="26"/>
  <c r="E27" i="26"/>
  <c r="E33" i="26"/>
  <c r="E25" i="26"/>
  <c r="K33" i="29"/>
  <c r="K58" i="29"/>
  <c r="K20" i="29"/>
  <c r="G147" i="29"/>
  <c r="H147" i="29"/>
  <c r="F147" i="29"/>
  <c r="E147" i="29"/>
  <c r="D147" i="29"/>
  <c r="B147" i="29" s="1"/>
  <c r="K79" i="29"/>
  <c r="K55" i="29"/>
  <c r="G124" i="29"/>
  <c r="F124" i="29"/>
  <c r="E124" i="29"/>
  <c r="H124" i="29"/>
  <c r="D124" i="29"/>
  <c r="B124" i="29" s="1"/>
  <c r="K35" i="29"/>
  <c r="D153" i="29"/>
  <c r="B153" i="29" s="1"/>
  <c r="F153" i="29"/>
  <c r="E153" i="29"/>
  <c r="G153" i="29"/>
  <c r="H153" i="29"/>
  <c r="K63" i="29"/>
  <c r="K47" i="29"/>
  <c r="G123" i="29"/>
  <c r="H123" i="29"/>
  <c r="F123" i="29"/>
  <c r="E123" i="29"/>
  <c r="D123" i="29"/>
  <c r="B123" i="29" s="1"/>
  <c r="K29" i="29"/>
  <c r="K45" i="29"/>
  <c r="D155" i="29"/>
  <c r="B155" i="29" s="1"/>
  <c r="H155" i="29"/>
  <c r="G155" i="29"/>
  <c r="F155" i="29"/>
  <c r="E155" i="29"/>
  <c r="K67" i="29"/>
  <c r="E125" i="29"/>
  <c r="H125" i="29"/>
  <c r="G125" i="29"/>
  <c r="F125" i="29"/>
  <c r="D125" i="29"/>
  <c r="B125" i="29" s="1"/>
  <c r="K91" i="29"/>
  <c r="G29" i="26"/>
  <c r="E29" i="26"/>
  <c r="K16" i="29"/>
  <c r="K49" i="29"/>
  <c r="K39" i="29"/>
  <c r="H140" i="29"/>
  <c r="G140" i="29"/>
  <c r="F140" i="29"/>
  <c r="E140" i="29"/>
  <c r="D140" i="29"/>
  <c r="B140" i="29" s="1"/>
  <c r="K34" i="29"/>
  <c r="D145" i="29"/>
  <c r="B145" i="29" s="1"/>
  <c r="H145" i="29"/>
  <c r="G145" i="29"/>
  <c r="F145" i="29"/>
  <c r="E145" i="29"/>
  <c r="K57" i="29"/>
  <c r="K83" i="29"/>
  <c r="K74" i="29"/>
  <c r="K93" i="29"/>
  <c r="G159" i="29"/>
  <c r="D159" i="29"/>
  <c r="B159" i="29" s="1"/>
  <c r="H159" i="29"/>
  <c r="F159" i="29"/>
  <c r="E159" i="29"/>
  <c r="K92" i="29"/>
  <c r="E115" i="29"/>
  <c r="F115" i="29"/>
  <c r="D115" i="29"/>
  <c r="B115" i="29" s="1"/>
  <c r="F154" i="29"/>
  <c r="G154" i="29"/>
  <c r="H154" i="29"/>
  <c r="E154" i="29"/>
  <c r="D154" i="29"/>
  <c r="B154" i="29" s="1"/>
  <c r="E137" i="29"/>
  <c r="H137" i="29"/>
  <c r="G137" i="29"/>
  <c r="F137" i="29"/>
  <c r="D137" i="29"/>
  <c r="B137" i="29" s="1"/>
  <c r="K44" i="29"/>
  <c r="F121" i="29"/>
  <c r="E121" i="29"/>
  <c r="D121" i="29"/>
  <c r="B121" i="29" s="1"/>
  <c r="H121" i="29"/>
  <c r="G121" i="29"/>
  <c r="H148" i="29"/>
  <c r="E148" i="29"/>
  <c r="D148" i="29"/>
  <c r="B148" i="29" s="1"/>
  <c r="G148" i="29"/>
  <c r="F148" i="29"/>
  <c r="K69" i="29"/>
  <c r="K77" i="29"/>
  <c r="K21" i="29"/>
  <c r="K52" i="29"/>
  <c r="K60" i="29"/>
  <c r="K76" i="29"/>
  <c r="K62" i="29"/>
  <c r="K94" i="29"/>
  <c r="K86" i="29"/>
  <c r="K32" i="29"/>
  <c r="K31" i="29"/>
  <c r="K61" i="29"/>
  <c r="E113" i="29"/>
  <c r="F113" i="29"/>
  <c r="D113" i="29"/>
  <c r="B113" i="29" s="1"/>
  <c r="H122" i="29"/>
  <c r="F122" i="29"/>
  <c r="E122" i="29"/>
  <c r="G122" i="29"/>
  <c r="D122" i="29"/>
  <c r="B122" i="29" s="1"/>
  <c r="K30" i="29"/>
  <c r="F130" i="29"/>
  <c r="D130" i="29"/>
  <c r="B130" i="29" s="1"/>
  <c r="H130" i="29"/>
  <c r="G130" i="29"/>
  <c r="E130" i="29"/>
  <c r="K54" i="29"/>
  <c r="K42" i="29"/>
  <c r="K70" i="29"/>
  <c r="D157" i="29"/>
  <c r="B157" i="29" s="1"/>
  <c r="H157" i="29"/>
  <c r="G157" i="29"/>
  <c r="F157" i="29"/>
  <c r="E157" i="29"/>
  <c r="K82" i="29"/>
  <c r="K81" i="29"/>
  <c r="K41" i="29"/>
  <c r="D144" i="29"/>
  <c r="B144" i="29" s="1"/>
  <c r="H144" i="29"/>
  <c r="G144" i="29"/>
  <c r="F144" i="29"/>
  <c r="E144" i="29"/>
  <c r="K53" i="29"/>
  <c r="K36" i="29"/>
  <c r="K64" i="29"/>
  <c r="K87" i="29"/>
  <c r="E161" i="29"/>
  <c r="D161" i="29"/>
  <c r="B161" i="29" s="1"/>
  <c r="H161" i="29"/>
  <c r="G161" i="29"/>
  <c r="F161" i="29"/>
  <c r="F127" i="29"/>
  <c r="E127" i="29"/>
  <c r="D127" i="29"/>
  <c r="B127" i="29" s="1"/>
  <c r="H127" i="29"/>
  <c r="G127" i="29"/>
  <c r="K75" i="29"/>
  <c r="K84" i="29"/>
  <c r="K71" i="29"/>
  <c r="E112" i="29"/>
  <c r="D112" i="29"/>
  <c r="B112" i="29" s="1"/>
  <c r="F112" i="29"/>
  <c r="K68" i="29"/>
  <c r="E114" i="29"/>
  <c r="D114" i="29"/>
  <c r="B114" i="29" s="1"/>
  <c r="F114" i="29"/>
  <c r="D117" i="29"/>
  <c r="B117" i="29" s="1"/>
  <c r="H117" i="29"/>
  <c r="G117" i="29"/>
  <c r="F117" i="29"/>
  <c r="E117" i="29"/>
  <c r="E110" i="29"/>
  <c r="D110" i="29"/>
  <c r="B110" i="29" s="1"/>
  <c r="F110" i="29"/>
  <c r="K65" i="29"/>
  <c r="F118" i="29"/>
  <c r="E118" i="29"/>
  <c r="D118" i="29"/>
  <c r="B118" i="29" s="1"/>
  <c r="H118" i="29"/>
  <c r="G118" i="29"/>
  <c r="H152" i="29"/>
  <c r="G152" i="29"/>
  <c r="F152" i="29"/>
  <c r="E152" i="29"/>
  <c r="D152" i="29"/>
  <c r="B152" i="29" s="1"/>
  <c r="H164" i="29"/>
  <c r="D164" i="29"/>
  <c r="B164" i="29" s="1"/>
  <c r="G164" i="29"/>
  <c r="F164" i="29"/>
  <c r="E164" i="29"/>
  <c r="K85" i="29"/>
  <c r="E116" i="29"/>
  <c r="D116" i="29"/>
  <c r="B116" i="29" s="1"/>
  <c r="F116" i="29"/>
  <c r="H136" i="29"/>
  <c r="G136" i="29"/>
  <c r="D136" i="29"/>
  <c r="B136" i="29" s="1"/>
  <c r="F136" i="29"/>
  <c r="E136" i="29"/>
  <c r="H129" i="29"/>
  <c r="G129" i="29"/>
  <c r="F129" i="29"/>
  <c r="E129" i="29"/>
  <c r="D129" i="29"/>
  <c r="B129" i="29" s="1"/>
  <c r="K51" i="29"/>
  <c r="D119" i="29"/>
  <c r="B119" i="29" s="1"/>
  <c r="H119" i="29"/>
  <c r="G119" i="29"/>
  <c r="F119" i="29"/>
  <c r="E119" i="29"/>
  <c r="D151" i="29"/>
  <c r="B151" i="29" s="1"/>
  <c r="H151" i="29"/>
  <c r="G151" i="29"/>
  <c r="F151" i="29"/>
  <c r="E151" i="29"/>
  <c r="D120" i="29"/>
  <c r="B120" i="29" s="1"/>
  <c r="F120" i="29"/>
  <c r="E120" i="29"/>
  <c r="H120" i="29"/>
  <c r="G120" i="29"/>
  <c r="K17" i="29"/>
  <c r="K56" i="29"/>
  <c r="E158" i="29"/>
  <c r="D158" i="29"/>
  <c r="B158" i="29" s="1"/>
  <c r="H158" i="29"/>
  <c r="G158" i="29"/>
  <c r="F158" i="29"/>
  <c r="H134" i="29"/>
  <c r="G134" i="29"/>
  <c r="F134" i="29"/>
  <c r="E134" i="29"/>
  <c r="D134" i="29"/>
  <c r="B134" i="29" s="1"/>
  <c r="G135" i="29"/>
  <c r="H135" i="29"/>
  <c r="F135" i="29"/>
  <c r="E135" i="29"/>
  <c r="D135" i="29"/>
  <c r="B135" i="29" s="1"/>
  <c r="K50" i="29"/>
  <c r="K46" i="29"/>
  <c r="H128" i="29"/>
  <c r="E128" i="29"/>
  <c r="G128" i="29"/>
  <c r="F128" i="29"/>
  <c r="D128" i="29"/>
  <c r="B128" i="29" s="1"/>
  <c r="K80" i="29"/>
  <c r="K88" i="29"/>
  <c r="K37" i="29"/>
  <c r="K22" i="29"/>
  <c r="K78" i="29"/>
  <c r="H138" i="29"/>
  <c r="G138" i="29"/>
  <c r="F138" i="29"/>
  <c r="E138" i="29"/>
  <c r="D138" i="29"/>
  <c r="B138" i="29" s="1"/>
  <c r="K18" i="29"/>
  <c r="K38" i="29"/>
  <c r="H162" i="29"/>
  <c r="G162" i="29"/>
  <c r="F162" i="29"/>
  <c r="E162" i="29"/>
  <c r="D162" i="29"/>
  <c r="B162" i="29" s="1"/>
  <c r="E143" i="29"/>
  <c r="G143" i="29"/>
  <c r="F143" i="29"/>
  <c r="D143" i="29"/>
  <c r="B143" i="29" s="1"/>
  <c r="H143" i="29"/>
  <c r="K48" i="29"/>
  <c r="K59" i="29"/>
  <c r="K90" i="29"/>
  <c r="D160" i="29"/>
  <c r="B160" i="29" s="1"/>
  <c r="G160" i="29"/>
  <c r="F160" i="29"/>
  <c r="E160" i="29"/>
  <c r="H160" i="29"/>
  <c r="K72" i="29"/>
  <c r="K24" i="29"/>
  <c r="F142" i="29"/>
  <c r="H142" i="29"/>
  <c r="G142" i="29"/>
  <c r="E142" i="29"/>
  <c r="D142" i="29"/>
  <c r="B142" i="29" s="1"/>
  <c r="K89" i="29"/>
  <c r="E149" i="29"/>
  <c r="G149" i="29"/>
  <c r="F149" i="29"/>
  <c r="D149" i="29"/>
  <c r="B149" i="29" s="1"/>
  <c r="H149" i="29"/>
  <c r="K43" i="29"/>
  <c r="F126" i="29"/>
  <c r="G126" i="29"/>
  <c r="E126" i="29"/>
  <c r="D126" i="29"/>
  <c r="B126" i="29" s="1"/>
  <c r="H126" i="29"/>
  <c r="G139" i="29"/>
  <c r="H139" i="29"/>
  <c r="F139" i="29"/>
  <c r="E139" i="29"/>
  <c r="D139" i="29"/>
  <c r="B139" i="29" s="1"/>
  <c r="K23" i="29"/>
  <c r="H150" i="29"/>
  <c r="G150" i="29"/>
  <c r="F150" i="29"/>
  <c r="E150" i="29"/>
  <c r="D150" i="29"/>
  <c r="B150" i="29" s="1"/>
  <c r="K73" i="29"/>
  <c r="G133" i="29"/>
  <c r="F133" i="29"/>
  <c r="E133" i="29"/>
  <c r="D133" i="29"/>
  <c r="B133" i="29" s="1"/>
  <c r="H133" i="29"/>
  <c r="D156" i="29"/>
  <c r="B156" i="29" s="1"/>
  <c r="F156" i="29"/>
  <c r="H156" i="29"/>
  <c r="G156" i="29"/>
  <c r="E156" i="29"/>
  <c r="K40" i="29"/>
  <c r="F111" i="29"/>
  <c r="E111" i="29"/>
  <c r="D111" i="29"/>
  <c r="B111" i="29" s="1"/>
  <c r="E131" i="29"/>
  <c r="D131" i="29"/>
  <c r="B131" i="29" s="1"/>
  <c r="F131" i="29"/>
  <c r="H131" i="29"/>
  <c r="G131" i="29"/>
  <c r="F141" i="29"/>
  <c r="D141" i="29"/>
  <c r="B141" i="29" s="1"/>
  <c r="H141" i="29"/>
  <c r="G141" i="29"/>
  <c r="E141" i="29"/>
  <c r="H146" i="29"/>
  <c r="D146" i="29"/>
  <c r="B146" i="29" s="1"/>
  <c r="G146" i="29"/>
  <c r="F146" i="29"/>
  <c r="E146" i="29"/>
  <c r="K66" i="29"/>
  <c r="D132" i="29"/>
  <c r="B132" i="29" s="1"/>
  <c r="H132" i="29"/>
  <c r="G132" i="29"/>
  <c r="F132" i="29"/>
  <c r="E132" i="29"/>
  <c r="E163" i="29"/>
  <c r="D163" i="29"/>
  <c r="B163" i="29" s="1"/>
  <c r="H163" i="29"/>
  <c r="G163" i="29"/>
  <c r="F163" i="29"/>
  <c r="L59" i="29" l="1"/>
  <c r="L71" i="29"/>
  <c r="L39" i="29"/>
  <c r="L84" i="29"/>
  <c r="I15" i="29"/>
  <c r="I19" i="29"/>
  <c r="M7" i="26"/>
  <c r="O25" i="32"/>
  <c r="M7" i="32"/>
  <c r="I90" i="29"/>
  <c r="I48" i="29"/>
  <c r="I22" i="29"/>
  <c r="I88" i="29"/>
  <c r="I50" i="29"/>
  <c r="I87" i="29"/>
  <c r="I62" i="29"/>
  <c r="I67" i="29"/>
  <c r="I35" i="29"/>
  <c r="I92" i="29"/>
  <c r="I78" i="29"/>
  <c r="I56" i="29"/>
  <c r="I42" i="29"/>
  <c r="I47" i="29"/>
  <c r="I60" i="29"/>
  <c r="I83" i="29"/>
  <c r="I91" i="29"/>
  <c r="I68" i="29"/>
  <c r="I75" i="29"/>
  <c r="I57" i="29"/>
  <c r="I41" i="29"/>
  <c r="I64" i="29"/>
  <c r="I69" i="29"/>
  <c r="I38" i="29"/>
  <c r="I85" i="29"/>
  <c r="I84" i="29"/>
  <c r="I49" i="29"/>
  <c r="I55" i="29"/>
  <c r="I81" i="29"/>
  <c r="I44" i="29"/>
  <c r="I94" i="29"/>
  <c r="I76" i="29"/>
  <c r="I73" i="29"/>
  <c r="I23" i="29"/>
  <c r="I51" i="29"/>
  <c r="I70" i="29"/>
  <c r="I66" i="29"/>
  <c r="I58" i="29"/>
  <c r="I40" i="29"/>
  <c r="I59" i="29"/>
  <c r="I30" i="29"/>
  <c r="I79" i="29"/>
  <c r="I20" i="29"/>
  <c r="I24" i="29"/>
  <c r="I36" i="29"/>
  <c r="I31" i="29"/>
  <c r="I34" i="29"/>
  <c r="I29" i="29"/>
  <c r="I63" i="29"/>
  <c r="I32" i="29"/>
  <c r="I74" i="29"/>
  <c r="I16" i="29"/>
  <c r="I46" i="29"/>
  <c r="I65" i="29"/>
  <c r="I71" i="29"/>
  <c r="I82" i="29"/>
  <c r="I61" i="29"/>
  <c r="I33" i="29"/>
  <c r="I54" i="29"/>
  <c r="I17" i="29"/>
  <c r="O29" i="26"/>
  <c r="I21" i="29"/>
  <c r="I53" i="29"/>
  <c r="I93" i="29"/>
  <c r="I80" i="29"/>
  <c r="I77" i="29"/>
  <c r="I39" i="29"/>
  <c r="I86" i="29"/>
  <c r="I45" i="29"/>
  <c r="L15" i="29"/>
  <c r="I43" i="29"/>
  <c r="I89" i="29"/>
  <c r="I72" i="29"/>
  <c r="I18" i="29"/>
  <c r="I37" i="29"/>
  <c r="I52" i="29"/>
</calcChain>
</file>

<file path=xl/sharedStrings.xml><?xml version="1.0" encoding="utf-8"?>
<sst xmlns="http://schemas.openxmlformats.org/spreadsheetml/2006/main" count="2040" uniqueCount="1144">
  <si>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</si>
  <si>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</si>
  <si>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</si>
  <si>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t xml:space="preserve">El archivo contiene las siguientes hojas:
 -  </t>
    </r>
    <r>
      <rPr>
        <b/>
        <sz val="11"/>
        <rFont val="Arial Narrow"/>
        <family val="2"/>
      </rPr>
      <t xml:space="preserve">Pestañas por cada uno de los componentes de control interno: </t>
    </r>
    <r>
      <rPr>
        <sz val="10"/>
        <rFont val="Arial Narrow"/>
        <family val="2"/>
      </rPr>
      <t>"Ambiente de Control", "Evaluación de riesgos", "Actividades de control", "Información y Comunicación", y " Actividades de Monitoreo". las cuales cuentan todas con la siguiente estructura:</t>
    </r>
  </si>
  <si>
    <t>Columna</t>
  </si>
  <si>
    <t>Descripción</t>
  </si>
  <si>
    <r>
      <t xml:space="preserve">
</t>
    </r>
    <r>
      <rPr>
        <b/>
        <i/>
        <u/>
        <sz val="9"/>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</si>
  <si>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</si>
  <si>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</si>
  <si>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</si>
  <si>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t>Evaluación "</t>
    </r>
    <r>
      <rPr>
        <b/>
        <sz val="10"/>
        <rFont val="Arial Narrow"/>
        <family val="2"/>
      </rPr>
      <t>si se encuentra Presente"</t>
    </r>
    <r>
      <rPr>
        <b/>
        <sz val="9"/>
        <rFont val="Arial Narrow"/>
        <family val="2"/>
      </rPr>
      <t xml:space="preserve">
</t>
    </r>
    <r>
      <rPr>
        <sz val="9"/>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</si>
  <si>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</si>
  <si>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</si>
  <si>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</si>
  <si>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</si>
  <si>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</si>
  <si>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</si>
  <si>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</si>
  <si>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</si>
  <si>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t xml:space="preserve">Evaluación </t>
    </r>
    <r>
      <rPr>
        <b/>
        <sz val="10"/>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</si>
  <si>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</si>
  <si>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xml:space="preserve">, permitiéndo definir puntos de mejora a través de los componentes del MECI y </t>
    </r>
    <r>
      <rPr>
        <sz val="10"/>
        <color rgb="FFFF0000"/>
        <rFont val="Arial Narrow"/>
        <family val="2"/>
      </rPr>
      <t>su articulacion</t>
    </r>
    <r>
      <rPr>
        <sz val="10"/>
        <rFont val="Arial Narrow"/>
        <family val="2"/>
      </rPr>
      <t xml:space="preserve"> con las Dimensiones del MIPG.</t>
    </r>
  </si>
  <si>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</si>
  <si>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</si>
  <si>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</si>
  <si>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</si>
  <si>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</si>
  <si>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</si>
  <si>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</si>
  <si>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</si>
  <si>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</si>
  <si>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</si>
  <si>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</si>
  <si>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</si>
  <si>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</si>
  <si>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</si>
  <si>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si el Sistema de Control Interno evaluado se encuentra </t>
    </r>
    <r>
      <rPr>
        <b/>
        <sz val="10"/>
        <rFont val="Arial Narrow"/>
        <family val="2"/>
      </rPr>
      <t>PRESENTE y FUNCIONANDO</t>
    </r>
    <r>
      <rPr>
        <sz val="10"/>
        <rFont val="Arial Narrow"/>
        <family val="2"/>
      </rPr>
      <t>, definiendo puntos de mejora a través de los componentes del MECI y su relación con las Dimensiones del MIPG.</t>
    </r>
  </si>
  <si>
    <r>
      <t xml:space="preserve"> -</t>
    </r>
    <r>
      <rPr>
        <sz val="11"/>
        <rFont val="Arial Narrow"/>
        <family val="2"/>
      </rPr>
      <t xml:space="preserve"> </t>
    </r>
    <r>
      <rPr>
        <b/>
        <sz val="11"/>
        <rFont val="Arial Narrow"/>
        <family val="2"/>
      </rPr>
      <t>Definiciones:</t>
    </r>
    <r>
      <rPr>
        <sz val="11"/>
        <rFont val="Arial Narrow"/>
        <family val="2"/>
      </rPr>
      <t xml:space="preserve"> A</t>
    </r>
    <r>
      <rPr>
        <sz val="10"/>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</si>
  <si>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</si>
  <si>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</si>
  <si>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</si>
  <si>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</si>
  <si>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</si>
  <si>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</si>
  <si>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</si>
  <si>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</si>
  <si>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</si>
  <si>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</si>
  <si>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</si>
  <si>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</si>
  <si>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</si>
  <si>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</si>
  <si>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</si>
  <si>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</si>
  <si>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</si>
  <si>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</si>
  <si>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</si>
  <si>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</si>
  <si>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</si>
  <si>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</si>
  <si>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</si>
  <si>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</si>
  <si>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</si>
  <si>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</si>
  <si>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</si>
  <si>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</si>
  <si>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</si>
  <si>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</si>
  <si>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</si>
  <si>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</si>
  <si>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</si>
  <si>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</si>
  <si>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</si>
  <si>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</si>
  <si>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</si>
  <si>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</si>
  <si>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</si>
  <si>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</si>
  <si>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</si>
  <si>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</si>
  <si>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</si>
  <si>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</si>
  <si>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</si>
  <si>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</si>
  <si>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</si>
  <si>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</si>
  <si>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</si>
  <si>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</si>
  <si>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</si>
  <si>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</si>
  <si>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</si>
  <si>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</si>
  <si>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</si>
  <si>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</si>
  <si>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</si>
  <si>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</si>
  <si>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</si>
  <si>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</si>
  <si>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</si>
  <si>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</si>
  <si>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</si>
  <si>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</si>
  <si>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</si>
  <si>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</si>
  <si>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</si>
  <si>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</si>
  <si>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</si>
  <si>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</si>
  <si>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</si>
  <si>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</si>
  <si>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</si>
  <si>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</si>
  <si>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t>Lineamiento 1: 
La entidad demuestra el compromiso con la integridad (valores) y principio+I186+C21:I31+I186+C21:I31+C21:I31+C21:I31</t>
  </si>
  <si>
    <r>
      <t xml:space="preserve">Explicación de cómo la Entidad </t>
    </r>
    <r>
      <rPr>
        <b/>
        <u/>
        <sz val="11"/>
        <color theme="1"/>
        <rFont val="Arial Narrow"/>
        <family val="2"/>
      </rPr>
      <t>evidencia</t>
    </r>
    <r>
      <rPr>
        <b/>
        <sz val="11"/>
        <color theme="1"/>
        <rFont val="Arial Narrow"/>
        <family val="2"/>
      </rPr>
      <t xml:space="preserve"> que está dando respuesta al requerimiento
</t>
    </r>
    <r>
      <rPr>
        <sz val="11"/>
        <color theme="1"/>
        <rFont val="Arial Narrow"/>
        <family val="2"/>
      </rPr>
      <t>Referencia a Procesos, Manuales/Políticas+C21:I31n/Procedimientos/Instructivos u otros desarrollos que den cuente de su aplicación</t>
    </r>
  </si>
  <si>
    <r>
      <t xml:space="preserve">Explicación de cómo la Entidad </t>
    </r>
    <r>
      <rPr>
        <b/>
        <u/>
        <sz val="11"/>
        <color theme="1"/>
        <rFont val="Arial Narrow"/>
        <family val="2"/>
      </rPr>
      <t>evidencia</t>
    </r>
    <r>
      <rPr>
        <b/>
        <sz val="11"/>
        <color theme="1"/>
        <rFont val="Arial Narrow"/>
        <family val="2"/>
      </rPr>
      <t xml:space="preserve"> que está dando respuesta al requerimiento
</t>
    </r>
    <r>
      <rPr>
        <sz val="11"/>
        <color theme="1"/>
        <rFont val="Arial Narrow"/>
        <family val="2"/>
      </rPr>
      <t>Referencia a Procesos, Manuales/Políticas de Operación/Procedimientos/Instructivos u otros desarrollos que den cuente de su aplicación</t>
    </r>
  </si>
  <si>
    <r>
      <t xml:space="preserve">Presente 
</t>
    </r>
    <r>
      <rPr>
        <i/>
        <sz val="11"/>
        <color theme="1"/>
        <rFont val="Arial Narrow"/>
        <family val="2"/>
      </rPr>
      <t>(1/2/3)</t>
    </r>
  </si>
  <si>
    <t xml:space="preserve">EVIDENCIA DEL CONTROL </t>
  </si>
  <si>
    <r>
      <t xml:space="preserve">Funcionando 
</t>
    </r>
    <r>
      <rPr>
        <i/>
        <sz val="11"/>
        <color theme="1"/>
        <rFont val="Arial Narrow"/>
        <family val="2"/>
      </rPr>
      <t>(1/2/3)</t>
    </r>
  </si>
  <si>
    <t xml:space="preserve">Evaluación </t>
  </si>
  <si>
    <t xml:space="preserve">Observaciones de la evaluación independiente (tener en cuenta papel de  líneas de defensa) </t>
  </si>
  <si>
    <t>EJEMPLO</t>
  </si>
  <si>
    <t xml:space="preserve"> Aplicación del Código de Integridad. (incluye análisis de desviaciones, convivencia laboral, temas disciplinarios internos, quejas o denuncias sobres los servidores de la entidad, u otros temas relacionados).</t>
  </si>
  <si>
    <t>Dimensión Talento Humano
Política Integridad</t>
  </si>
  <si>
    <t>Se implementó el Código de Integridad acorde con el esquema definido de 5 valores y sus lineamientos de conducta y se desarrollaron ejercicios internos con talleres para la socialización e interiorización a todos los servidores y contratistas de la entidad.</t>
  </si>
  <si>
    <t xml:space="preserve">Seguimiento al cumplimiento de la elaboración y socialización del Código de Integridad, con base en el informe presentando por la segunda línea de defensa (cuando aplique). </t>
  </si>
  <si>
    <t xml:space="preserve"> Se llevo a cabo un seguimiento a lo dispuesto en el marco del Comité Institucional de Coordinación de Control Interno, donde se determino la necesidad de estructurar el código de integridad siguiendo la metodología de Función Pública, para ello se delego como responsable del mismo al Secretario General.
Se encontró que se realizaron ejercicios lúdicos y participativos para la construcción de los 5 valores institucionales, cada mes se  hacen campañas de interiorización de los mismo al personal de la entidad, teniendo como evidencia el compromiso de los funcionarios con el horario laboral, una reducción del ausentismo así como un bajo porcentaje de quejas por parte de los ciudadanos.
Por otra parte, se realiza seguimiento mensual por parte del Secretario General al cumplimiento de las actividades propuestas en el cronograma.</t>
  </si>
  <si>
    <t>En el marco del Comité Institucional de Control Interno bimensualmente se contrastan quejas internas y externas sobre situaciones irregulares.</t>
  </si>
  <si>
    <t>Se han analizado los temas más críticos acerca en relación con el ausentismo, acoso laboral, solicitudes de traslado y rotación del personal.</t>
  </si>
  <si>
    <t>1.1 Aplicación del Código de Integridad. (incluye análisis de desviaciones, convivencia laboral, temas disciplinarios internos, quejas o denuncias sobres los servidores de la entidad, u otros temas relacionados).</t>
  </si>
  <si>
    <t>informe programa de integridad trimestral</t>
  </si>
  <si>
    <t>Programa de integridad 2025-2028</t>
  </si>
  <si>
    <t>metodologiá</t>
  </si>
  <si>
    <t xml:space="preserve">Resolución integrantes </t>
  </si>
  <si>
    <t xml:space="preserve"> test de percepción de integridad </t>
  </si>
  <si>
    <t xml:space="preserve">1.2 Mecanismos para el manejo de conflictos de interés. </t>
  </si>
  <si>
    <t xml:space="preserve"> </t>
  </si>
  <si>
    <t>1.3 Mecanismos frente a la detección y prevención del uso inadecuado de información privilegiada u otras situaciones que puedan implicar riesgos para la entidad.</t>
  </si>
  <si>
    <t>Dimensión Información y Comunicación
Política Transparencia y Acceso a la Información Pública
Política Gestión Documental</t>
  </si>
  <si>
    <t>https://www.uaesp.gov.co/mipg/documentos-sig/gestionti/planes/Pol%C3%ADticas%20de%20Seguridad%20y%20Privacidad%20de%20la%20Informaci%C3%B3n%202024.pdf</t>
  </si>
  <si>
    <t>https://www.uaesp.gov.co/mipg/documentos-sig/gestionti/procedimientos/GTI-PC-13%20V2%20Cifrado%20de%20Informacion.pdf</t>
  </si>
  <si>
    <t>https://www.uaesp.gov.co/content/registro-activos-informacion-e-indice-informacion-clasificada-y-reservada</t>
  </si>
  <si>
    <t>1.3</t>
  </si>
  <si>
    <t>Auditoría_SGSI(MSPI)</t>
  </si>
  <si>
    <t xml:space="preserve">1.4 La evaluación de las acciones transversales de integridad, mediante el monitoreo permanente de los riesgos de corrupción. </t>
  </si>
  <si>
    <t>Dimensión Talento Humano
Política de Integridad</t>
  </si>
  <si>
    <t>PTEP 2025</t>
  </si>
  <si>
    <t xml:space="preserve">1.5 Análisis sobre viabilidad para el establecimiento de una línea de denuncia interna sobre situaciones irregulares o posibles incumplimientos al código de integridad. NOTA: Si la entidad ya cuenta con esta línea en funcionamiento, establezca si ha aportado para la mejora de los mapas de riesgos o bien en otros ámbitos organizacionales.
</t>
  </si>
  <si>
    <t>Dimensión Direccionamiento Estratégico y Planeación
Plan Anticorrupción y de Atención al Ciudadano</t>
  </si>
  <si>
    <r>
      <rPr>
        <b/>
        <u/>
        <sz val="11"/>
        <color theme="0"/>
        <rFont val="Arial Narrow"/>
        <family val="2"/>
      </rPr>
      <t>Lineamiento 2:</t>
    </r>
    <r>
      <rPr>
        <sz val="11"/>
        <color theme="0"/>
        <rFont val="Arial Narrow"/>
        <family val="2"/>
      </rPr>
      <t xml:space="preserve"> 
Aplicación de mecanismos para ejercer una adecuada supervisión del Sistema de Control Interno </t>
    </r>
  </si>
  <si>
    <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</si>
  <si>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</si>
  <si>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</si>
  <si>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Evaluación</t>
  </si>
  <si>
    <t>2.1 Creación o actualización del Comité Institucional de Coordinación de Control Interno (incluye ajustes en periodicidad para reunión, articulación con el Comité Institucional de Gestión y Desempeño).</t>
  </si>
  <si>
    <t>Dimensión Control Interno
Política de Control Interno</t>
  </si>
  <si>
    <t>https://www.uaesp.gov.co/mipg/sig.php</t>
  </si>
  <si>
    <t>2.2 Definición y documentación del Esquema de Líneas de Defensa</t>
  </si>
  <si>
    <t>Dimensión Control Interno
Política de Control Interno
Líneas de defensa</t>
  </si>
  <si>
    <t>Politica de administración de riesgos</t>
  </si>
  <si>
    <t>Manual del SIG</t>
  </si>
  <si>
    <t>https://www.uaesp.gov.co/upload/resoluciones/2023/RESOLUCION_757_DE_2023.pdf</t>
  </si>
  <si>
    <t>2.3 Definición de líneas de reporte en temas clave para la toma de decisiones, atendiendo el Esquema de Líneas de Defensa</t>
  </si>
  <si>
    <t>Dimensión Control Interno
Política de Control Interno
Línea de Defensa
Dimensión de Información y Comunicación</t>
  </si>
  <si>
    <t>La entidad cuenta con el "Manual Sistema Integrado de Gestión", la Política de Administración de Riesgos, y mediante la Resolución UAESP 757 de 2023 - Instancias de  operacionalización del Sistema de Gestión y Sistema de Control Interno en la UAESP</t>
  </si>
  <si>
    <r>
      <rPr>
        <b/>
        <u/>
        <sz val="11"/>
        <color theme="0"/>
        <rFont val="Arial Narrow"/>
        <family val="2"/>
      </rPr>
      <t>Lineamiento 3:</t>
    </r>
    <r>
      <rPr>
        <sz val="11"/>
        <color theme="0"/>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</si>
  <si>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definir ajustes, dificultades para su desarrollo.</t>
  </si>
  <si>
    <t>Dimensión de Direccionamiento Estratégico y Planeación
Política de Planeación Institucional 
Dimensión Control Interno</t>
  </si>
  <si>
    <t>Política de Administración de Riesgo  2025
Mapa y plan de manejo de riesgos 2025 aprobados en el CIGD (cargado en la página web) y en repositorio de la Segunda linea</t>
  </si>
  <si>
    <t>Administracion de Riesgos 2025. - OAP</t>
  </si>
  <si>
    <t xml:space="preserve">3.2 La Alta Dirección frente a la política de Administración del Riesgo definen los niveles de aceptación del riesgo, teniendo en cuenta cada uno de los objetivos establecidos. </t>
  </si>
  <si>
    <t>Dimensión Control Interno
Política de Control Interno
Línea Estratégica</t>
  </si>
  <si>
    <t>Política de Administración de Riesgo - 
Mapa y plan de manejo de riesgos y oportunidades 2025 (cargado en la página web - link- Programa de Transparencia y Ética Pública -2025) - Tabla niveles de aceptación del riesgo.
Seguimiento trimestral a riesgos el cual se encuentra publicado en la sección de transparencia.</t>
  </si>
  <si>
    <t>publicacion riesgos transparencia</t>
  </si>
  <si>
    <t>3.3 Evaluación de la planeación estratégica, considerando alertas frente a posibles incumplimientos, necesidades de recursos, cambios en el entorno que puedan afectar su desarrollo, entre otros aspectos que garanticen de forma razonable su cumplimiento.</t>
  </si>
  <si>
    <t>Dimensión Evaluación de Resultados 
Política de Seguimiento y Evaluación al Desempeño Institucional
Dimensión Control Interno
Líneas de defensa</t>
  </si>
  <si>
    <t>Seguimiento PAI</t>
  </si>
  <si>
    <t>SEGUIMIENTO SEGUNDA LINEA DE DEFENSA PEI</t>
  </si>
  <si>
    <t>DES-PC-04 V7 Formulación seguimiento y actualización del plan estratégico institucional</t>
  </si>
  <si>
    <t>DES-PC-03 V11 Formulación y seguimiento Plan de Acción Institucional</t>
  </si>
  <si>
    <t>PRESENTACION GENERAL CIGD.pptx</t>
  </si>
  <si>
    <r>
      <rPr>
        <b/>
        <u/>
        <sz val="11"/>
        <color theme="0"/>
        <rFont val="Arial Narrow"/>
        <family val="2"/>
      </rPr>
      <t>Lineamiento 4:</t>
    </r>
    <r>
      <rPr>
        <sz val="11"/>
        <color theme="0"/>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</si>
  <si>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t>4.1 Evaluación de la Planeación Estratégica del Talento Humano.</t>
  </si>
  <si>
    <t>Dimensión de Talento Humano
Política Gestión Estratégica del Talento Humano
Dimensión de Control Interno
Líneas de Defensa</t>
  </si>
  <si>
    <t>indicadores</t>
  </si>
  <si>
    <t>PETH</t>
  </si>
  <si>
    <t>Informe de Auditoría OCI</t>
  </si>
  <si>
    <t>4.2 Evaluación de las actividades relacionadas con el Ingreso del personal.</t>
  </si>
  <si>
    <t>riesgos</t>
  </si>
  <si>
    <t>4.3 Evaluación de las actividades relacionadas con la permanencia del personal.</t>
  </si>
  <si>
    <t>4.4Analizar si se cuenta con políticas claras y comunicadas relacionadas con la responsabilidad de cada servidor sobre el desarrollo y mantenimiento del control interno (1a línea de defensa)</t>
  </si>
  <si>
    <t>GCO-PT-01 V2 Protocolos del Proceso Gestión de Comunicaciones UAESP</t>
  </si>
  <si>
    <t>4.5 Evaluación de las actividades relacionadas con el retiro del personal.</t>
  </si>
  <si>
    <t xml:space="preserve">informe consolidado de entrevistas </t>
  </si>
  <si>
    <t>verificar</t>
  </si>
  <si>
    <t xml:space="preserve">Plan de bienestar </t>
  </si>
  <si>
    <t>4.6 Evaluar el impacto del Plan Institucional de Capacitación - PIC</t>
  </si>
  <si>
    <t>4.7 Evaluación frente a los productos y servicios en los cuales participan los contratistas de apoyo.</t>
  </si>
  <si>
    <t xml:space="preserve"> GAL-MN-01 V 14 Manual de Contratación</t>
  </si>
  <si>
    <t>GAL-MN-04 V3 Manual de Supervisión e Interventoría</t>
  </si>
  <si>
    <t>GFI-FM-18 V 1 Informe mensual de ejecución</t>
  </si>
  <si>
    <r>
      <rPr>
        <b/>
        <u/>
        <sz val="11"/>
        <color theme="0"/>
        <rFont val="Arial Narrow"/>
        <family val="2"/>
      </rPr>
      <t>Lineamiento 5:</t>
    </r>
    <r>
      <rPr>
        <sz val="11"/>
        <color theme="0"/>
        <rFont val="Arial Narrow"/>
        <family val="2"/>
      </rPr>
      <t xml:space="preserve"> 
La entidad establece líneas de reporte dentro de la entidad para evaluar el funcionamiento del Sistema de Control Interno.</t>
    </r>
  </si>
  <si>
    <t>5.1 Acorde con la estructura del Esquema de Líneas de Defensa se han definido estándares de reporte, periodicidad y responsables frente a diferentes temas críticos de la entidad.</t>
  </si>
  <si>
    <t>Dimensión de Información y Comunicación
Dimensión de Control Interno
Líneas de Defensa</t>
  </si>
  <si>
    <t>5.2 La Alta Dirección analiza la información asociada con la generación de reportes financieros.</t>
  </si>
  <si>
    <t xml:space="preserve">
Dimensión de Control Interno
Línea de Estratégica</t>
  </si>
  <si>
    <t>5.3 Teniendo en cuenta la información suministrada por la 2a y 3a línea de defensa se toman decisiones a tiempo para garantizar el cumplimiento de las metas y objetivos.</t>
  </si>
  <si>
    <t>Dimensión de Control Interno
Líneas de Defensa</t>
  </si>
  <si>
    <t>Actas comites primarios</t>
  </si>
  <si>
    <t>5.3</t>
  </si>
  <si>
    <t>5.4 Se evalúa la estructura de control a partir de los cambios en procesos, procedimientos, u otras herramientas, a fin de garantizar su adecuada formulación y afectación frente a la gestión del riesgo.</t>
  </si>
  <si>
    <t>Dimensión de Gestión con Valores para Resultado
Política de Fortalecimiento Organizacional y Simplificación de Procesos
Dimensión Control Interno
Líneas de Defensa</t>
  </si>
  <si>
    <t>La Oficina de Control Interno, como Tercera Línea de Defensa, a través de sus evaluaciones y seguimientos, permanentemente evalúa la estructura de controles y su funcionamiento en la Entidad. Cualquier falla que se identifica en esta estructura de controles es puesta en conocimiento a través de los informes de auditoría, informes de seguimiento y mediante la participación y asesoría en los Comités Institucionales en los que participa la Oficina.</t>
  </si>
  <si>
    <t>5.5 La entidad aprueba y hace seguimiento al Plan Anual de Auditoría presentado y ejecutado por parte de la Oficina de Control Interno.</t>
  </si>
  <si>
    <t>Dimensión Control Interno
Línea Estratégica</t>
  </si>
  <si>
    <t>5.6 La entidad analiza los informes presentados por la Oficina de Control Interno y evalúa su impacto en relación con la mejora institucional.</t>
  </si>
  <si>
    <t>Todos los informes de auditoría y seguimientos realizados por la Oficina de Control Interno, como Tercera Línea de Defensa, son presentados a la Dirección y a los integrantes del Comité de Coordinación de Control Interno, así como a los líderes de proceso y responsables de área respectiva, para que se tomen medidas de mejora de la gestión institucional, las cuales deben registrarse en un Plan de Mejoramiento Específico.
La Oficina de Control Interno, como Tercera Línea de Defensa, realiza seguimientos periodicos a los Planes de Mejoramiento por Procesos, como aporte al monitoreo a los informes de auditoría presentados por dicha oficina.</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</si>
  <si>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</si>
  <si>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</si>
  <si>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rgb="FFFFFFFF"/>
        <rFont val="Arial Narrow"/>
        <family val="2"/>
      </rPr>
      <t xml:space="preserve">Lineamiento 6: 
</t>
    </r>
    <r>
      <rPr>
        <b/>
        <sz val="11"/>
        <color rgb="FFFFFFFF"/>
        <rFont val="Arial Narrow"/>
        <family val="2"/>
      </rPr>
      <t xml:space="preserve">Definición de objetivos con suficiente claridad para identificar y evaluar los riesgos relacionados: i)Estratégicos; ii)Operativos; iii)Legales y Presupuestales; iv)De Información Financiera y no Financiera.
</t>
    </r>
  </si>
  <si>
    <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</si>
  <si>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 xml:space="preserve">Presente
</t>
    </r>
    <r>
      <rPr>
        <i/>
        <sz val="11"/>
        <color theme="0"/>
        <rFont val="Arial Narrow"/>
        <family val="2"/>
      </rPr>
      <t>(1/2/3)</t>
    </r>
  </si>
  <si>
    <r>
      <t xml:space="preserve">Funcionando
</t>
    </r>
    <r>
      <rPr>
        <i/>
        <sz val="11"/>
        <color theme="0"/>
        <rFont val="Arial Narrow"/>
        <family val="2"/>
      </rPr>
      <t>(1/2/3)</t>
    </r>
  </si>
  <si>
    <t xml:space="preserve">Observaciones de la evaluación independiente (tener encuentra papel de  líneas de defensa) </t>
  </si>
  <si>
    <t>6.1  La Entidad cuenta con mecanismos para vincular o relacionar el plan estratégico con los objetivos estratégicos y estos a su vez con los objetivos operativos.</t>
  </si>
  <si>
    <t>Dimensión de Direccionamiento Estratégico y Planeación.
Política de Planeación Institucional</t>
  </si>
  <si>
    <t xml:space="preserve">La UAESP tiene publicada la "Política de Planeación Institucional", la que artícula el plan estratégico con los objetivos institucionales y dentro de esta se encuentran los siguientes documentos:
⎼ Caracterizacióńn Grupos de Interés UAESP
⎼ Portafolio de Servicios
⎼ Misión y visión
⎼ Objetivos Institucionales
⎼ Política de planeación institucional
⎼ Plan Estratégico Institucional
⎼ Organigrama
⎼ Planes
⎼ Programas y proyectos en ejecución
⎼ Metas, objetivos e indicadores de gestión y/o desempeño
⎼ informes de empalme
⎼ Información minima requerida para publicar
En el plan estratégico institucional se encuentran los objetivos y metas estratégicas para su seguimiento.
⎼ Seguimiento Plan de acción institucional disponible web
⎼ Seguimiento segunda línea PAyS, riesgos
- Se presenta informe de segunda línea de defensa en los comites CIGD. </t>
  </si>
  <si>
    <t>6.2 Los objetivos de los procesos, programas o proyectos (según aplique) que están definidos, son específicos, medibles, alcanzables, relevantes, delimitados en el tiempo.</t>
  </si>
  <si>
    <t>Dimensión de Gestión con Valores para Resultado
Política de Fortalecimiento Organizacional y Simplificación de Procesos</t>
  </si>
  <si>
    <t>6.3 La Alta Dirección evalúa periódicamente los objetivos establecidos para asegurar que estos continúan siendo consistentes y apropiados para la Entidad.</t>
  </si>
  <si>
    <t>Dimensión de Direccionamiento Estratégico y Planeación.
Política de Planeación Institucional
Dimensión Control Interno
Línea Estratégica</t>
  </si>
  <si>
    <t>ACTA 3 JUNIO 19 SESION ORDINARIA</t>
  </si>
  <si>
    <r>
      <rPr>
        <b/>
        <u/>
        <sz val="11"/>
        <color rgb="FFFFFFFF"/>
        <rFont val="Arial Narrow"/>
        <family val="2"/>
      </rPr>
      <t xml:space="preserve">Lineamiento 7: 
</t>
    </r>
    <r>
      <rPr>
        <b/>
        <sz val="11"/>
        <color rgb="FFFFFFFF"/>
        <rFont val="Arial Narrow"/>
        <family val="2"/>
      </rPr>
      <t xml:space="preserve">Identificación y análisis de riesgos (Analiza factores internos y externos; Implica a los niveles apropiados de la dirección; Determina cómo responder a los riesgos; Determina la importancia de los riesgos). 
</t>
    </r>
  </si>
  <si>
    <t>7.1 Teniendo en cuenta la estructura de la política de Administración del Riesgo, su alcance define lineamientos para toda la entidad, incluyendo regionales, áreas tercerizadas u otras instancias que afectan la prestación del servicio.</t>
  </si>
  <si>
    <t>Seguimiento segunda linea de defensa PAYS Y RIESGOS</t>
  </si>
  <si>
    <t>7.2 La Oficina de Planeación, Gerencia de Riesgos (donde existan), como 2a línea de defensa, consolidan información clave frente a la gestión del riesgo.</t>
  </si>
  <si>
    <t>Dimensión Control Interno 
Líneas de Defensa</t>
  </si>
  <si>
    <t>7.3 A partir de la información consolidada y reportada por la 2a línea de defensa (7.2), la Alta Dirección analiza sus resultados y en especial considera si se han presentado materializaciones de riesgo.</t>
  </si>
  <si>
    <t xml:space="preserve">En los CIGD se realiza el seguimiento, evaluación y de ser necesario la actualización a los riesgos de la entidad de acuerdo a los lineamientos del DAFP.
La alta dirección realiza  seguimiento a los riesgos y la eficacia de las acciones frente a su prevención y tratamiento
Informe sgundo y tercer trimestre segunda línea de defensa
La entidad realiza seguimiento a los riesgos en los CIGD, en el cual se le informa a la alta dirección sobre la materialización de los riegos y las acciones establecidas por los procesos para su remediación y evitar su reincidencia. </t>
  </si>
  <si>
    <t>ACTAS CIGD 2025</t>
  </si>
  <si>
    <t>7.4 Cuando se detectan materializaciones de riesgo, se definen los cursos de acción en relación con la revisión y actualización del mapa de riesgos correspondiente.</t>
  </si>
  <si>
    <t>Dimensión de Direccionamiento Estratégico y Planeación.
Política de Planeación Institucional
Dimensión Control Interno 
Líneas de Defensa</t>
  </si>
  <si>
    <t>7.5 Se llevan a cabo seguimientos a las acciones definidas para resolver materializaciones de riesgo detectadas.</t>
  </si>
  <si>
    <t>Dimensión de Evaluación de Resultados 
Política de Seguimiento y evaluación al Desempeño Institucional.
Dimensión Control Interno 
Líneas de Defensa</t>
  </si>
  <si>
    <t>7. PTEP 2025</t>
  </si>
  <si>
    <r>
      <rPr>
        <b/>
        <u/>
        <sz val="11"/>
        <color theme="0"/>
        <rFont val="Arial Narrow"/>
        <family val="2"/>
      </rPr>
      <t xml:space="preserve">Lineamiento 8: 
</t>
    </r>
    <r>
      <rPr>
        <b/>
        <sz val="11"/>
        <color theme="0"/>
        <rFont val="Arial Narrow"/>
        <family val="2"/>
      </rPr>
      <t xml:space="preserve">Evaluación del riesgo de fraude o corrupción. 
Cumplimiento artículo 73 de la Ley 1474 de 2011, relacionado con la prevención de los riesgos de corrupción.
</t>
    </r>
  </si>
  <si>
    <t>8.1 La Alta Dirección acorde con el análisis del entorno interno y externo, define los procesos, programas o proyectos (según aplique), susceptibles de posibles actos de corrupción.</t>
  </si>
  <si>
    <t>Política de Administración del Riesgo  Actualizada noviembre 2025
Seguimiento a la matriz de riesgos (Mapa y plan de manejo de riesgos y oportunidades) de acuerdo al acta de comité de gestión y desempeño.
Programa de transparecia y ética pública.</t>
  </si>
  <si>
    <t>Seguimiento a Riesgos - SARLAFT</t>
  </si>
  <si>
    <t>8.2 La Alta Dirección monitorea los riesgos de corrupción con la periodicidad establecida en la Política de Administración del Riesgo.</t>
  </si>
  <si>
    <t>Dimensión de Control Interno
Línea Estratégica</t>
  </si>
  <si>
    <t>Política de Administración del Riesgo 
Actas Comités de Gestión y Desempeño 
Acta Comité Institucional de Coordinación de Control Interno 
DES-PC-07 Administración riesgos y oportunidades
12 MAPA Y MANEJO DE RIESGOS
Informes trimestrales de segunda línea de defensa</t>
  </si>
  <si>
    <t>8.3 Para el desarrollo de las actividades de control, la entidad considera la adecuada división de las funciones y que éstas se encuentren segregadas en diferentes personas para reducir el riesgo de acciones fraudulentas.</t>
  </si>
  <si>
    <t>Dimensión de Control Interno
Líneas de Defensa</t>
  </si>
  <si>
    <t xml:space="preserve">Como parte de la segregación funcional, la Entidad fortaleció el esquema de líneas de defensa asignando responsabilidades concretas en la administración de riesgos, según se puede observar en la política de administración de riesgos. 
Adicionalmente, se cuenta con los manuales de funciones que demuestran la segregación funcional, lo cual contribuye a mitigar posibles eventos de fraude, soborno y corrupción. </t>
  </si>
  <si>
    <t>8.4 La Alta Dirección evalúa fallas en los controles (diseño y ejecución) para definir cursos de acción apropiados para su mejora.</t>
  </si>
  <si>
    <t>En el marco del Comité Institucional de Coordinación de Control Interno y del Comité Institucional de Gestión y Desempeño se han presentado las debilidades, fallas y factores claves de éxito sobre los controles como resultado de la evaluación independiente realizada por la Oficina de Control Interno. 
Dentro del plan de mejoramiento institucional y por procesos se determinan las causas que originaron la detección de hallazgos y responsabilidades y se formulan acciones que son objeto de seguimiento periódico.</t>
  </si>
  <si>
    <r>
      <rPr>
        <b/>
        <u/>
        <sz val="11"/>
        <color theme="0"/>
        <rFont val="Arial Narrow"/>
        <family val="2"/>
      </rPr>
      <t xml:space="preserve">
Lineamiento 9:</t>
    </r>
    <r>
      <rPr>
        <b/>
        <sz val="11"/>
        <color theme="0"/>
        <rFont val="Arial Narrow"/>
        <family val="2"/>
      </rPr>
      <t xml:space="preserve"> </t>
    </r>
    <r>
      <rPr>
        <sz val="11"/>
        <color theme="0"/>
        <rFont val="Arial Narrow"/>
        <family val="2"/>
      </rPr>
      <t xml:space="preserve">Identificación y análisis de cambios significativos </t>
    </r>
  </si>
  <si>
    <t>9.1 Acorde con lo establecido en la política de Administración del Riesgo, se monitorean los factores internos y externos definidos para la entidad, a fin de establecer cambios en el entorno que determinen nuevos riesgos o ajustes a los existentes.</t>
  </si>
  <si>
    <t>Dimensión de Direccionamiento Estratégico 
Política de Planeación Institucional</t>
  </si>
  <si>
    <t>Política de Administración del Riesgo , donde se realiza el establecimiento del Contexto - Factores Internos y Externos
Informes de Revisión de riesgos segunda y tercera línea de defensa.</t>
  </si>
  <si>
    <t>9.2 La Alta Dirección analiza los riesgos asociados a actividades tercerizadas, regionales u otras figuras externas que afecten la prestación del servicio a los usuarios, basados en los informes de la segunda y tercera línea de defensa.</t>
  </si>
  <si>
    <t>9.3 La Alta Dirección monitorea los riesgos aceptados revisando que sus condiciones no hayan cambiado y definir su pertinencia para sostenerlos o ajustarlos.</t>
  </si>
  <si>
    <t>Seguimiento a la matriz de riesgos (Mapa y plan de manejo de riesgos y oportunidades) de acuerdo al acta de comité de gestión y desempeño.
En los CIGD se realiza revisión, análisis y actualización de riesgos de los procesos.
Política de Administración del Riesgo, donde se establece: 7.3.2.3 Nivel de riesgo residual, 7.3.2.4 Nivel de aceptación del riesgo y estrategias para afrontar el riesgo 7.3.2.4.1 Marco conceptual para determinar los niveles de Aceptación del riesgo en la UAESP.</t>
  </si>
  <si>
    <t>9.4 La Alta Dirección evalúa fallas en los controles (diseño y ejecución) para definir cursos de acción apropiados para su mejora, basados en los informes de la segunda y tercera línea de defensa.</t>
  </si>
  <si>
    <t>La dirección realiza la evaluación y posible fallas en los controles mediante los siguientes instrumentos:
Los CIGD
En el marco del Comité Institucional de Coordinación de Control Interno y en el Comité de Gestión y Desempeño, se han presentado las debilidades, fallas y factores claves de éxito sobre los controles como resultado de la evaluación independiente realizada por la Oficina de Control Interno. 
Dentro del plan de mejoramiento institucional y por procesos se determinan las causas que originaron la detección de hallazgos y responsabilidades y se formulan acciones que son objeto de seguimiento periódico.</t>
  </si>
  <si>
    <t>9.5 La entidad analiza el impacto sobre el control interno por cambios en los diferentes niveles organizacionales.</t>
  </si>
  <si>
    <t>Dimensión de Direccionamiento Estratégico y Planeación
Política de Planeación Institucional
Dimensión de Control Interno
Línea Estratégica</t>
  </si>
  <si>
    <t>La UAESP establece que el CICCI, en el escenario de cambio de administración,  imparte lineamientos para hacer seguimiento y evaluar el sistema de control interno de acuerdo con las funciones del comité. 
Se encentra en formulacion y alistamiento la primera sesiosn 2025 del CICCI
Igualmemte se realiza de manera semestral la evaluación al sistema de control interno donde se evalúa de manera transversal la dimensión de control interno.
Se adelantó en el CIGD del mes de junio la gestion de cambio con el manejo de riesgos y oportunidades producto de la retoma de cementarios por parte de la UAESP de sdse la SSFAP i CICCI en diciembre del 2025,</t>
  </si>
  <si>
    <t>ACTA 1 ENERO 30 SESION ORDINARIA</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</si>
  <si>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</si>
  <si>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</si>
  <si>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</si>
  <si>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</si>
  <si>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t>Funcionando</t>
    </r>
    <r>
      <rPr>
        <i/>
        <sz val="11"/>
        <color theme="0"/>
        <rFont val="Arial Narrow"/>
        <family val="2"/>
      </rPr>
      <t xml:space="preserve">
(1/2/3)</t>
    </r>
  </si>
  <si>
    <t>#</t>
  </si>
  <si>
    <t>AUDITOR</t>
  </si>
  <si>
    <t>PROCESO AUDITADO</t>
  </si>
  <si>
    <t>TODOS</t>
  </si>
  <si>
    <t>Todos</t>
  </si>
  <si>
    <t>10.1 Para el desarrollo de las actividades de control, la entidad considera la adecuada división de las funciones y que éstas se encuentren segregadas en diferentes personas para reducir el riesgo de error o de incumplimientos de alto impacto en la operación.</t>
  </si>
  <si>
    <t xml:space="preserve">10.2 Se han identificado y documentado las situaciones específicas en donde no es posible segregar adecuadamente las funciones (ej.: falta de personal, presupuesto), con el fin de definir actividades de control alternativas para cubrir los riesgos identificados. </t>
  </si>
  <si>
    <t>N/A</t>
  </si>
  <si>
    <t>OCL</t>
  </si>
  <si>
    <t>Direccionamiento estratégico</t>
  </si>
  <si>
    <t>10.3 El diseño de otros  sistemas de gestión (bajo normas o estándares internacionales como la ISO), se integran de forma adecuada a la estructura de control de la entidad.</t>
  </si>
  <si>
    <t xml:space="preserve">
Dimensión de Gestión con Valores para Resultados
Dimensión de Control Interno
Líneas de Defensa</t>
  </si>
  <si>
    <t>2025 MSPI ECM-FM-06 V12 Informe de auditoría interna MSPI.pdf</t>
  </si>
  <si>
    <t>Auditoria ICONTEC 2025</t>
  </si>
  <si>
    <r>
      <rPr>
        <b/>
        <u/>
        <sz val="11"/>
        <color theme="0"/>
        <rFont val="Arial Narrow"/>
        <family val="2"/>
      </rPr>
      <t xml:space="preserve">Lineamiento 11: 
</t>
    </r>
    <r>
      <rPr>
        <b/>
        <sz val="11"/>
        <color theme="0"/>
        <rFont val="Arial Narrow"/>
        <family val="2"/>
      </rPr>
      <t>Seleccionar y Desarrolla controles generales sobre TI para apoyar la consecución de los objetivos .</t>
    </r>
  </si>
  <si>
    <t>LMVL</t>
  </si>
  <si>
    <t>Gestión Tecnológica y de la Información</t>
  </si>
  <si>
    <t>11.1 La entidad establece actividades de control relevantes sobre las infraestructuras tecnológicas; los procesos de gestión de la seguridad y sobre los procesos de adquisición, desarrollo y mantenimiento de tecnologías.</t>
  </si>
  <si>
    <t xml:space="preserve">Dimensión de Gestión con Valores para el Resultado
Política de Gobierno Digital 
Política de Seguridad Digital
</t>
  </si>
  <si>
    <t>11.1</t>
  </si>
  <si>
    <t>11.2  Para los proveedores de tecnología  selecciona y desarrolla actividades de control internas sobre las actividades realizadas por el proveedor de servicios.</t>
  </si>
  <si>
    <t>Mediante la supervisión a los contratos, se realiza el seguimiento de las obligaciones y clausulas de los mismos. Asimismo, se hace seguimiento a los contratos gestionados por la OTIC, revisando el cumplimiento en terminos contractuales, financieros, seguridad de la información, entre otros.</t>
  </si>
  <si>
    <t>11.2</t>
  </si>
  <si>
    <t>Gestión del conocimiento y la innovación</t>
  </si>
  <si>
    <t xml:space="preserve">11.3 Se cuenta con matrices de roles y usuarios siguiendo los principios de segregación de funciones.
</t>
  </si>
  <si>
    <t xml:space="preserve">Dimensión de Gestión con Valores para el Resultado
Política de Fortalecimiento Organizacional y Simplificación de Procesos.
</t>
  </si>
  <si>
    <t>La Subdirección Administrativa y  la OTIC, realiza actualización y eliminación de usuarios en el Directorio Activo según los permisos definidos en el formato de novedad de acceso lógico, incluído en el sistema de información.
Igualmente, realiza actualización de permisos de usuarios en los repositorios de carpetas compartidas, con el fin de garantizar que solo ingresen los funcionarios o contratistas de acuerdo a la necesidad de sus actividades o funciones. Actualización que se realiza por solicitud de cada proceso cuando se retira un funcionario de planta o contratista.</t>
  </si>
  <si>
    <t>Gestión de  evaluación y mejora</t>
  </si>
  <si>
    <t xml:space="preserve">11.4 Se cuenta con información de la 3a línea de defensa, como evaluador independiente en relación con los controles implementados por el proveedor de servicios, para  asegurar que los riesgos relacionados se mitigan.
</t>
  </si>
  <si>
    <t>Dimensión Control Interno
Tercera Línea de Defensa</t>
  </si>
  <si>
    <r>
      <rPr>
        <b/>
        <u/>
        <sz val="11"/>
        <color theme="0"/>
        <rFont val="Arial Narrow"/>
        <family val="2"/>
      </rPr>
      <t xml:space="preserve">Lineamiento 12: 
</t>
    </r>
    <r>
      <rPr>
        <b/>
        <sz val="11"/>
        <color theme="0"/>
        <rFont val="Arial Narrow"/>
        <family val="2"/>
      </rPr>
      <t>Despliegue de políticas y procedimientos (Establece responsabilidades sobre la ejecución de las políticas y procedimientos; Adopta medidas correctivas; Revisa las políticas y procedimientos).</t>
    </r>
  </si>
  <si>
    <t xml:space="preserve">12.1 Se evalúa la actualización de procesos, procedimientos, políticas de operación, instructivos, manuales u otras herramientas para garantizar la aplicación adecuada de las principales actividades de control.
</t>
  </si>
  <si>
    <t>Dimensión de Gestión con Valores para el Resultado
Política de Fortalecimiento Organizacional y Simplificación de Procesos.</t>
  </si>
  <si>
    <t>12.2  El diseño de controles se evalúa frente a la gestión del riesgo.</t>
  </si>
  <si>
    <t xml:space="preserve">Todas las Dimensiones de MIPG 
</t>
  </si>
  <si>
    <t xml:space="preserve">12.3  Monitoreo a los riesgos acorde con la política de administración de riesgo establecida para la entidad.
</t>
  </si>
  <si>
    <t>Dimensión de Direccionamiento Estratégico y Planeación
Política de Planeación Institucional.</t>
  </si>
  <si>
    <t>12.4 Verificación de que los responsables estén ejecutando los controles tal como han sido diseñados.</t>
  </si>
  <si>
    <t>Dimensión Control Interno
Segunda Línea de Defensa</t>
  </si>
  <si>
    <t>Los Mapas de Riesgos de Gestión y de Corrupción 2025, cuentan con controles establecidos por los procesos, que se han aplicado premanentemente, como medidas que permite reducir o mitigar  los riesgo identificados.
Los procesos, como Primera Línea de Defensa tienen una responsabilidad frente a la aplicación efectiva de los controles, por lo que se trata de un seguimiento permanente, esto incluye la aplicación de controles de gerencia operativa que corresponde a aquellos que son aplicados por servidores con personal a cargo (jefes, coordinadores u otro cargo). 
La Oficina Asesora de Planeación, como Segunda Línea de Defensa,  durante el  2025, realizó monitoreo periódico a la gestión del riesgo, permitiendo que se generen recomendaciones y posibles ajustes a los mapas de riesgos. 
Finalmente, la Oficina de Control Interno, como Tercera Línea de Defensa, durante la vigencia 2025 y mediante sus seguimientos periódicos, estableció la efectividad de los controles para evitar la materialización de riesgos. 
La Primera, Segunda y Tercera Líneas de Defensa,  durante el primer semestre de 2025, realizaron mesas de trabajo con los procesos para la actualización de sus riesgos de gestión y corrupción, para la vigencia 2025.</t>
  </si>
  <si>
    <t>12.5  Se evalúa la adecuación de los controles a las especificidades de cada proceso, considerando cambios en regulaciones, estructuras internas u otros aspectos que determinen cambios en su diseño.</t>
  </si>
  <si>
    <t>Dimensión Control Interno
 Líneas de Defensa</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</si>
  <si>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</si>
  <si>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</si>
  <si>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t xml:space="preserve">
Lineamiento 13: 
</t>
    </r>
    <r>
      <rPr>
        <b/>
        <sz val="11"/>
        <color theme="0"/>
        <rFont val="Arial Narrow"/>
        <family val="2"/>
      </rPr>
      <t>Utilización de información relevante (Identifica requisitos de información; Capta fuentes de datos internas y externas; Procesa datos relevantes y los transforma en información).</t>
    </r>
  </si>
  <si>
    <t>13.1 La entidad ha diseñado sistemas de información para capturar y procesar datos y transformarlos en información para alcanzar los requerimientos de información definidos.</t>
  </si>
  <si>
    <t xml:space="preserve">Dimensión de Información y comunicación 
</t>
  </si>
  <si>
    <t>13.1</t>
  </si>
  <si>
    <t>13.2  La entidad cuenta con el inventario de información relevante (interno/externa) y cuenta con un mecanismo que permita su actualización.</t>
  </si>
  <si>
    <t>Dimensión de Información y comunicación 
Política de Transparencia y Acceso a la Información Publica</t>
  </si>
  <si>
    <t>13.2</t>
  </si>
  <si>
    <t>13.3 La entidad considera un ámbito amplio de fuentes de datos (internas y externas), para la captura y procesamiento posterior de información clave para la consecución de metas y objetivos.</t>
  </si>
  <si>
    <t>13.4 La entidad ha desarrollado e implementado actividades de control sobre la integridad, confidencialidad y disponibilidad de los datos e información definidos como relevantes.</t>
  </si>
  <si>
    <t>Se pone a disposición de los custodios y responsable de los activos críticos recursos documentados como controles cirptograficos, directorios compartidos con niveles de permisos (Sharepoint-Onedrive), medios de comunicación institucionales como Office365 (SuiteOfimatica y Correo Institucional con Outlook - opciones de cifrado).
Se cuenta con herramientas licenciadas antimalware, firewall, bloqueo de puertos USB para equipos dentro del domino e impresoras.
Se tiene definido políticas y procedimientos para respaldo e información.
Se definen politicas y procedimientos para gestión de riesgos de seguridad de la información.
Control de codigos fuentes (GitLab)</t>
  </si>
  <si>
    <t>13.4</t>
  </si>
  <si>
    <r>
      <rPr>
        <b/>
        <u/>
        <sz val="11"/>
        <color rgb="FFFFFFFF"/>
        <rFont val="Arial Narrow"/>
        <family val="2"/>
      </rPr>
      <t xml:space="preserve">
Lineamiento 14: 
</t>
    </r>
    <r>
      <rPr>
        <b/>
        <sz val="11"/>
        <color rgb="FFFFFFFF"/>
        <rFont val="Arial Narrow"/>
        <family val="2"/>
      </rPr>
      <t>Comunicación Interna (Se comunica con el Comité Institucional de Coordinación de Control Interno o su equivalente; Facilita líneas de comunicación en todos los niveles; Selecciona el método de comunicación pertinente).</t>
    </r>
  </si>
  <si>
    <t>Gestión de las comunicaciones</t>
  </si>
  <si>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</si>
  <si>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Dimensión de Información y comunicación
</t>
  </si>
  <si>
    <t>Gestión Documental</t>
  </si>
  <si>
    <t>14.2 La entidad cuenta con políticas de operación relacionadas con la administración de la información (niveles de autoridad y responsabilidad)</t>
  </si>
  <si>
    <t>Dimensión de Información y comunicación</t>
  </si>
  <si>
    <t>En la página web de la unidad dentro del proceso se puede observar el programa de gestión documental https://www.uaesp.gov.co/transparencia/informacion-interes/publicacion/otras-publicaciones/programa-gestion-documental, en el cual se plasma aspectos como la política de gestión documental donde se describen lineamientos relacionados con la información.
En los siguientes procedimientos establecen los roles y responsabilidades de los encargados de ejecutar las diferentes actividades establecidas.
GDO-PC-04 V3 Organización de Archivos de Gestión
GDO-PC-09 V3 Expedición Actos Administrativos
GDO-PC-13 V2 Consulta y préstamo de documentos
GDO-PC-16 V1 Reconstrucción total o parcial de documentos públicos
GDO-PC-17 V1 Gestión de correspondencia
Del mismo modo, el proceso a través del tthh (PIC) realiza sensibilizaciones a todos los funcionarios sobre estos procedimientos</t>
  </si>
  <si>
    <t>https://www.uaesp.gov.co/transparencia/informacion-interes/publicacion/otras-publicaciones/programa-gestion-documental</t>
  </si>
  <si>
    <t>https://www.uaesp.gov.co/sites/default/files/planeacion/Plan_Institucional_de_Capacitacion_2024-2028_0.pdf</t>
  </si>
  <si>
    <t>https://www.uaesp.gov.co/transparencia/informacion-interes/publicaciones</t>
  </si>
  <si>
    <t>MANUAL SIG</t>
  </si>
  <si>
    <t>Servicio al Ciudadano</t>
  </si>
  <si>
    <t>14.3 La entidad cuenta con canales de información internos para la denuncia anónima o confidencial de posibles situaciones irregulares y se cuenta con mecanismos específicos para su manejo, de manera tal que generen la confianza para utilizarlos.</t>
  </si>
  <si>
    <t xml:space="preserve">Servicio al ciudadano:La entidad cuenta con canales para denuncias por actos de corrupcion los cuales, algunos de ellos funcionan en horarios laboral y otros funcionan 24 horas relizando la radicacion al dia siguiente de su registro. 
</t>
  </si>
  <si>
    <t>Link Canales de Atención UAESP</t>
  </si>
  <si>
    <t>La entidad cuenta con los canales de interacción definidos y asociados con el tipo de información a divulgar, los cuales son comunicados en la entidad.
Se evidenció video sobre canales de comunicación, se evidencia formulario y protocolo de denuncias, y botón de PQRS.
Se cuenta en la página web con el botón o ícono de Denuncias por actos de corrupción, donde direcciona al formulario de PQRS.
En el siguiente enlace se encuentran los canales: https://www.uaesp.gov.co/content/canales-atencion-alternativa</t>
  </si>
  <si>
    <t>https://www.uaesp.gov.co/content/canales-atencion-alternativa</t>
  </si>
  <si>
    <t>14.4 La entidad establece e implementa políticas y procedimientos para facilitar una comunicación interna efectiva.</t>
  </si>
  <si>
    <t>https://www.uaesp.gov.co/mipg/documentos-sig/comunicaciones/procedimientos/GCO-PC-04%20V7%20Comunicaci%C3%B3n%20interna.pdf</t>
  </si>
  <si>
    <r>
      <rPr>
        <b/>
        <u/>
        <sz val="11"/>
        <color rgb="FFFFFFFF"/>
        <rFont val="Arial Narrow"/>
        <family val="2"/>
      </rPr>
      <t xml:space="preserve">
Lineamiento 15: 
</t>
    </r>
    <r>
      <rPr>
        <b/>
        <sz val="11"/>
        <color rgb="FFFFFFFF"/>
        <rFont val="Arial Narrow"/>
        <family val="2"/>
      </rPr>
      <t>Comunicación con el exterior (Se comunica con los grupos de valor y con terceros externos interesados; Facilita líneas de comunicación).</t>
    </r>
  </si>
  <si>
    <t xml:space="preserve">15.1 La entidad desarrolla e implementa controles que facilitan la comunicación externa, la cual incluye  políticas y procedimientos. 
Incluye contratistas y proveedores de servicios tercer izados (cuando aplique). </t>
  </si>
  <si>
    <t xml:space="preserve">
Dimensión de Información y Comunicación
Dimensión de Control Interno
Primera Línea de Defensa</t>
  </si>
  <si>
    <t>https://www.uaesp.gov.co/mipg/documentos-sig/comunicaciones/procedimientos/GCO-PC-05%20V3%20Comunicaci%C3%B3n%20externa.pdf</t>
  </si>
  <si>
    <t xml:space="preserve">15.2 La entidad cuenta con canales externos definidos de comunicación, asociados con el tipo de información a divulgar, y éstos son reconocidos a todo nivel de la organización.
</t>
  </si>
  <si>
    <t xml:space="preserve">Dimensión de Información y Comunicación
Política de Transparencia, acceso a la información pública y lucha
contra la corrupción </t>
  </si>
  <si>
    <t>https://www.uaesp.gov.co/mipg/documentos-sig/comunicaciones/procedimientos/GCO-PC-06%20V2%20Administraci%C3%B3n%20de%20redes%20sociales.pdf</t>
  </si>
  <si>
    <t>15.3 La entidad cuenta con procesos o procedimiento para el manejo de la información entrante (quién la recibe, quién la clasifica, quién la analiza), y a la respuesta requerida (quién la canaliza y la responde).</t>
  </si>
  <si>
    <t xml:space="preserve">Dimensión de Información y Comunicación
Política de Gestión Documental
Política de Transparencia, acceso a la información pública y lucha
contra la corrupción </t>
  </si>
  <si>
    <t>Link Procedimiento Servicio al Ciudadano</t>
  </si>
  <si>
    <t xml:space="preserve">15.4 La entidad cuenta con procesos o procedimientos encaminados a evaluar periódicamente la efectividad de los canales de comunicación con partes externas, así como sus contenidos, de tal forma que se puedan mejorar.
</t>
  </si>
  <si>
    <t>Dimensión de Información y Comunicación
Política de Control Interno
Líneas de Defensa</t>
  </si>
  <si>
    <t>La Oficina Asesora de Comunicaciones cuenta con varias actividades que facilitan evaluar de manera periódica el trabajo y evaluar las distinas instancias que dan pie a este proceso
- Comité Primario, (revisión y aprobación de contenidos)
- Consejo de Redacción  (revisión y aprobación de contenidos)
- Encuesta Interna, enviada de manera masiva por correo electrónico
- Encuesta externa, publicada en redes sociales y en la página web</t>
  </si>
  <si>
    <t>https://uaespdc.sharepoint.com/:f:/s/PAI2023/EtbLveHL1sxIspodJOifcnAB3-Xe-DWzoZOC1Q45gNpX2g?e=Bm663Q</t>
  </si>
  <si>
    <t xml:space="preserve">Informes de Seguimiento para Atencion al Ciudadano </t>
  </si>
  <si>
    <t>Informes de la OCI recordando vencimientos de ternminos para las PQRS}</t>
  </si>
  <si>
    <t>15.5 La entidad analiza periódicamente su caracterización de usuarios o grupos de valor, a fin de actualizarla cuando sea pertinente.</t>
  </si>
  <si>
    <t>Dimensión de Direccionamiento Estratégico y Planeación
Política de Planeación Institucional</t>
  </si>
  <si>
    <t>La entidad relaiza la caracterización de usuarios y el modelo de relacionameneto en cumplimiento a la implementación del Modelo Integrado de Planeación y Gestión (MIPG) - política de Participación ciudadana y de la norma ISO9001:2015</t>
  </si>
  <si>
    <t>15.6 La entidad analiza periódicamente los resultados frente a la evaluación de percepción por parte de los usuarios o grupos de valor para la incorporación de las mejoras correspondientes.</t>
  </si>
  <si>
    <t>La Entidad realiza seguimientos en cuanto al nivel de satisfacción del grupo de valor ciudadanos, frente a las respuestas dadas a las quejas, reclamos, sugerencias, peticiones de interés general y particular y solicitudes de información.
Cada proceso tiene definidas encuestas de percepción para realizar a los grupos de valor</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</si>
  <si>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</si>
  <si>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</si>
  <si>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</si>
  <si>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t>Observaciones de la evaluación independiente (tener encuentra papel de  líneas de defensa) 
*Nota: Únicamente diligenciar las observaciones que van vinculadas al desarrollo de actividades de las demás líneas de defensa</t>
  </si>
  <si>
    <t>16.1 El comité Institucional de Coordinación de Control Interno aprueba anualmente el Plan Anual de Auditoría presentado por parte del Jefe de Control Interno o quien haga sus veces y hace el correspondiente seguimiento a sus ejecución?</t>
  </si>
  <si>
    <t>Dimensión de Control Interno
Líneas Estratégica</t>
  </si>
  <si>
    <t>16.2  La Alta Dirección periódicamente evalúa los resultados de las evaluaciones (continuas e independientes)  para concluir acerca de la efectividad del Sistema de Control Interno</t>
  </si>
  <si>
    <t>https://uaespdc.sharepoint.com/:b:/s/oficinadecontrolinterno/ERtG7Tlp0GFEqriqgpijSPkB3ylCfaf1ISqqult365KHAw?e=91UGZw</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</si>
  <si>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</si>
  <si>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Dimensión de Control Interno
Tercera Línea de Defensa</t>
  </si>
  <si>
    <t>16.4 Acorde con el Esquema de Líneas de Defensa se han implementado procedimientos de monitoreo continuo como parte de las actividades de la 2a línea de defensa, a fin de contar con información clave para la toma de decisiones.</t>
  </si>
  <si>
    <t>Dimensión de Control Interno
Segunda Línea de Defensa</t>
  </si>
  <si>
    <t>16.5 Frente a las evaluaciones independientes la entidad considera evaluaciones externas de organismos de control, de vigilancia, certificadores, ONG´s u otros que permitan tener una mirada independiente de las operaciones.</t>
  </si>
  <si>
    <t>La Oficina de Contro Internol, como Tercera Línea de Defensa, cuenta como una de las fuentes para realizar evaluaciones independientes, las evaluaciones realizadas por organismos de control y otros, lo cual permitie una mirada independiente de las operaciones.
Los resulltados de las evaluaciones externas se documentan en los diferentes planes de mejoramiento a los cuales realiza seguimiento periòdico.</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</si>
  <si>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</si>
  <si>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t>17.1 A partir de la información de las evaluaciones independientes, se evalúan para determinar su efecto en el Sistema de Control Interno de la entidad y su impacto en el logro de los objetivos, a fin de determinar cursos de acción para su mejora.</t>
  </si>
  <si>
    <t>17.2 Los informes recibidos de entes externos (organismos de control, auditores externos, entidades de vigilancia entre otros) se consolidan y se concluye sobre el impacto en el Sistema de Control Interno, a fin de determinar los cursos de acción.</t>
  </si>
  <si>
    <t>https://www.uaesp.gov.co/transparencia/control/informes-gestion-evaluacion-auditoria#</t>
  </si>
  <si>
    <t>17.3 La entidad cuenta con políticas donde se establezca a quién reportar las deficiencias de control interno como resultado del monitoreo continuo.</t>
  </si>
  <si>
    <t>17.4 La Alta Dirección hace seguimiento a las acciones correctivas relacionadas con las deficiencias comunicadas sobre el Sistema de Control Interno y si se han cumplido en el tiempo establecido.</t>
  </si>
  <si>
    <t>17.5 Los procesos y/o servicios tercerizados, son evaluados acorde con su nivel de riesgos.</t>
  </si>
  <si>
    <t>GAL-MN-01 V14 Manual de Contratación</t>
  </si>
  <si>
    <t>chrome-extension://efaidnbmnnnibpcajpcglclefindmkaj/https://www.uaesp.gov.co/mipg/documentos-sig/legales/procedimientos/GAL-PC-15%20V5%20Proceso%20contrataci%C3%B3n%20etapa%20precontractual.pdf</t>
  </si>
  <si>
    <t>chrome-extension://efaidnbmnnnibpcajpcglclefindmkaj/https://www.uaesp.gov.co/mipg/documentos-sig/legales/manuales/GAL-MN-01%20V14%20Manual%20de%20Contrataci%C3%B3n.pdf</t>
  </si>
  <si>
    <t xml:space="preserve">Informes de interventoría cementerios </t>
  </si>
  <si>
    <t xml:space="preserve">Informes de interventoría alumbrado Público </t>
  </si>
  <si>
    <t xml:space="preserve">Informes de seguimiento y control Servicios Funerarios </t>
  </si>
  <si>
    <t>Informes de seguimeinto y control alumbrado público</t>
  </si>
  <si>
    <t>Informe de Supervision Monitoreo y Control</t>
  </si>
  <si>
    <t>LINK INFORMES DE CONSECIONARIOS E INTERVENTORIA SDF</t>
  </si>
  <si>
    <t>17.6 Se evalúa la información suministrada por los usuarios (Sistema PQRD), así como de otras partes interesadas para la mejora del  Sistema de Control Interno de la Entidad?</t>
  </si>
  <si>
    <t xml:space="preserve">
Dimensión de Información y Comunicación 
Dimensión de Control Interno
Líneas de Defensa</t>
  </si>
  <si>
    <t xml:space="preserve">17.7 Verificación del avance y cumplimiento de las acciones incluidas en los planes de mejoramiento producto de las autoevaluaciones. (2ª Línea).
</t>
  </si>
  <si>
    <t xml:space="preserve">
Dimensión de Control Interno
Líneas de Defensa</t>
  </si>
  <si>
    <t>17.7</t>
  </si>
  <si>
    <t xml:space="preserve">Planes de Mejoramiento Auditoría Interna </t>
  </si>
  <si>
    <t>Planes de Mejoramiento Auditoría Externa</t>
  </si>
  <si>
    <t>PLAN DE MEJORAMIENTO DIEMBRE AUDITORIAS INTERNAS</t>
  </si>
  <si>
    <t>SAPROV:   Actas de Comité Primario/Presentaciones</t>
  </si>
  <si>
    <t>17.8 Evaluación de la efectividad de las acciones incluidas en los Planes de mejoramiento producto de las auditorías internas y de entes externos. (3ª Línea)</t>
  </si>
  <si>
    <t>17.9 Las deficiencias de control interno son reportadas a los responsables de nivel jerárquico superior, para tomar la acciones correspondientes?</t>
  </si>
  <si>
    <t>ANÁLISIS DE RESULTADOS PARA LA TOMA DE DECISIONES</t>
  </si>
  <si>
    <t xml:space="preserve">Se encuentra presente  y funcionando, pero requiere mejoras frente a su diseño, ya que  opera de manera efectiva
</t>
  </si>
  <si>
    <t>Se encuentra presente  y funcionando, pero requiere mejoras frente a su diseño, ya que  opera de manera efectiva</t>
  </si>
  <si>
    <t>Cuando en el análisis de los requerimientos en los diferentes componentes del MECI se cuente con aspectos evaluados en nivel 2 (presente) y 2 (funcionando); 3 (presente) y 1 (funcionando); 3 (presente) y 2 (funcionando);2 (presente) y 1 (funcionando)</t>
  </si>
  <si>
    <t>Cuando en el análisis de los requerimientos en los diferentes componentes del MECI se cuente con aspectos evaluados en nivel 1 (presente) y 1 (funcionando); ;1 (presente) y 2 (funcionando); 1(presente) y 3 (funcionando).</t>
  </si>
  <si>
    <t>Registro de deficiencias</t>
  </si>
  <si>
    <t>RESULTADOS</t>
  </si>
  <si>
    <t>FUENTE DEL ANALISIS</t>
  </si>
  <si>
    <t>CONTROL PRESENTE</t>
  </si>
  <si>
    <t>CONTROL FUNCIONANDO</t>
  </si>
  <si>
    <t>OBSERVACIONES DEL CONTROL</t>
  </si>
  <si>
    <t>NIVEL DE CUMPLIMIENTO-ASPECTOS PARTICULARES POR COMPONENTE</t>
  </si>
  <si>
    <t>NIVEL DE CUMPLIMIENTO- DEL COMPONENTE</t>
  </si>
  <si>
    <t>RECOMENDACIONES DESDE LA MIRADA DE EVALUACION INDEPENDIENTE</t>
  </si>
  <si>
    <t>PLANES DE MEJORAMIENTO (Donde aplique)</t>
  </si>
  <si>
    <t>Id. Requerimiento</t>
  </si>
  <si>
    <t>Descripción del Lineamiento</t>
  </si>
  <si>
    <t>Pregunta Indicativa</t>
  </si>
  <si>
    <t>Accion(es) de Mejora</t>
  </si>
  <si>
    <t>Fecha de Inicio</t>
  </si>
  <si>
    <t>Fecha Terminacion</t>
  </si>
  <si>
    <t>Responsable</t>
  </si>
  <si>
    <t>Seguimiento</t>
  </si>
  <si>
    <t>% de avance</t>
  </si>
  <si>
    <t>1.1</t>
  </si>
  <si>
    <t>Ambiente de Control</t>
  </si>
  <si>
    <t>La entidad demuestra el compromiso con la integridad (valores) y principios del servicio público</t>
  </si>
  <si>
    <t xml:space="preserve"> Aplicación del Código de Integridad. (incluye análisis de desviaciones, convivencia laboral, temas disciplinarios internos, quejas o denuncias sobres los servidores de la entidad, u otros temas relacionados)</t>
  </si>
  <si>
    <t>1.2</t>
  </si>
  <si>
    <t xml:space="preserve"> Mecanismos para el manejo de conflictos de interés.</t>
  </si>
  <si>
    <t xml:space="preserve"> Mecanismos frente a la detección y prevención del uso inadecuado de información privilegiada u otras situaciones que puedan implicar riesgos para la entidad</t>
  </si>
  <si>
    <t>1.4</t>
  </si>
  <si>
    <t xml:space="preserve"> La evaluación de las acciones transversales de integridad, mediante el monitoreo permanente de los riesgos de corrupción.</t>
  </si>
  <si>
    <t>1.5</t>
  </si>
  <si>
    <t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t>
  </si>
  <si>
    <t>2.1</t>
  </si>
  <si>
    <t xml:space="preserve">Aplicación de mecanismos para ejercer una adecuada supervisión del Sistema de Control Interno </t>
  </si>
  <si>
    <t xml:space="preserve"> Creación o actualización del Comité Institucional de Coordinación de Control Interno (incluye ajustes en periodicidad para reunión, articulación con el Comité Institucioanl de Gestión y Desempeño)</t>
  </si>
  <si>
    <t>2.2</t>
  </si>
  <si>
    <t xml:space="preserve"> Definición y documentación del Esquema de Líneas de Defens</t>
  </si>
  <si>
    <t>2.3</t>
  </si>
  <si>
    <t xml:space="preserve"> Definición de líneas de reporte en temas clave para la toma de decisiones, atendiendo el Esquema de Líneas de Defens</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</si>
  <si>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</si>
  <si>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</si>
  <si>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defnir ajustes, dificultades para su desarrollo</t>
  </si>
  <si>
    <t>3.2</t>
  </si>
  <si>
    <t xml:space="preserve"> La Alta Dirección frente a la política de Administración del Riesgo definen los niveles de aceptación del riesgo, teniendo en cuenta cada uno de los objetivos establecidos.</t>
  </si>
  <si>
    <t>3.3</t>
  </si>
  <si>
    <t xml:space="preserve"> Evaluación de la planeación estratégica, considerando alertas frente a posibles incumplimientos, necesidades de recursos, cambios en el entorno que puedan afectar su desarrollo, entre otros aspectos que garanticen de forma razonable su cumplimiento</t>
  </si>
  <si>
    <t>4.1</t>
  </si>
  <si>
    <t>Compromiso con la competencia de todo el personal, por lo que la gestión del talento humano tiene un carácter estratégico con el despliegue de actividades clave para todo el ciclo de vida del servidor público –ingreso, permanencia y retiro.</t>
  </si>
  <si>
    <t xml:space="preserve"> Evaluación de la Planeación Estratégica del Talento Humano</t>
  </si>
  <si>
    <t>4.2</t>
  </si>
  <si>
    <t xml:space="preserve"> Evaluación de las actividades relacionadas con el Ingreso del personal</t>
  </si>
  <si>
    <t>4.3</t>
  </si>
  <si>
    <t xml:space="preserve"> Evaluación de las actividades relacionadas con la permanencia del personal</t>
  </si>
  <si>
    <t>4.4</t>
  </si>
  <si>
    <t>Analizar si se cuenta con políticas claras y comunicadas relacionadas con la responsabilidad de cada servidor sobre el desarrollo y mantenimiento del control interno (1a línea de defensa</t>
  </si>
  <si>
    <t>4.5</t>
  </si>
  <si>
    <t xml:space="preserve"> Evaluación de las actividades relacionadas con el retiro del personal</t>
  </si>
  <si>
    <t>4.6</t>
  </si>
  <si>
    <t xml:space="preserve"> Evaluar el impacto del Plan Institucional de Capacitación - PI</t>
  </si>
  <si>
    <t>4.7</t>
  </si>
  <si>
    <t xml:space="preserve"> Evaluación frente a los productos y servicios en los cuales participan los contratistas de apoyo</t>
  </si>
  <si>
    <t>5.1</t>
  </si>
  <si>
    <t>La entidad establece líneas de reporte dentro de la entidad para evaluar el funcionamiento del Sistema de Control Interno.</t>
  </si>
  <si>
    <t xml:space="preserve"> Acorde con la estructura del Esquema de Líneas de Defensa se han definido estándares de reporte, periodicidad y responsables frente a diferentes temas críticos de la entidad</t>
  </si>
  <si>
    <t>5.2</t>
  </si>
  <si>
    <t xml:space="preserve"> La Alta Dirección analiza la información asociada con la generación de reportes financieros</t>
  </si>
  <si>
    <t xml:space="preserve"> Teniendo en cuenta la información suministrada por la 2a y 3a línea de defensa se toman decisiones a tiempo para garantizar el cumplimiento de las metas y objetivos</t>
  </si>
  <si>
    <t>5.4</t>
  </si>
  <si>
    <t xml:space="preserve"> Se evalúa la estructura de control a partir de los cambios en procesos, procedimientos, u otras herramientas, a fin de garantizar su adecuada formulación y afectación frente a la gestión del riesgo</t>
  </si>
  <si>
    <t>5.5</t>
  </si>
  <si>
    <t xml:space="preserve"> La entidad aprueba y hace seguimiento al Plan Anual de Auditoría presentado y ejecutado por parte de la Oficina de Control Interno</t>
  </si>
  <si>
    <t>5.6</t>
  </si>
  <si>
    <t xml:space="preserve"> La entidad analiza los informes presentados por la Oficina de Control Interno y evalúa su impacto en relación con la mejora institucional</t>
  </si>
  <si>
    <t>6.1</t>
  </si>
  <si>
    <t>Evaluación de riesgos</t>
  </si>
  <si>
    <t xml:space="preserve">Definición de objetivos con suficiente claridad para identificar y evaluar los riesgos relacionados: i)Estratégicos; ii)Operativos; iii)Legales y Presupuestales; iv)De Información Financiera y no Financiera.
</t>
  </si>
  <si>
    <t xml:space="preserve">  La Entidad cuenta con mecanismos para vincular o relacionar el plan estratégico con los objetivos estratégicos y estos a su vez con los objetivos operativos</t>
  </si>
  <si>
    <t>6.2</t>
  </si>
  <si>
    <t xml:space="preserve"> Los objetivos de los procesos, programas o proyectos (según aplique) que están definidos, son específicos, medibles, alcanzables, relevantes, delimitados en el tiempo</t>
  </si>
  <si>
    <t>6.3</t>
  </si>
  <si>
    <t xml:space="preserve"> La Alta Dirección evalúa periódicamente los objetivos establecidos para asegurar que estos continúan siendo consistentes y apropiados para la Entidad</t>
  </si>
  <si>
    <t>7.1</t>
  </si>
  <si>
    <t xml:space="preserve">Identificación y análisis de riesgos (Analiza factores internos y externos; Implica a los niveles apropiados de la dirección; Determina cómo responder a los riesgos; Determina la importancia de los riesgos). </t>
  </si>
  <si>
    <t xml:space="preserve"> Teniendo en cuenta la estructura de la política de Administración del Riesgo, su alcance define lineamientos para toda la entidad, incluyendo regionales, áreas tercerizadas u otras instancias que afectan la prestación del servicio</t>
  </si>
  <si>
    <t>7.2</t>
  </si>
  <si>
    <t xml:space="preserve"> La Oficina de Planeación, Gerencia de Riesgos (donde existan), como 2a línea de defensa, consolidan información clave frente a la gestión del riesgo</t>
  </si>
  <si>
    <t>7.3</t>
  </si>
  <si>
    <t xml:space="preserve"> A partir de la información consolidada y reportada por la 2a línea de defensa (7.2), la Alta Dirección analiza sus resultados y en especial considera si se han presentado materializaciones de riesgo.</t>
  </si>
  <si>
    <t>7.4</t>
  </si>
  <si>
    <t xml:space="preserve"> Cuando se detectan materializaciones de riesgo, se definen los cursos de acción en relación con la revisión y actualización del mapa de riesgos correspondiente</t>
  </si>
  <si>
    <t>7.5</t>
  </si>
  <si>
    <t xml:space="preserve"> Se llevan a cabo seguimientos a las acciones definidas para resolver materializaciones de riesgo detectadas</t>
  </si>
  <si>
    <t>8.1</t>
  </si>
  <si>
    <t xml:space="preserve">Evaluación del riesgo de fraude o corrupción. 
Cumplimiento artículo 73 de la Ley 1474 de 2011, relacionado con la prevención de los riesgos de corrupción.
</t>
  </si>
  <si>
    <t xml:space="preserve"> La Alta Dirección acorde con el análisis del entorno interno y externo, define los procesos, programas o proyectos (según aplique), susceptibles de posibles actos de corrupción</t>
  </si>
  <si>
    <t>8.2</t>
  </si>
  <si>
    <t xml:space="preserve"> La Alta Dirección monitorea los riesgos de corrupción con la periodicidad establecida en la Política de Administración del Riesgo</t>
  </si>
  <si>
    <t>8.3</t>
  </si>
  <si>
    <t xml:space="preserve"> Para el desarrollo de las actividades de control, la entidad considera la adecuada división de las funciones y que éstas se encuentren segregadas en diferentes personas para reducir el riesgo de acciones fraudulentas</t>
  </si>
  <si>
    <t>8.4</t>
  </si>
  <si>
    <t xml:space="preserve"> La Alta Dirección evalúa fallas en los controles (diseño y ejecución) para definir cursos de acción apropiados para su mejora</t>
  </si>
  <si>
    <t>9.1</t>
  </si>
  <si>
    <t xml:space="preserve">Identificación y análisis de cambios significativos </t>
  </si>
  <si>
    <t xml:space="preserve"> Acorde con lo establecido en la política de Administración del Riesgo, se monitorean los factores internos y externos definidos para la entidad, a fin de establecer cambios en el entorno que determinen nuevos riesgos o ajustes a los existentes.</t>
  </si>
  <si>
    <t>9.2</t>
  </si>
  <si>
    <t>La Alta Dirección analiza los riesgos asociados a actividades tercerizadas, regionales u otras figuras externas que afecten la prestación del servicio a los usuarios, basados en los informes de la segunda y tercera línea de defensa.</t>
  </si>
  <si>
    <t>9.3</t>
  </si>
  <si>
    <t xml:space="preserve"> La Alta Dirección monitorea los riesgos aceptados revisando que sus condiciones no hayan cambiado y definir su pertinencia para sostenerlos o ajustarlos</t>
  </si>
  <si>
    <t>9.4</t>
  </si>
  <si>
    <t xml:space="preserve"> La Alta Dirección evalúa fallas en los controles (diseño y ejecución) para definir cursos de acción apropiados para su mejora, basados en los informes de la segunda y tercera linea de defensa</t>
  </si>
  <si>
    <t>9.5</t>
  </si>
  <si>
    <t>La entidad analiza el impacto sobre el control interno por cambios en los diferentes niveles organizacionales.</t>
  </si>
  <si>
    <t>10.1</t>
  </si>
  <si>
    <t>Actividades de control</t>
  </si>
  <si>
    <t>Diseño y desarrollo de actividades de control (Integra el desarrollo de controles con la evaluación de riesgos; tiene en cuenta a qué nivel se aplican las actividades; facilita la segregación de funciones).</t>
  </si>
  <si>
    <t xml:space="preserve"> Para el desarrollo de las actividades de control, la entidad considera la adecuada división de las funciones y que éstas se encuentren segregadas en diferentes personas para reducir el riesgo de error o de incumplimientos de alto impacto en la operación</t>
  </si>
  <si>
    <t>10.2</t>
  </si>
  <si>
    <t xml:space="preserve"> Se han idenfificado y documentado las situaciones específicas en donde no es posible segregar adecuadamente las funciones (ej: falta de personal, presupuesto), con el fin de definir actividades de control alternativas para cubrir los riesgos identificados.</t>
  </si>
  <si>
    <t>10.3</t>
  </si>
  <si>
    <t xml:space="preserve"> El diseño de otros  sistemas de gestión (bajo normas o estándares internacionales como la ISO), se intregan de forma adecuada a la estructura de control de la entidad</t>
  </si>
  <si>
    <t>Seleccionar y Desarrolla controles generales sobre TI para apoyar la consecución de los objetivos .</t>
  </si>
  <si>
    <t xml:space="preserve"> La entidad establece actividades de control relevantes sobre las infraestructuras tecnológicas; los procesos de gestión de la seguridad y sobre los procesos de adquisición, desarrollo y mantenimiento de tecnologías</t>
  </si>
  <si>
    <t xml:space="preserve">  Para los proveedores de tecnología  selecciona y desarrolla actividades de control internas sobre las actividades realizadas por el proveedor de servicios</t>
  </si>
  <si>
    <t>11.3</t>
  </si>
  <si>
    <t xml:space="preserve"> Se cuenta con matrices de roles y usuarios siguiendo los principios de segregación de funciones.</t>
  </si>
  <si>
    <t>11.4</t>
  </si>
  <si>
    <t xml:space="preserve"> Se cuenta con información de la 3a línea de defensa, como evaluador independiente en relación con los controles implementados por el proveedor de servicios, para  asegurar que los riesgos relacionados se mitigan.</t>
  </si>
  <si>
    <t>12.1</t>
  </si>
  <si>
    <t>Despliegue de políticas y procedimientos (Establece responsabilidades sobre la ejecución de las políticas y procedimientos; Adopta medidas correctivas; Revisa las políticas y procedimientos).</t>
  </si>
  <si>
    <t xml:space="preserve"> Se evalúa la actualización de procesos, procedimientos, políticas de operación, instructivos, manuales u otras herramientas para garantizar la aplicación adecuada de las principales actividades de control.
</t>
  </si>
  <si>
    <t>12.2</t>
  </si>
  <si>
    <t xml:space="preserve"> El diseño de controles se evalúa frente a la gestión del riesgo</t>
  </si>
  <si>
    <t>12.3</t>
  </si>
  <si>
    <t xml:space="preserve"> Monitoreo a los riesgos acorde con la política de administración de riesgo establecida para la entidad.</t>
  </si>
  <si>
    <t>12.4</t>
  </si>
  <si>
    <t>Verificación de que los responsables estén ejecutando los controles tal como han sido diseñados</t>
  </si>
  <si>
    <t>12.5</t>
  </si>
  <si>
    <t xml:space="preserve"> Se evalúa la adecuación de los controles a las especificidades de cada proceso, considerando cambios en regulaciones, estructuras internas u otros aspectos que determinen cambios en su diseño</t>
  </si>
  <si>
    <t>Info y Comunicación</t>
  </si>
  <si>
    <t>Utilización de información relevante (Identifica requisitos de información; Capta fuentes de datos internas y externas; Procesa datos relevantes y los transforma en información).</t>
  </si>
  <si>
    <t>La entidad ha diseñado sistemas de información para capturar y procesar datos y transformarlos en información para alcanzar los requerimientos de información definidos</t>
  </si>
  <si>
    <t xml:space="preserve"> La entidad cuenta con el inventario de información relevante (interno/externa) y cuenta con un mecanismo que permita su actualización</t>
  </si>
  <si>
    <t>13.3</t>
  </si>
  <si>
    <t>La entidad considera un ámbito amplio de fuentes de datos (internas y externas), para la captura y procesamiento posterior de información clave para la consecución de metas y objetivos</t>
  </si>
  <si>
    <t>La entidad ha desarrollado e implementado actividades de control sobre la integridad, confidencialidad y disponibilidad de los datos e información definidos como relevantes</t>
  </si>
  <si>
    <t>14.1</t>
  </si>
  <si>
    <t>Comunicación Interna (Se comunica con el Comité Institucional de Coordinación de Control Interno o su equivalente; Facilita líneas de comunicación en todos los niveles; Selecciona el método de comunicación pertinente).</t>
  </si>
  <si>
    <t>Para la comunicación interna la Alta Dirección tiene mecanismos que permitan dar a conocer los objetivos y metas estratégicas, de manera tal que todo el personal entiende su papel en su consecución. (Considera los canales más apropiados y evalúa su efectividad)</t>
  </si>
  <si>
    <t>14.2</t>
  </si>
  <si>
    <t>La entidad cuenta con políticas de operación relacionadas con la administración de la información (niveles de autoridad y responsabilidad</t>
  </si>
  <si>
    <t>14.3</t>
  </si>
  <si>
    <t>La entidad cuenta con canales de información internos para la denuncia anónima o confidencial de posibles situaciones irregulares y se cuenta con mecanismos específicos para su manejo, de manera tal que generen la confianza para utilizarlos</t>
  </si>
  <si>
    <t>15.1</t>
  </si>
  <si>
    <t>Comunicación con el exterior (Se comunica con los grupos de valor y con terceros externos interesados; Facilita líneas de comunicación).</t>
  </si>
  <si>
    <t>La entidad desarrolla e implementa controles que facilitan la comunicación externa, la cual incluye  políticas y procedimientos. 
Incluye contratistas y proveedores de servicios tercerizados (cuando aplique).</t>
  </si>
  <si>
    <t>15.2</t>
  </si>
  <si>
    <t>La entidad cuenta con canales externos definidos de comunicación, asociados con el tipo de información a divulgar, y éstos son reconocidos a todo nivel de la organización.</t>
  </si>
  <si>
    <t>15.3</t>
  </si>
  <si>
    <t>La entidad cuenta con procesos o procedimiento para el manejo de la información entrante (quién la recibe, quién la clasifica, quién la analiza), y a la respuesta requierida (quién la canaliza y la responde)</t>
  </si>
  <si>
    <t>15.4</t>
  </si>
  <si>
    <t>La entidad cuenta con procesos o procedimientos encaminados a evaluar periodicamente la efectividad de los canales de comunicación con partes externas, así como sus contenidos, de tal forma que se puedan mejorar.</t>
  </si>
  <si>
    <t>15.5</t>
  </si>
  <si>
    <t>La entidad analiza periodicamente su caracterización de usuarios o grupos de valor, a fin de actualizarla cuando sea pertinente</t>
  </si>
  <si>
    <t>15.6</t>
  </si>
  <si>
    <t>La entidad analiza periodicamente los resultados frente a la evaluación de percepción por parte de los usuarios o grupos de valor para la incorporación de las mejoras correspondientes</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</si>
  <si>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</si>
  <si>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</si>
  <si>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</si>
  <si>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El comité Institucional de Coordinación de Control Interno aprueba anualmente el Plan Anual de Auditoría presentado por parte del Jefe de Control Interno o quien haga sus veces y hace el correspondiente seguimiento a sus ejecución</t>
  </si>
  <si>
    <t>16.2</t>
  </si>
  <si>
    <t xml:space="preserve"> La Alta Dirección periódicamente evalúa los resultados de las evaluaciones (contínuas e independientes)  para concluir acerca de la efectividad del Sistema de Control Intern</t>
  </si>
  <si>
    <t>16.3</t>
  </si>
  <si>
    <t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</si>
  <si>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16.4</t>
  </si>
  <si>
    <t>Acorde con el Esquema de Líneas de Defensa se han implementado procedimientos de monitoreo continuo como parte de las actividades de la 2a línea de defensa, a fin de contar con información clave para la toma de decisiones</t>
  </si>
  <si>
    <t>16.5</t>
  </si>
  <si>
    <t>Frente a las evaluaciones independientes la entidad considera evaluaciones externas de organismos de control, de vigilancia, certificadores, ONG´s u otros que permitan tener una mirada independiente de las operaciones</t>
  </si>
  <si>
    <t xml:space="preserve">17.1 </t>
  </si>
  <si>
    <t>Evaluación y comunicación de deficiencias oportunamente (Evalúa los resultados, Comunica las deficiencias y Monitorea las medidas correctivas).</t>
  </si>
  <si>
    <t>A partir de la información de las evaluaciones independientes, se evalúan para determinar su efecto en el Sistema de Control Interno de la entidad y su impacto en el logro de los objetivos, a fin de determinar cursos de acción para su mejora</t>
  </si>
  <si>
    <t xml:space="preserve">17.2 </t>
  </si>
  <si>
    <t>Los informes recibidos de entes externos (organismos de control, auditores externos, entidades de vigilancia entre otros) se consolidan y se concluye sobre el impacto en el Sistema de Control Interno, a fin de determinar los cursos de acción</t>
  </si>
  <si>
    <t xml:space="preserve">17.3 </t>
  </si>
  <si>
    <t>La entidad cuenta con políticas donde se establezca a quién reportar las deficiencias de control interno como resultado del monitoreo continuo</t>
  </si>
  <si>
    <t xml:space="preserve">17.4 </t>
  </si>
  <si>
    <t>La Alta Dirección hace seguimiento a las acciones correctivas relacionadas con las deficiencias comunicadas sobre el Sistema de Control Interno y si se han cumplido en el tiempo establecido</t>
  </si>
  <si>
    <t xml:space="preserve">17.5 </t>
  </si>
  <si>
    <t>Los procesos y/o servicios tercerizados, son evaluados acorde con su nivel de riesgos</t>
  </si>
  <si>
    <t xml:space="preserve">17.6 </t>
  </si>
  <si>
    <t>Se evalúa la información suministrada por los usuarios (Sistema PQRD), así como de otras partes interesadas para la mejora del  Sistema de Control Interno de la Entidad</t>
  </si>
  <si>
    <t xml:space="preserve">17.7 </t>
  </si>
  <si>
    <t>Verificación del avance y cumplimiento de las acciones incluidas en los planes de mejoramiento producto de las autoevaluaciones. (2ª Línea).</t>
  </si>
  <si>
    <t xml:space="preserve">17.8 </t>
  </si>
  <si>
    <t>Evaluación de la efectividad de las acciones incluidas en los Planes de mejoramiento producto de las auditorías internas y de entes externos. (3ª Línea</t>
  </si>
  <si>
    <t xml:space="preserve">17.9 </t>
  </si>
  <si>
    <t>Las deficiencias de control interno son reportadas a los responsables de nivel jerárquico superior, para tomar la acciones correspondientes</t>
  </si>
  <si>
    <t/>
  </si>
  <si>
    <t>Nombre de la Entidad:</t>
  </si>
  <si>
    <t>UNIDAD ADMINISTRATIVA ESPECIAL DE SERVICIOS PÚBLICOS - UAESP</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</si>
  <si>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</si>
  <si>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</si>
  <si>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</si>
  <si>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</si>
  <si>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Si</t>
  </si>
  <si>
    <t>En la Unidad Administrativa Especial de Servicios Públicos – UAESP se encuentra implementado el Sistema de Control Interno, a partir de los cinco componentes del Modelo Estándar de Control Interno – MECI, el cual se encuentra articulado con el Sistema de Gestión de la Calidad bajo la Norma ISO 9001:2015, adoptando un enfoque basado en procesos y orientado a la mejora continua.
La gestión de los componentes del Modelo Estándar de Control Interno en la Entidad se desarrolla mediante la implementación de elementos como la definición del entorno organizacional, el fomento de la cultura de control y ética (integridad y valores), la gestión del riesgo, la aplicación de controles a través de políticas y procedimientos, los procesos de comunicación interna y externa, y la evaluación permanente del Sistema de Control Interno, con el fin de generar las acciones requeridas que garanticen su adecuado funcionamiento.
Lo anterior permite fortalecer un enfoque preventivo que contribuye al control y al cumplimiento de los objetivos y metas institucionales establecidos en la Planeación Estratégica y en la Planeación Institucional Anual.</t>
  </si>
  <si>
    <t>¿Es efectivo el sistema de control interno para los objetivos evaluados? (Si/No) (Justifique su respuesta):</t>
  </si>
  <si>
    <t>El Sistema de Control Interno de la Unidad Administrativa Especial de Servicios Públicos – UAESP resulta efectivo en la medida en que cuenta con controles orientados al cumplimiento de las operaciones de la Entidad, la confiabilidad de la información y la observancia de los requisitos legales aplicables. No obstante, como resultado de la evaluación independiente, se identificaron seis (6) elementos susceptibles de mejora, los cuales fueron formulados con un enfoque preventivo y de fortalecimiento del Sistema de Control Interno.</t>
  </si>
  <si>
    <t>La entidad cuenta dentro de su Sistema de Control Interno, con una institucionalidad (Líneas de defensa)  que le permita la toma de decisiones frente al control (Si/No) (Justifique su respuesta):</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</si>
  <si>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</si>
  <si>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</si>
  <si>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Explicación de las Debilidades y/o Fortalezas</t>
    </r>
  </si>
  <si>
    <t>Nivel de Cumplimiento componente presentado en el informe anterior</t>
  </si>
  <si>
    <t>Estado  del componente presentado en el informe anterior</t>
  </si>
  <si>
    <t xml:space="preserve"> Avance final del componente </t>
  </si>
  <si>
    <r>
      <t xml:space="preserve">La UAESP cuenta con un ambiente de control definido, sustentado en la estructura organizacional, la asignación de roles y responsabilidades, y la adopción de principios de integridad, ética y valores institucionales. Se evidencian avances en el fortalecimiento de la cultura de control; no obstante, se identifican oportunidades de mejora y fortalezas como se detalla a continuación.
</t>
    </r>
    <r>
      <rPr>
        <b/>
        <sz val="11"/>
        <color rgb="FF000000"/>
        <rFont val="Arial"/>
        <family val="2"/>
      </rPr>
      <t>Fortalezas</t>
    </r>
    <r>
      <rPr>
        <sz val="11"/>
        <color rgb="FF000000"/>
        <rFont val="Arial"/>
        <family val="2"/>
      </rPr>
      <t xml:space="preserve">
La UAESP cuenta con un marco normativo, documental y procedimental que respalda la gestión del talento humano, incluyendo el Plan Estratégico de Talento Humano 2024–2028 y los planes asociados (capacitación, bienestar y provisión de vacantes).
Se evidencian mecanismos de seguimiento a los procesos de ingreso, permanencia y retiro del personal, así como controles asociados a la verificación de requisitos de vinculación y antecedentes.
La Entidad promueve la cultura de control, autocontrol y ética, a través de políticas institucionales, piezas comunicativas y lineamientos formalmente adoptados.
La Oficina de Control Interno ha realizado auditorías y seguimientos a los procesos de talento humano sin evidenciar observaciones de fondo, formulando recomendaciones orientadas a la mejora continua.
</t>
    </r>
    <r>
      <rPr>
        <b/>
        <sz val="11"/>
        <color rgb="FF000000"/>
        <rFont val="Arial"/>
        <family val="2"/>
      </rPr>
      <t>Debilidades / Oportunidades de mejora</t>
    </r>
    <r>
      <rPr>
        <sz val="11"/>
        <color rgb="FF000000"/>
        <rFont val="Arial"/>
        <family val="2"/>
      </rPr>
      <t xml:space="preserve">
Se identifican oportunidades de mejora en la consolidación, sistematización y análisis de la información derivada de las entrevistas y encuestas de retiro, con el fin de fortalecer la toma de decisiones.
El impacto del Plan Institucional de Capacitación (PIC) no se encuentra plenamente evaluado, dado que los instrumentos aplicados miden satisfacción, pero no resultados o efectos en el desempeño.
Se evidenció que los recursos del Plan de Capacitación no fueron ejecutados en su totalidad y su ejecución se concentró hacia el cierre de la vigencia, lo cual puede afectar su efectividad.
</t>
    </r>
  </si>
  <si>
    <r>
      <t xml:space="preserve">La Entidad ha implementado mecanismos para la identificación, análisis y valoración de riesgos institucionales y por procesos, en concordancia con el Modelo Integrado de Planeación y Gestión – MIPG. Sin embargo, se evidencian oportunidades de mejora en el seguimiento a los riesgos y en la actualización oportuna de los planes de tratamiento, con el fin de fortalecer el enfoque preventivo.
</t>
    </r>
    <r>
      <rPr>
        <b/>
        <sz val="11"/>
        <color rgb="FF000000"/>
        <rFont val="Arial"/>
        <family val="2"/>
      </rPr>
      <t>Fortalezas</t>
    </r>
    <r>
      <rPr>
        <sz val="11"/>
        <color rgb="FF000000"/>
        <rFont val="Arial"/>
        <family val="2"/>
      </rPr>
      <t xml:space="preserve">
La UAESP cuenta con mapas de riesgos institucionales y por procesos, alineados con la Política de Administración del Riesgo y el MIPG.
Se realiza monitoreo y  seguimiento a riesgos asociados a todos los procesos de la entidad, y se actualizó la política de riesgos en noviembre del 2025 conforme a los lineamientos impartidos por el DAFP.
Durante el periodo evaluado, se constató la participación de las Líneas de Defensa en las distintas etapas de la gestión del riesgo, mediante actividades de monitoreo a cargo de la primera línea de defensa, y de seguimiento por parte de la segunda y tercera línea de defensa, de manera periódica, conforme a lo establecido en las directrices documentales y en el Sistema de Información
</t>
    </r>
    <r>
      <rPr>
        <b/>
        <sz val="11"/>
        <color rgb="FF000000"/>
        <rFont val="Arial"/>
        <family val="2"/>
      </rPr>
      <t>Se recomienda</t>
    </r>
    <r>
      <rPr>
        <sz val="11"/>
        <color rgb="FF000000"/>
        <rFont val="Arial"/>
        <family val="2"/>
      </rPr>
      <t xml:space="preserve"> fortalecer la articulación entre riesgos, controles y resultados de auditoría, de manera que las acciones preventivas tengan mayor impacto.
</t>
    </r>
  </si>
  <si>
    <r>
      <t xml:space="preserve">La UAESP ha establecido actividades de control mediante políticas, procedimientos y lineamientos internos que permiten mitigar los riesgos identificados y asegurar el cumplimiento de los objetivos institucionales. No obstante, se identifican oportunidades de mejora relacionadas con la aplicación de los controles y su documentación, especialmente en algunos procesos misionales y de apoyo.
</t>
    </r>
    <r>
      <rPr>
        <b/>
        <sz val="12"/>
        <color rgb="FF000000"/>
        <rFont val="Arial"/>
        <family val="2"/>
      </rPr>
      <t>Fortalezas</t>
    </r>
    <r>
      <rPr>
        <sz val="12"/>
        <color rgb="FF000000"/>
        <rFont val="Arial"/>
        <family val="2"/>
      </rPr>
      <t xml:space="preserve">
La Entidad cuenta con políticas, manuales, procedimientos y formatos formalmente adoptados que soportan la ejecución de controles en los procesos misionales, estratégicos y de apoyo.
Se evidencian controles asociados a la supervisión de contratos, mediante manuales actualizados, formatos de seguimiento e informes mensuales de ejecución.
La Oficina de Control Interno realiza evaluaciones periódicas que permiten verificar la existencia y funcionamiento de los controles.
</t>
    </r>
    <r>
      <rPr>
        <b/>
        <sz val="12"/>
        <color rgb="FF000000"/>
        <rFont val="Arial"/>
        <family val="2"/>
      </rPr>
      <t>Debilidades / Oportunidades de Mejora</t>
    </r>
    <r>
      <rPr>
        <sz val="12"/>
        <color rgb="FF000000"/>
        <rFont val="Arial"/>
        <family val="2"/>
      </rPr>
      <t xml:space="preserve">
Con base en la revisión de los procesos y evidencias disponibles, se identifican oportunidades de mejora en el fortalecimiento de las actividades de control asociadas al apoyo a la gestión. Si bien la Entidad cuenta con el Plan Anual de Adquisiciones (PAA) y con el Manual de Funciones adoptado mediante la Resolución 158 de 2018, se requiere optimizar la planeación y oportunidad en la vinculación del personal, para garantizar el cumplimiento de los objetivos institucionales.</t>
    </r>
  </si>
  <si>
    <t>Información y comunicación</t>
  </si>
  <si>
    <r>
      <t xml:space="preserve">La UAESP cuenta con canales y mecanismos de información y comunicación interna y externa que soportan la gestión institucional y la toma de decisiones. No obstante, como resultado de la evaluación independiente, se identifican oportunidades de mejora orientadas a fortalecer la oportunidad, consistencia y trazabilidad de la información generada por los procesos, así como la articulación y estandarización de los reportes entre las líneas de defensa, con el fin de asegurar la confiabilidad de la información y su uso efectivo en la gestión y el control institucional.
</t>
    </r>
    <r>
      <rPr>
        <b/>
        <sz val="12"/>
        <rFont val="Arial"/>
        <family val="2"/>
      </rPr>
      <t>Fortalezas</t>
    </r>
    <r>
      <rPr>
        <sz val="12"/>
        <rFont val="Arial"/>
        <family val="2"/>
      </rPr>
      <t xml:space="preserve">
La UAESP dispone de canales de comunicación interna y externa definidos en el SIG.
Se evidencian mecanismos de reporte periódico de información a la alta dirección.
Se evidenció el avance en el proceso de actualización y publicación de los activos de información, el esquema de publicación y el índice de información clasificada y reservada, actividades que se ejecutaron en la vigencia del 2025.
</t>
    </r>
    <r>
      <rPr>
        <b/>
        <sz val="12"/>
        <rFont val="Arial"/>
        <family val="2"/>
      </rPr>
      <t>Oportunidades de Mejora:</t>
    </r>
    <r>
      <rPr>
        <sz val="12"/>
        <rFont val="Arial"/>
        <family val="2"/>
      </rPr>
      <t xml:space="preserve">
Mejorar la trazabilidad, oportunidad y confiabilidad de la información generada y administrada a través de las plataformas tecnológicas institucionales.
Fortalecer la estandarización de los reportes de información que soportan la gestión y el control, garantizando su articulación con las líneas de defensa.
Se recomienda a los procesos misionales fortalecer la aplicación sistemática de encuestas dirigidas a los grupos de valor de la UAESP, con el fin de obtener información oportuna y confiable sobre sus necesidades, percepciones y niveles de satisfacción. Lo anterior permitirá retroalimentar la gestión misional, mejorar la toma de decisiones y contribuir al mejoramiento continuo de los servicios que presta la entidad.
Reforzar los mecanismos de monitoreo y control sobre la administración de usuarios, perfiles y permisos, con el fin de mitigar riesgos asociados al uso inadecuado de la información.
Consolidar la documentación y aplicación de lineamientos relacionados con la seguridad de la información y el gobierno de datos, como soporte al Sistema de Control Interno.
Se requiere fortalecer la articulación e interoperabilidad entre las Peticiones, Quejas, Reclamos y Sugerencias (PQRS) gestionadas a través del sistema ORFEO y el sistema SDQS, con el propósito de optimizar la gestión de la información y garantizar la oportunidad, trazabilidad y consistencia en las respuestas. La integración de ambos sistemas permitiría mejorar el flujo de información, facilitar el seguimiento integral de las solicitudes y fortalecer los mecanismos de control y monitoreo, contribuyendo a una atención más eficiente y efectiva a los grupos de valor.</t>
    </r>
  </si>
  <si>
    <t xml:space="preserve">Monitoreo </t>
  </si>
  <si>
    <r>
      <t xml:space="preserve">Durante la vigencia  2025, en el componente de Actividades de Monitoreo, la Unidad Administrativa Especial de Servicios Públicos – UAESP alcanzó un cumplimiento del 97 % en lo relacionado con la evaluación independiente, a través de la ejecución de auditorías, evaluaciones y seguimientos a los procesos y operaciones de la Entidad. Como resultado de estas actividades, se identificaron acciones orientadas al fortalecimiento y mejora continua del Sistema de Control Interno y del Modelo Estándar de Control Interno – MECI.
En relación con los planes de mejoramiento, se brindó orientación y seguimiento a la ejecución de las acciones definidas en cada plan, derivados de auditorías, seguimientos y evaluaciones. Así mismo, se efectuó el acompañamiento en la formulación y seguimiento de los planes de mejoramiento originados en la auditoría realizada por la Contraloría Distrital y demás entes de control.
</t>
    </r>
    <r>
      <rPr>
        <b/>
        <sz val="12"/>
        <rFont val="Arial"/>
        <family val="2"/>
      </rPr>
      <t>Fortalezas</t>
    </r>
    <r>
      <rPr>
        <sz val="12"/>
        <rFont val="Arial"/>
        <family val="2"/>
      </rPr>
      <t xml:space="preserve">
La Entidad ha implementado el Esquema de Líneas de Defensa, claramente definido y articulado con el Sistema Integrado de Gestión. El Plan Anual de Auditoría es presentado y aprobado en el Comité Institucional de Coordinación de Control Interno. Durante la vigencia del 2025 se dió cumplimiento al 100% de las actividades planeadas.
</t>
    </r>
    <r>
      <rPr>
        <b/>
        <sz val="12"/>
        <rFont val="Arial"/>
        <family val="2"/>
      </rPr>
      <t>Debilidades / Oportunidades de mejora</t>
    </r>
    <r>
      <rPr>
        <sz val="12"/>
        <rFont val="Arial"/>
        <family val="2"/>
      </rPr>
      <t xml:space="preserve">
</t>
    </r>
    <r>
      <rPr>
        <sz val="11"/>
        <rFont val="Arial"/>
        <family val="2"/>
      </rPr>
      <t>Se identifican oportunidades de mejora en el cierre oportuno y efectivo de las acciones de los Planes de Mejoramiento.
Se recomienda fortalecer el uso de los resultados de auditoría como insumo de autocontrol por parte de los procesos, promoviendo la formulación de acciones preventivas.
Resulta necesario que los procesos de la Entidad fortalezcan los controles orientados a la optimización de los tiempos de respuesta a las Peticiones, Quejas, Reclamos y Sugerencias (PQRS), teniendo en cuenta que, conforme a los resultados de las auditorías independientes realizadas al proceso, persiste un rezago en su atención. Esta situación requiere la adopción de acciones correctivas y preventivas que permitan garantizar la oportunidad, eficiencia y trazabilidad en la gestión de las PQRS, así como el cumplimiento de los términos legales y la adecuada atención a los ciudadanos y a los entes de control.</t>
    </r>
  </si>
  <si>
    <t>1 DE JULIO AL 31 DE DICIEMBRE DE 2025</t>
  </si>
  <si>
    <t>En la Unidad Administrativa Especial de Servicios Públicos – UAESP, el Sistema de Control Interno ha definido e implementado el Esquema de Líneas de Defensa del Modelo Integrado de Planeación y Gestión – MIPG, el cual se encuentra articulado con el Sistema Integrado de Gestión de la Entidad. En este esquema, la primera línea de defensa está a cargo de los procesos responsables de la gestión y ejecución de las actividades, la segunda línea de defensa corresponde a la oficina asesora de planeación y la tercera línea de defensa es ejercida por la Oficina de Control Interno, mediante la evaluación independiente. Este enfoque asegura un seguimiento constante a la gestión institucional, facilita el cumplimiento de roles y responsabilidades, fortalece el monitoreo sistemático de los riesgos y controles, y promueve la identificación de oportunidades de mejora.</t>
  </si>
  <si>
    <r>
      <t>El componente de ambiente de control se clasifica dentro de la categoría de 'Mantenimiento del Control', lo que señala que se encuentra operativo y cumple con los requisitos fundamentales para su funcionamiento. Esto indica que las condiciones actuales son generalmente adecuadas, y que solo se requieren intervenciones puntuales y acciones de seguimiento orientadas a su preservación y mejora continua, siempre dentro del marco de las líneas de defensa establecidas. En comparación con la evaluación anterior, se observa una leve disminución en la calificación, pasando del 88% al 85%, lo que refleja una caída en el rendimiento de este componente. No obstante, la -UAESP continúa destacándose por sus fortalezas en diversos aspectos clave, tales como:</t>
    </r>
    <r>
      <rPr>
        <b/>
        <sz val="12"/>
        <rFont val="Arial"/>
        <family val="2"/>
      </rPr>
      <t xml:space="preserve">
Fortalezas:</t>
    </r>
    <r>
      <rPr>
        <sz val="12"/>
        <rFont val="Arial"/>
        <family val="2"/>
      </rPr>
      <t xml:space="preserve">
- Promueve el código de integridad y sus valores, el cual contribuye a una cultura de confianza y responsabilidad por parte de los funcionarios.
- Se cuenta con Gestores de Integridad designados por los procesos de la entidad.
- Se realizó actividad de tienda de integridad co excelentes resultados
- Se sensibiliza con Jornadas de capacitaciónpara la presentación oportuna de las Declaraciones de Conflictos de Interes y Declaraciones de Bienes y Rentas.
- Se gestiona y abordan mecanismos frente a la detección y prevención del uso inadecuado de información y seguridad de la información a través de mesas Técnicas de Seguridad Digital, y  Gobierno Digital.
- Seguimiento a la ejecución del Plan Anual de Auditoría de la vigencia 2024 en el marco de los comités primariosy posterior socialización en e Comité Institucional de Coordinación de Control Interno.
-  Contó con la matriz de activos de información actualizada y publicada en datos.gov.co (https://www.datos.gov.co/browse?q=UAESP&amp;sortBy=newest&amp;utf8=%E2%9C%93https://www.datos.gov.co/)
Así mismo y de acuerdo en los resultados obtenidos a partir de la evaluación independiente del Sistema de Control Interno, se recomienda implementar las acciones y/o oportunidades de mejora para el cierre de las brechas identificadas a saber:
</t>
    </r>
    <r>
      <rPr>
        <b/>
        <sz val="12"/>
        <rFont val="Arial"/>
        <family val="2"/>
      </rPr>
      <t xml:space="preserve">
Debilidades:</t>
    </r>
    <r>
      <rPr>
        <sz val="12"/>
        <rFont val="Arial"/>
        <family val="2"/>
      </rPr>
      <t xml:space="preserve">
 - Continúan algunas debilidades detectadas en el semestre de enero a junio
-  Se encuentra en desarrollo la actualización de planes de talento humano con base en el nuevo plan de desarrollo distrital.
-  Desarrollar y evaluar el impacto del plan de bienestar y de PIC 
-  Se conitinúa con la política de administración de riesgos de 2023
</t>
    </r>
    <r>
      <rPr>
        <b/>
        <sz val="12"/>
        <rFont val="Arial"/>
        <family val="2"/>
      </rPr>
      <t xml:space="preserve">- </t>
    </r>
    <r>
      <rPr>
        <sz val="12"/>
        <rFont val="Arial"/>
        <family val="2"/>
      </rPr>
      <t xml:space="preserve">Tener en cuenta el desarrollo de plan de bienestar y desarrollo del programa de desvinculación asistida.
- Definir en el marco del Plan Estratégico del Talento Humano aquellas actividades que se asocian al ingreso, permanencia y retiro del personal.
- Algunos procesos deben implementar su correspondiente autocontrol y presenten oportunidades de mejora basándose en los informes de la tercera línea de defensa.
- Fortalecer la gestión para la identificación e incorporación de riesgos fiscales, relacionados con el SARLAFT, fraude y soborno. Esta gestión debe alinearse con los principios y directrices establecidas en la política de administración del riesgo previamente aprobada, garantizando su coherencia y eficacia en la mitigación de riesgos
</t>
    </r>
    <r>
      <rPr>
        <b/>
        <sz val="12"/>
        <rFont val="Arial"/>
        <family val="2"/>
      </rPr>
      <t xml:space="preserve">Conclusión: </t>
    </r>
    <r>
      <rPr>
        <sz val="12"/>
        <rFont val="Arial"/>
        <family val="2"/>
      </rPr>
      <t>La UAESP proporciona las condiciones necesarias para garantizar el adecuado funcionamiento del Sistema de Control Interno, asegurando que se cumplan los principios de eficiencia, transparencia y mitigación de riesgos en todos los procesos internos de la entidad.</t>
    </r>
  </si>
  <si>
    <r>
      <t xml:space="preserve"> El componente de ambiente de control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se ,mantiene en una calificación del 88% ; Igualmente, para este componente la -UAESP tiene  fortalezas en varios aspectos a saber: 
Fortalezas:
- Promueve el código de integridad y sus valores, el cual contribuye a una cultura de confianza y responsabilidad por parte de los funcionarios.
- Se cuenta con Gestores de Integridad designados por los procesos de la entidad.
- Se cuenta con plan de talento humano 2023-2028
- Se sensibiliza con Jornadas de capacitaciónpara la presentación oportuna de las Declaraciones de Conflictos de Interes y Declaraciones de Bienes y Rentas.
- Se gestiona y abordan mecanismos frente a la detección y prevención del uso inadecuado de información y seguridad de la información a través de mesas Técnicas de Seguridad Digital, y  Gobierno Digital.
Debilidades:
- Validar la reformulación de planes de talento Humano con base en los nuevos linemaientos del plan de desarrollo distrital.
- Aunque existe una línea de denuncia interna, no se cuenta con un lineamiento claro y estructurado que permita analizar y utilizar las denuncias recibidas como insumo para la mejora continua de la entidad. Implementar dicho lineamiento podría fortalecer los procesos internos y aumentar la eficiencia y transparencia institucional.
- Desarrollar estrategias de comunicación para la divulgación de canales internos para interponer denuncias por corrupción.
- Es necesario implementar y/o llevar a cabo acciones para evaluar las actividades del plan de bienestar y desarrollo del programa de desvinculación asistida en lo que hace referencia a permanencia y retiro de personal.
-  Desarrollar y evaluar el impacto del plan de bienestar de la -UAESP
- Es necesario mejorar la estrategia de capacitaciones en la entidad, ya que, a pesar de contar con el Plan Institucional de Capacitación -PIC, se deben emprender acciones para que dicho plan y las capacitaciones asociadas sean más asertivas y efectivas. Toda vez que el desarrollo continuo de las habilidades y capacidades de los funcionarios es crucial para mantener un alto nivel de desempeño y adaptarse a los cambios.
- Contar con la matriz de activos de información actualizada y publicada en datos.gov.co (https://www.datos.gov.co/browse?q=UAESP&amp;sortBy=newest&amp;utf8=%E2%9C%93https://www.datos.gov.co/)
</t>
    </r>
    <r>
      <rPr>
        <b/>
        <sz val="12"/>
        <rFont val="Arial"/>
        <family val="2"/>
      </rPr>
      <t>Conclusión:</t>
    </r>
    <r>
      <rPr>
        <sz val="12"/>
        <rFont val="Arial"/>
        <family val="2"/>
      </rPr>
      <t xml:space="preserve"> En general, la - UAESP garantiza las condiciones esenciales para el mantenimiento del Sistema de Control Interno.</t>
    </r>
  </si>
  <si>
    <r>
      <t xml:space="preserve">El componente de Evaluación de Riesgos se encuentra clasificado dentro de la categoría de "Mantenimiento del Control", lo que demuestra que está implementado de manera adecuada y opera de forma eficaz. Por lo tanto, únicamente requiere acciones o actividades orientadas a garantizar su continuidad y mantenimiento dentro del marco de las tres líneas de defensa. En comparación con la evaluación anterior, este componente mantiene una calificación del 100%, lo que refleja su consistencia y desempeño óptimo. Asimismo, presenta fortalezas significativas en diversos aspectos de este como son: 
</t>
    </r>
    <r>
      <rPr>
        <b/>
        <sz val="12"/>
        <rFont val="Arial"/>
        <family val="2"/>
      </rPr>
      <t xml:space="preserve">
Fortalezas:</t>
    </r>
    <r>
      <rPr>
        <sz val="12"/>
        <rFont val="Arial"/>
        <family val="2"/>
      </rPr>
      <t xml:space="preserve">
- Cuenta con un mapa de aseguramiento. Este mapa tiene como objetivo optimizar los esfuerzos y proporcionar oportunidades de mejora para las actividades relacionadas con el riesgo, el control y la auditoría en las líneas de defensa segunda y tercera.
- Reportes e informes relacionados con el monitoreo, seguimiento y evaluación de la gestión del riesgo, elaborados por la primera, segunda y tercera línea de defensa con la periodicidad establecida.
- Se destaca que la entidad se enfoca en la implementación, revisión y actualización continua de políticas, procedimientos, manuales y formatos destinados al control y monitoreo. Estos elementos son esenciales para fortalecer los procesos de evaluación y mejora, con un enfoque prioritario en la prevención. , la gestión del riesgo y la coordinación efectiva con otras entidades de control.
- Se cuenta con el seguimiento de los riesgos por parte de las líneas de defensa para los riesgos de corrupción, gestión, seguridad de la información, fiscales, así como para la prevención del lavado de activos y la financiación. del terrorismo (SARLAFT)".
</t>
    </r>
    <r>
      <rPr>
        <b/>
        <sz val="12"/>
        <rFont val="Arial"/>
        <family val="2"/>
      </rPr>
      <t>Conclusión:</t>
    </r>
    <r>
      <rPr>
        <sz val="12"/>
        <rFont val="Arial"/>
        <family val="2"/>
      </rPr>
      <t xml:space="preserve">  La entidad establece y mantiene las condiciones esenciales para asegurar la operatividad y la eficiencia del Sistema de Control Interno, garantizando su correcta implementación y su capacidad para identificar, gestionar y mitigar los riesgos de manera continua.
</t>
    </r>
  </si>
  <si>
    <r>
      <t xml:space="preserve">El componente Evaluación de Riesgos se situa en la clasificación "Mantenimiento del Control", con lo cual se evidencia que se encuentra presente y funciona correctamente; por lo que solo requiere acciones o actividades dirigidas a su mantenimiento dentro del marco de lineas de defensa.  Con respecto a la evaluación anterior se ,mantiene en una calificación del 100% ; Igualmente, para este componente la -UAESP tiene  fortalezas en varios aspectos a saber: 
Fortalezas:
- Es positivo que la entidad haya creado un mapa de aseguramiento. Este mapa tiene como objetivo optimizar los esfuerzos y proporcionar oportunidades de mejora para las actividades relacionadas con el riesgo, el control y la auditoría en las líneas de defensa segunda y tercera.
- Se monitorean los riesgos de corrupción con la periodicidad establecida por parte de la segunda línea de defensa.
- Control Interno realiza periódicamente el Seguimiento al Plan de Transparencia y Etica Publica - PTEP y el Seguimiento Mapa de Riesgos de Corrupción de manera cuatrimestral).
- Se resalta que la entidad se dedica a la implementación, revisión y actualización constante de políticas, procedimientos, manuales y formatos de control y monitoreo. Estos elementos son fundamentales para fortalecer el proceso de evaluación y mejora, centrándose en la prevención, gestión del riesgo y la interacción con otras entidades de control.
</t>
    </r>
    <r>
      <rPr>
        <b/>
        <sz val="12"/>
        <rFont val="Arial"/>
        <family val="2"/>
      </rPr>
      <t>Conclusión</t>
    </r>
    <r>
      <rPr>
        <sz val="12"/>
        <rFont val="Arial"/>
        <family val="2"/>
      </rPr>
      <t>: De manera general, se lleva a cabo una adecuada gestión de riesgos que aborda los posibles impactos en el logro de los objetivos institucionales. Se realiza un seguimiento periódico y apropiado de la gestión de riesgos con una frecuencia cuatrimestral.</t>
    </r>
  </si>
  <si>
    <r>
      <t>El componente de Actividades de Control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paso de una calificación de 92% al 96% respectivamente es decir, bajo su calificación; Igualmente, para este componente la -UAESP tiene tanto fortalezas como debilidades en varios aspectos a saber: 
Fortalezas:</t>
    </r>
    <r>
      <rPr>
        <sz val="12"/>
        <rFont val="Arial"/>
        <family val="2"/>
      </rPr>
      <t xml:space="preserve">
- Se cuenta con la resolución resolusión 158 de 2018 (manual de funciones), igualmente, cuenta con procedimientos, comunicaciones internas y actos administrativos. Estos documentos permiten definir y asignar de manera precisa las funciones, responsabilidades y roles, asegurando la correcta separación de responsabilidades.
- Así mismo se cuenta con Resolución 757 de 2023, que adopta el Sistema de Gestión en la Unidad Administrativa Especial de Servicios Públicos -UAESP.
-</t>
    </r>
    <r>
      <rPr>
        <b/>
        <sz val="12"/>
        <rFont val="Arial"/>
        <family val="2"/>
      </rPr>
      <t xml:space="preserve"> </t>
    </r>
    <r>
      <rPr>
        <sz val="12"/>
        <rFont val="Arial"/>
        <family val="2"/>
      </rPr>
      <t>La entidad cuenta con implementación, mantenimiento, mejora continua y certificación de su Sistema de Gestión de la Calidad, en cumplimiento con los principios y requisitos del estándar NTC ISO 9001:2015.
-La entidad dispone de un Manual del Sistema Integrado de Gestión (SIG) y esta articulado con el Sistema de Control Interno y otros sistemas de gestión. Asimismo, se evidencian la realización de auditorías al Sistema de Gestión de la Calidad y la auditoría del Modelo de Seguridad y Privacidad de la Información (MSPI), conforme al estándar de la norma ISO 27001.
- En el Comité Institucional de Gestión y Desempeño (CIGD) se presentan los informes correspondientes a los informes de la segunda línea de defensa. Asimismo, la alta dirección realiza un seguimiento continuo a los riesgos y evalúa la eficacia de las acciones implementadas para su prevención. y tratamiento, lo cual queda documentado en las actas del CIGD.</t>
    </r>
    <r>
      <rPr>
        <sz val="12"/>
        <color rgb="FFFF0000"/>
        <rFont val="Arial"/>
        <family val="2"/>
      </rPr>
      <t xml:space="preserve">
</t>
    </r>
    <r>
      <rPr>
        <sz val="12"/>
        <color rgb="FF000000"/>
        <rFont val="Arial"/>
        <family val="2"/>
      </rPr>
      <t xml:space="preserve">
</t>
    </r>
    <r>
      <rPr>
        <b/>
        <sz val="12"/>
        <color rgb="FF000000"/>
        <rFont val="Arial"/>
        <family val="2"/>
      </rPr>
      <t>Debilidades:</t>
    </r>
    <r>
      <rPr>
        <sz val="12"/>
        <color rgb="FF000000"/>
        <rFont val="Arial"/>
        <family val="2"/>
      </rPr>
      <t xml:space="preserve">
- Con base en la validación de los procesos y evidencias disponibles, se ha identificado que, aunque la entidad cuenta con un Plan Anual de Adquisiciones (PAA) y la Resolución 158 de 2018, que regula el Manual de Funciones, es necesario fortalecer los aspectos relacionados con el apoyo a la gestión Esto implica evaluar la pertinencia y efectividad del personal contratado, garantizar que su vinculación se realice dentro de los tiempos oportunos para evitar. retrasos o afectaciones en la ejecución de las actividades Asimismo, se recomienda establecer mecanismos de monitoreo y evaluación periódicas para ajustar la planificación de recursos humanos en función de las prioridades institucionales y los cambios en las demandas operativas.
</t>
    </r>
    <r>
      <rPr>
        <b/>
        <sz val="12"/>
        <color rgb="FF000000"/>
        <rFont val="Arial"/>
        <family val="2"/>
      </rPr>
      <t>Conclusión:</t>
    </r>
    <r>
      <rPr>
        <sz val="12"/>
        <color rgb="FF000000"/>
        <rFont val="Arial"/>
        <family val="2"/>
      </rPr>
      <t xml:space="preserve"> En términos generales, se lleva a cabo una revisión total de los mecanismos establecidos para abordar los riesgos, evaluando no solo el diseño de los controles, sino también su aplicación efectiva en la práctica.
</t>
    </r>
  </si>
  <si>
    <r>
      <t xml:space="preserve">
El componente de Actividades de Control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paso de una calificación de 96% al 92% respectivamente es decir, bajo su calificación; Igualmente, para este componente la -UAESP tiene tanto fortalezas como debilidades en varios aspectos a saber: 
Fortalezas:
- La entidad cuenta con manual de SIG, y asu vez se cuenta con la certificación ISO 9001:2015, y su articulación con el sistema de control interno y demás sistema de gestión. también se evidencia la realización de auditoría de sistema de calidad, y la auditoría del MSPI bajo el estandar de la norma ISO 27001.
- Se cuenta con la Resolución 757 de 2023 Se adopta el Sistema de Gestión en la Unidad Administrativa Especial de Servicios Públicos -UAESP.
- Desde el comite Institucional de Gestión y Desempeño -CIGD se presentan los informe de los reportes de la segunda línea de defensa. Asimismo, la alta dirección realiza un seguimiento a los riesgos y evalúa la eficacia de las acciones implementadas para su prevención y tratamiento, como se evidenció en las actas del CIGD respectivamente. 
Debilidades:
- Aunque la entidad cuenta con el Plan Anual de Adquisiciones y la resolución 158 de 2018 (Manual de Funciones), es necesario mejorar la asignación clara de responsabilidades por parte de la Alta Dirección. Esto asegurará que todos los roles y funciones estén claramente definidos y comprendidos. Además, es crucial fortalecer el apoyo a la gestión, lo cual es esencial para una administración efectiva.
- Se ha identificado una debilidad generalizada en los equipos de cómputo de los usuarios finales, ya que estos se vuelven cada vez más obsoletos y su rendimiento no cumple con los requisitos laborales actuales.
</t>
    </r>
    <r>
      <rPr>
        <b/>
        <sz val="12"/>
        <rFont val="Arial"/>
        <family val="2"/>
      </rPr>
      <t>Conclusión</t>
    </r>
    <r>
      <rPr>
        <sz val="12"/>
        <rFont val="Arial"/>
        <family val="2"/>
      </rPr>
      <t>: En general, se revisan los mecanismos para abordar los riesgos, evaluando tanto el diseño como la aplicación de los controles.</t>
    </r>
  </si>
  <si>
    <r>
      <t xml:space="preserve">El componente de Información y Comunicación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tuvo un descenso con una calificación del 79% con respecto a la evaluación anterior de 96% ; Igualmente, para este componente la -UAESP tiene  fortalezas en varios aspectos a saber: 
</t>
    </r>
    <r>
      <rPr>
        <b/>
        <sz val="12"/>
        <rFont val="Arial"/>
        <family val="2"/>
      </rPr>
      <t xml:space="preserve">
Fortalezas:</t>
    </r>
    <r>
      <rPr>
        <sz val="12"/>
        <rFont val="Arial"/>
        <family val="2"/>
      </rPr>
      <t xml:space="preserve">
- En esta evaluación se evidenció gestión por parte de OTIC para subsanar una debilidad general idedntificada en la evaluación anterior "</t>
    </r>
    <r>
      <rPr>
        <i/>
        <sz val="12"/>
        <rFont val="Arial"/>
        <family val="2"/>
      </rPr>
      <t>se ha identificado una debilidad generalizada en los equipos de cómputo de los usuarios finales, ya que estos se vuelven cada vez más obsoletos y su rendimiento no cumple con los requisitos laborales actuales</t>
    </r>
    <r>
      <rPr>
        <sz val="12"/>
        <rFont val="Arial"/>
        <family val="2"/>
      </rPr>
      <t xml:space="preserve">.". Para esta vigencia se evidenció lo correspondiente a estudios previos para adqusición de equipos de cómputo para usurio final.
- Se cuenta con la actualización y publicación de los activos de información, esquema de publicación e índice de información clasificada y reservada.
- La entidad cuenta con un Plan de Acción para el Modelo de Seguridad y Privacidad de la Información (MSPI), que se aplica de manera transversal. Este plan abarca una variedad de actividades, fechas y procesos responsables diseñados para respaldar la implementación efectiva del modelo
</t>
    </r>
    <r>
      <rPr>
        <b/>
        <sz val="12"/>
        <rFont val="Arial"/>
        <family val="2"/>
      </rPr>
      <t>Debilidades</t>
    </r>
    <r>
      <rPr>
        <sz val="12"/>
        <rFont val="Arial"/>
        <family val="2"/>
      </rPr>
      <t>:
- Realizar un análisis detallado de los requerimientos e incidencias tecnológicas, con el fin de generar información estratégica que sirva para optimizar el desempeño del proceso de Gestión Tecnológica y mejorar la disponibilidad de los servicios. Este análisis debe permitir identificar oportunidades de mejora y asegurar que las decisiones tecnológicas estén alineadas con los objetivos estratégicos de la organización, facilitando así un entorno operativo más eficiente y adaptable. . Esta recomendación está sujeta a reevaluarse cuando se de el traslado a la nueva sede, toda vez que cambiarían las condiciones tecnológicas.
- Los procesos misionales realizaron encuestas de acuerdo con los recursos del área, toda vez que al igual que el primer semstre para esta vigencia tampoco contaron con gestores sociales para realizar esta medición como se venia realizando en años anteriores.
- Fortalecer las comunicaciones tanto internascomo externas toda vez que de acuerdo con la auditoría de Imagen y Confianza se evidenció que la aplicación del procedimiento de Comunicación presenta debilidades puntuales frente a los soportes de los registros de cada actividad contemplada  ya que sólo se documenta productos finales de las solicitudes. Así mismo se evidenció que se han reducido temas de comunicación como era el Noti UAESP, la UAESP te cuenta, entre otros como se tenía en períodos anteriores.
- En cuanto a la gestión de PQRS se evidenciaron debilidades en la respuestas oportunas a las peticiones de la entidad, como quedó en el informe de auditoría que manifiesta:"</t>
    </r>
    <r>
      <rPr>
        <i/>
        <sz val="12"/>
        <rFont val="Arial"/>
        <family val="2"/>
      </rPr>
      <t>Se evidencia falta de controles efectivos para prevenir traslados o gestión de respuestas a peticiones por fuera del Sistema Distrital SDQS</t>
    </r>
    <r>
      <rPr>
        <sz val="12"/>
        <rFont val="Arial"/>
        <family val="2"/>
      </rPr>
      <t xml:space="preserve">". Es decir, se debe fortalecer la gestión de PQRS de la entidad a nivel de todos los procesos toda vez que se evidenció respuestas fuera de términos en algunos procesos misionales. 
- En cuanto a la evaluación de percepción por parte de los usurios o grupos de valor, la entidad adoleció de este medición y analisis periódicosde los resultados para la incorporación de las mejoras correspondientes. Aunque los procesos misionales realizaron algunas encuentas sobre el team social, o decreto 400, los procesos manifestaron que adolecen de talento de gestores sociales para la realización de esta actividad.
- Gestionar lo que corresponde a la actualización de la Tablas de Retención Documental y convalidadas por el Archivo Distrital.
</t>
    </r>
    <r>
      <rPr>
        <b/>
        <sz val="12"/>
        <rFont val="Arial"/>
        <family val="2"/>
      </rPr>
      <t xml:space="preserve">Conclusión: </t>
    </r>
    <r>
      <rPr>
        <sz val="12"/>
        <rFont val="Arial"/>
        <family val="2"/>
      </rPr>
      <t>En términos generales, se cumplen parcialmente con las actividades relacionadas con este componente, lo que demuestra avances importantes en su implementación. No obstante, es necesario redoblar esfuerzos y trabajar en la identificación y ejecución de oportunidades de mejora que permitan optimizar los procesos y resultados.</t>
    </r>
  </si>
  <si>
    <r>
      <t xml:space="preserve">El componente de Información y Comunicación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se ,mantiene en una calificación del 96% ; Igualmente, para este componente la -UAESP tiene  fortalezas en varios aspectos a saber: 
Fortalezas:
- La entidad cuenta con un Plan de Acción para el Modelo de Seguridad y Privacidad de la Información (MSPI), que se aplica de manera transversal. Este plan abarca una variedad de actividades, fechas y procesos responsables diseñados para respaldar la implementación efectiva del modelo
- Se evidencia una optimización de los canales de comunicación internos y externos.
- Se cuenta con el Programa de Protección de Datos personales de la -UAESP
Debilidades:
-  Actualizar la resolución de la política de seguridad de la información con base en el última política documentada y socializarla a nivel de toda la entidad.
- Retomar la evaluación de percepción de los grupos de valor por parte de los procesos misionales. Asimismo, incorporar acciones de mejora que generen valor agregado a las mediciones. 
- Existe una oportunidad de mejora en el fortalecimiento de los inventarios de información y en la implementación de herramientas más eficaces para verificar el nivel de satisfacción del usuario.
- Implementar acciones para actualizar el programa de gestión documental y las tablas de retención documental, asegurando que estén alineadas con la realidad y las necesidades institucionales.
</t>
    </r>
    <r>
      <rPr>
        <b/>
        <sz val="12"/>
        <rFont val="Arial"/>
        <family val="2"/>
      </rPr>
      <t>Conclusión:</t>
    </r>
    <r>
      <rPr>
        <sz val="12"/>
        <rFont val="Arial"/>
        <family val="2"/>
      </rPr>
      <t xml:space="preserve"> En general, se cumplen con algunas las actividades relacionadas con la divulgación de resultados, asegurando que la información y la comunicación sean pertinentes para los grupos de interés y de valor."</t>
    </r>
  </si>
  <si>
    <r>
      <t>El componente de Actividades de Monitoreo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se mantiene con una calificación del 96% respectivamente; Igualmente, para este componente la -UAESP tiene tanto fortalezas como debilidades en varios aspectos a saber</t>
    </r>
    <r>
      <rPr>
        <b/>
        <sz val="12"/>
        <rFont val="Arial"/>
        <family val="2"/>
      </rPr>
      <t>: 
Fortalezas</t>
    </r>
    <r>
      <rPr>
        <sz val="12"/>
        <rFont val="Arial"/>
        <family val="2"/>
      </rPr>
      <t xml:space="preserve">:
- La Oficina de Control Interno realizará un monitoreo constante de cada requerimiento recibido y registrado por los entes de control, con el objetivo de garantizar el trámite y la respuesta oportuna durante la vigencia 2024. Este seguimiento busca fortalecer la gestión institucional, asegurando la adecuada atención a los requerimientos y el cumplimiento de los plazos establecidos.
- Formulación y aprobación del Plan Anual de Auditorías para la vigencia 2024, en el marco del Comité Institucional de Coordinación de Control Interno (CICCI). Además, se realizó el seguimiento continuo y la aprobación de las modificaciones necesarias para garantizar su correcta ejecución y alineación con los objetivos institucionales.
- Durante la vigencia de 2024, se logró ejecutar el 100% de las auditorías programadas, cumpliendo con los objetivos establecidos en el Plan Anual de Auditorías (PAA).
- Brindar orientación y asesoría a los diferentes procesos para la elaboración de planes de mejoramiento enfocados en acciones correctivas y de mejora, fundamentadas en los hallazgos recomendaciones y presentadas en los informes de auditoría emitidos por los entes de control externo, como auditorías internas de aseguramiento y reportes de Ley. Esta labor busca garantizar una respuesta efectiva a los requerimientos identificados y promover el fortalecimiento continuo de la gestión de la entidad.
- La entidad dispone de un protocolo establecido para la atención de los entes externos, diseñado para garantizar una interacción eficiente, transparente y oportuna.
- Se evidencia que la segunda y tercera línea de defensa realizan el monitoreo constante de los riesgos, objetivos y planes estratégicos de la entidad. Entre los planos monitoreados se destacan el Plan de Transparencia y Ética Pública (PTEP), los Mapas de Riesgos (MR) y el Plan Anual Institucional compuesto de 20 planes (PAI), y Metas plan de desarrollo (PDD).
- Desde el Proceso de Evaluación y Mejora, se impulsa de manera contínua mes a mes campañas de autocontrol basados en las auditorías de aseguramiento e informes de Ley para todos los procesos de la entidad, buscando fomentar una cultura  basada en la responsabilidad de cada proceso con el objetivo que cada proceso asuma un rol proactivo en la identificación, evaluación y gestión de los posibles riesgos que puedan surgir y buscando asegurar el cumplimiento de los objetivos de la entidad como también consolidar un sistema de control interno con una mejora continua.
</t>
    </r>
    <r>
      <rPr>
        <b/>
        <sz val="12"/>
        <rFont val="Arial"/>
        <family val="2"/>
      </rPr>
      <t>Debilidades:</t>
    </r>
    <r>
      <rPr>
        <sz val="12"/>
        <rFont val="Arial"/>
        <family val="2"/>
      </rPr>
      <t xml:space="preserve">
- Es fundamental para el proceso de Servicio al Ciudadano optimizar los tiempos de respuesta a las PQRS, ya que se ha identificado un rezago en dichos tiempos, conforme a los resultados obtenidos en las auditorías independientes realizadas al proceso. Este aspecto requiere atención inmediata para garantizar una atención más eficiente y oportuna para responder de manera prioritaria a los ciudadanos y cerrar brechas identificadas.
</t>
    </r>
    <r>
      <rPr>
        <b/>
        <sz val="12"/>
        <rFont val="Arial"/>
        <family val="2"/>
      </rPr>
      <t xml:space="preserve">Conclusión: </t>
    </r>
    <r>
      <rPr>
        <sz val="12"/>
        <rFont val="Arial"/>
        <family val="2"/>
      </rPr>
      <t xml:space="preserve">En términos generales, el componente logra su objetivo, ya que se efectúa una evaluación integral de la gestión instituciona y un monitoreo continuo del estado del Sistema de Control Interno,  lo que permite identificar posibles áreas y oportunidades de mejora, así como asegurar el cumplimiento de los objetivos institucionales.
 </t>
    </r>
  </si>
  <si>
    <t>El componente de Actividades de Monitoreo se sitúa en la clasificación "Mantenimiento del Control", con lo cual se evidencia que se encuentra presente y funciona correctamente; por lo que solo requiere acciones o actividades dirigidas a su mantenimiento dentro del marco de líneas de defensa. Con respecto a la evaluación anterior paso de una calificación de 100% al 96% respectivamente es decir, bajo su calificación; Igualmente, para este componente la -UAESP tiene tanto fortalezas como debilidades en varios aspectos a saber: 
Fortalezas:
-  Se dispone de un Plan Anual de Auditoría 2024, aprobado por el Comité Institucional de Coordinación de Control Interno, con los respectivos seguimientos realizados de manera mensual.
- Se realizaron los Comités Institucionales de Coordinación de Control Interno, cuya función incluye servir como instancia para reportar las deficiencias de control interno detectadas durante el monitoreo continuo.
- Orientación y asesoría a los procesos en la elaboración de planes de mejoramiento sobre acciones correctivas y de mejora basadas en los informes de auditoría emitidos por los entes externos de control.
- Se llevan a cabo seguimientos periódicos a los planes de mejora, tanto internos como externos.
- Se realizan evaluación independiente con una frecuencia determinada, y estas son basadas en el análisis de riesgo.
- Atención y acompañamiento permanente a los requerimiemtos de entes externos de control.
- La entidad cuenta con protocolo de atención a entes externos.
- Proporcionar apoyo continuo, acompañamiento y asesoría a las instancias de coordinación interna
- Se evidenció que la segunda y tercera línea de defensa efectúan el monitoreo de riesgos, objetivos y planes, entre ellos el Plan de Transparencia y Etica Pública -PTEP, Mapas de Riesgos MR, Plan Anual Imstitucional -PAI.
- Desde el Proceso de Evaluación y Mejora, se promueve activamente la práctica del autocontrol en los diversos procesos de la entidad.
Debilidades:
- Es importante para el proceso de Servicio al Ciudadano mejorar los tiempos de respuestas de PQRS, toda vez que se evidencia un rezago en los tiempos de respuesta según los resultados arrojados por la auditorías independientes al proceso.
- Falta una articulación de las PQRS recibidas por ORFEO con el sistema de SDQS que generaría una mejor gestión y oportunidad de respuestas.
Conclusión: En general, el objetivo del componente se cumple, ya que se realiza una evaluación integral de la gestión institucional y un monitoreo continuo del estado del Sistema de Control Interno.</t>
  </si>
  <si>
    <t>Gestión Disciplinaria interna</t>
  </si>
  <si>
    <t>Gestión Integral de Residuos</t>
  </si>
  <si>
    <t>Servicios Funerarios</t>
  </si>
  <si>
    <t>Alumbrado Público</t>
  </si>
  <si>
    <t>Gestión del Talento humano</t>
  </si>
  <si>
    <t>Gestión Financiera</t>
  </si>
  <si>
    <t>Gestión de Apoyo Logístico</t>
  </si>
  <si>
    <t>Gestión de Asuntos Legales</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</si>
  <si>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</si>
  <si>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</si>
  <si>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</si>
  <si>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</si>
  <si>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</si>
  <si>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</si>
  <si>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</si>
  <si>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</si>
  <si>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</si>
  <si>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Cuando en el análisis de los requerimientos en los diferenes componentes del MECI se cuente con aspectos evaluados en nivel 2 (presente) y 3 (funcionando).</t>
  </si>
  <si>
    <t>Cuando en el análisis de los requerimientos en los diferenes componentes del MECI se cuente con aspectos evaluados en nivel 2 (presente) y 2 (funcionando); 3 (presente) y 1 (funcionando); 3 (presente) y 2 (funcionando).</t>
  </si>
  <si>
    <t>Deficiencia de control mayor</t>
  </si>
  <si>
    <t>Cuando en el análisis de los requerimientos en los diferenes componentes del MECI se cuente con aspectos evaluados en nivel 1 (presente) y 1 (funcionando); 2 (presente) y 1 (funcionando).</t>
  </si>
  <si>
    <t>14.4</t>
  </si>
  <si>
    <t xml:space="preserve"> Resolución No. 309 del 22 de mayo del 2026,"Por la cual se conforma el Equipo de Gestores/as de Integridad de la Unidad Administrativa Especial de Servicios Públicos para la vigencia 2026 - 2027”</t>
  </si>
  <si>
    <t>Los valores institucionales fueron adoptados mediante la Resolución 345 de 2018 "Por la cual se adopta el Código de Integridad, se establecen los lineamientos para la conformación del equipo de Gestores de Integridad de la Unidad Administrativa Especial de Servicios Públicos y se dictan otras disposiciones" modificada por las Resoluciones 679 y la 776 de 2023, buscando fortalecer la cultura organizacional en torno a la integridad y la transparencia.
Se cuenta con la conformación de los Gestores de Integridad vigencia 2026-2027.  Resolución No. 309 del 22 de mayo del 2026,"Por la cual se conforma el Equipo de Gestores/as de Integridad de la Unidad Administrativa Especial de Servicios Públicos para la vigencia 2026 - 2027”
 La Oficina de Control Interno, como Tercera Línea de Defensa, dentro del seguimiento al Programa de Transparencia y Ëtica Pública (febrero de 2026), verificó el cumplimiento de actividades identificadas para el tema de Integridad en la Entidad durante la vigencia 2025.</t>
  </si>
  <si>
    <t xml:space="preserve">De acuerdo con los soportes evidenciados en el Plan de  Integridad se destaca el Programa de Integridad 2025-2028 el cual fue presentado al CICCI del mes de enero de 2025.
Asi mismo se destaca, el cronograma de Integridad 2026, con actividades de formtalecimiento de apropiación de los valores institucionales.
Los resultados de la evaluación del Programa de Transparencia y Ética Pública  se presentaron para conocimiento del Comité Institucional de Gestión y Desempeño o al Comité de Coordinación de Control Interno para que, como líderes del Sistema  y de la implementación del MIPG, mejoren las debilidades evidenciadas por la OCI.
</t>
  </si>
  <si>
    <t>Se tiene programado realizar una auditoría durante el segundo semestre de 2026 de la Estrategia de Conflicto de Interés.</t>
  </si>
  <si>
    <t>Se tiene programado realizar una auditoría durante el segundo semestre de 2026 del registro de información en SIDEAP y SIGEP.</t>
  </si>
  <si>
    <t xml:space="preserve">
Se solicitó el diligenciamiento y reporte en SIDEAP y SIGEP del formulario de conflicto de interés, CIRCULAR No.20267000000154 del 03/06/2026, así mismo verifica que esta declaración esté realizada antes de la posesión de la persona en cualquiera de los cargos de la planta de personal. 
La OCI tiene el formato: ECM-FM-10 V1 Compromiso de independencia y objetividad, el cual los auditores suscriben, certificando no tener ningún conflicto de interés y ser indeoendientes y objetivos con los trabajos de auditoría a realizar en la vigencia. </t>
  </si>
  <si>
    <t xml:space="preserve">
Piezas de socialización por parte del área de Talento Humano para la presentación oportuna de las Declaraciones de conflictos de interes y Declaraciones de Bienes y Rentas durante el 2026.
Mantener la implementación y divulgación de los mecanismos establecidos para la identificación, declaración y manejo oportuno de los conflictos de interés, así como la verificación del diligenciamiento de la información en SIDEAP y SIGEP y la suscripción de los compromisos de independencia y objetividad por parte de los auditores de la OCI, conservando las evidencias que permitan demostrar su aplicación y seguimiento 
</t>
  </si>
  <si>
    <t>Firma del ECM-FM-10 V1 Compromiso de independencia y objetividad</t>
  </si>
  <si>
    <t>Diligenciamiento del formulario de Conflicto de Interés en SIGEP y SIDEAP</t>
  </si>
  <si>
    <t>Se tiene programado realizar una auditoría durante el segundo semestre de 2026 al modelo de Seguridad y Privacidad de la Información.</t>
  </si>
  <si>
    <t>* Inventario de activos de información
* Índice de Información Clasficiada y Reservada
* Control de acceso a sistemas de información por asignación de Roles
* Politicas de seguridad y privacidad de la información
* GTI-PC-13 Cifrado de la información
* Controles de acceso: Credenciales de acceso por LDAP, uso de VPN
* Sensibilizaciones en Seguridad de la Información.
* Clausulas y formatos de acuerdos de confidencialidad
* Mesa Técnica Seguridad Digital
La Entidad  mantiene un inventario actualizado de sus activos de información, quedando bajo la responsabilidad de cada propietario de información y centralizado por el área de Sistemas. Igualmente, por medio de correos electrónicos y capacitaciones, se fomenta la transparencia y acceso a la información; y temas relacionados.
Durante el primer semestre de 2026 se realizó la encuensta de Datos Abiertos: Mide la calidad y satisfacciòn de la ciudadania con el uso de los Datos Abiertos generados por la Unidad Administrativa Especial de Servicios Pùblicos - UAESP</t>
  </si>
  <si>
    <t>Encuesta de Datos Abiertos.</t>
  </si>
  <si>
    <t xml:space="preserve">En la UAESP se cuenta con la Mesa Técnica de Seguridad Digital, y Mesa Técnica de Gobierno Digital en el cual se abordan estos temas de seguridad y acceso a la información.
Mantener la implementación, actualización y seguimiento de los mecanismos establecidos para prevenir el uso inadecuado o la divulgación no autorizada de información institucional, incluyendo la gestión de activos de información, los controles de acceso, el cifrado, los acuerdos de confidencialidad, las sensibilizaciones y el funcionamiento de las mesas técnicas de seguridad digital, conservando las evidencias que permitan demostrar su aplicación continua y efectiva.
</t>
  </si>
  <si>
    <r>
      <t xml:space="preserve">El seguimiento a riesgos se gestiona de acuerdo a la Politica de riesgos, reportando mensualmente el seguimiento y cargando las evidencias correspondientes.
La Primera, Segunda y Tercera Líneas de Defensa, realizaron mesas de trabajo con los procesos para la actualización de sus riesgos de gestión y corrupción, para la vigencia 2026.
La OCI elaboró el "Informe Final de Auditoría - Seguimiento al Mapa de Riesgos y Oportunidades de la Unidad Administrativa Especial de Servicios Públicos - (UAESP) con corte a 30
de abril de 2026"
 La Oficina de Control Interno, como Tercera Línea de Defensa, dentro del seguimiento al Programa de Transparencia y Ëtica Pública (febrero de 2026), verificó el cumplimiento de actividades identificadas para el tema de Riesgos de Corrupción durante la vigencia 2025.
</t>
    </r>
    <r>
      <rPr>
        <sz val="11"/>
        <color rgb="FF000000"/>
        <rFont val="Arial Narrow"/>
      </rPr>
      <t xml:space="preserve">
</t>
    </r>
  </si>
  <si>
    <t>Informe de seguimiento a riesgos primer semestre 2026 - OCI</t>
  </si>
  <si>
    <t>Informe de seguimiento al PTEP - Segundo semestre 2025</t>
  </si>
  <si>
    <t xml:space="preserve">
Se cuenta con los canales para hacer una denuncia de corrupción a disposición de cualquier interesado:
 integridad@uaesp.gov.co
https://www.uaesp.gov.co/content/canales-atencion</t>
  </si>
  <si>
    <t>https://www.uaesp.gov.co/content/canales-atencion</t>
  </si>
  <si>
    <r>
      <t xml:space="preserve">
La UAESP cuenta con una Política de Administración del Riesgo actualizada conforme a la Guía para la Gestión Integral del Riesgo en Entidades Públicas, versión 7 del DAFP, la cual incorpora los riesgos para la integridad pública, define responsabilidades para las líneas de defensa y establece mecanismos periódicos de autocontrol, monitoreo y evaluación independiente.
Durante el periodo evaluado, la Oficina de Control Interno realizó seguimiento al Mapa y Plan de Manejo de Riesgos y Oportunidades, incluyendo los riesgos de integridad pública, sin identificar materializaciones. De manera general, se evidenció la aplicación de los controles y el seguimiento efectuado por las líneas de defensa. No obstante, se identificaron debilidades en la completitud y calidad de algunos soportes aportados por los procesos, lo que limitó la validación de la ejecución y eficacia de determinados controles.
Adicionalmente, si bien la política se encuentra sustancialmente alineada con la Guía del DAFP, se considera pertinente complementar la formalización de los roles específicos del SIGRIP, la asignación de la función de cumplimiento, la periodicidad y contenido de su evaluación, los criterios de auditoría y su proceso de mejora continua.
</t>
    </r>
    <r>
      <rPr>
        <b/>
        <sz val="11"/>
        <color theme="1"/>
        <rFont val="Arial Narrow"/>
        <family val="2"/>
      </rPr>
      <t>Recomendación:</t>
    </r>
    <r>
      <rPr>
        <sz val="11"/>
        <color theme="1"/>
        <rFont val="Arial Narrow"/>
        <family val="2"/>
      </rPr>
      <t xml:space="preserve">
Fortalecer el monitoreo y la evaluación de los riesgos para la integridad pública, estableciendo criterios mínimos para la completitud, calidad, oportunidad y trazabilidad de las evidencias que soportan la ejecución y eficacia de los controles. Asimismo, complementar la Política de Administración del Riesgo con la formalización de los roles y responsabilidades específicos del SIGRIP, la asignación de la función de cumplimiento, la periodicidad y contenido de su evaluación, los criterios para su auditoría y el proceso de mejora continua, de conformidad con la Guía para la Gestión Integral del Riesgo en Entidades Públicas, versión 7 del DAFP.</t>
    </r>
  </si>
  <si>
    <r>
      <t xml:space="preserve">La UAESP cuenta con canales institucionales para la recepción de denuncias relacionadas con posibles actos de corrupción, situaciones irregulares, inhabilidades, incompatibilidades y conflictos de interés, entre ellos el correo electrónico integridad@uaesp.gov.co y los canales de atención publicados en la página web institucional. Asimismo, se evidenció la existencia de lineamientos para el trámite de las denuncias, actividades de divulgación y espacios de articulación entre las dependencias responsables para establecer la ruta institucional de atención.
</t>
    </r>
    <r>
      <rPr>
        <b/>
        <sz val="11"/>
        <color theme="1"/>
        <rFont val="Arial Narrow"/>
        <family val="2"/>
      </rPr>
      <t>Recomendación</t>
    </r>
    <r>
      <rPr>
        <sz val="11"/>
        <color theme="1"/>
        <rFont val="Arial Narrow"/>
        <family val="2"/>
      </rPr>
      <t>:
Fortalecer el seguimiento al funcionamiento de los canales de denuncia mediante la elaboración y socialización a la comunidad institucional  de reportes periódicos que permitan identificar el número y tipología de las denuncias recibidas, su estado, tiempos de atención y resultados, preservando la reserva y confidencialidad de la información. Asimismo, utilizar los resultados de estos análisis como insumo para la actualización de los riesgos de integridad pública, el fortalecimiento de los controles y la adopción de acciones de mejora institucional.</t>
    </r>
  </si>
  <si>
    <t>Para la vigencia 2026, se programó en el Plan Anual de Auditorías realizar 3 sesiones del CICCI, cumpliendo con sesiones reglamentarias. De ser necesario se realizán sesiones adicionales a solicitud de los miembros del Comité.</t>
  </si>
  <si>
    <t>Actas de reunión del CICCI</t>
  </si>
  <si>
    <r>
      <t xml:space="preserve">La Oficina de Control Interno evidenció que el Comité Institucional de Coordinación de Control Interno se encuentra formalmente constituido y opera de acuerdo con las funciones y periodicidad establecidas. Durante la vigencia 2026 se programaron tres sesiones ordinarias en el marco del Plan Anual de Auditoría, evidenciándose mediante las actas correspondientes el análisis de asuntos relacionados con el Sistema de Control Interno, la gestión de riesgos, el seguimiento al Plan Anual de Auditoría y la adopción de decisiones y recomendaciones por parte de sus integrantes.
Asimismo, el Comité constituye una instancia de orientación y seguimiento para el fortalecimiento del Sistema de Control Interno. Para sustentar integralmente el criterio, se deberá conservar evidencia de la articulación entre el CICCI y el Comité Institucional de Gestión y Desempeño, especialmente frente a los asuntos de gestión de riesgos, desempeño institucional y acciones de mejoramiento.
</t>
    </r>
    <r>
      <rPr>
        <b/>
        <sz val="11"/>
        <color theme="1"/>
        <rFont val="Arial Narrow"/>
        <family val="2"/>
      </rPr>
      <t>Recomendación:</t>
    </r>
    <r>
      <rPr>
        <sz val="11"/>
        <color theme="1"/>
        <rFont val="Arial Narrow"/>
        <family val="2"/>
      </rPr>
      <t xml:space="preserve">
Mantener el funcionamiento periódico del Comité Institucional de Coordinación de Control Interno, asegurando la convocatoria oportuna de sus integrantes, la documentación de las decisiones y compromisos adoptados, el seguimiento a su cumplimiento y la articulación con el Comité Institucional de Gestión y Desempeño en los asuntos relacionados con la gestión de riesgos, el desempeño institucional y el fortalecimiento del Sistema de Control Interno.</t>
    </r>
  </si>
  <si>
    <t xml:space="preserve">La entidad cuenta con el "Manual Sistema Integrado de Gestión", la Política de Administración de Riesgos, y mediante la Resolución UAESP 757 de 2023 - Instancias de  operacionalización del Sistema de Gestión y Sistema de Control Interno en la UAESP. 
Manual de l sistema de Gestión DES-MN-01 V7 Manual del SIG. </t>
  </si>
  <si>
    <t>https://www.uaesp.gov.co/mipg/documentos-sig/direccionamiento_estrategico/manuales/DES-MN-01%20V7%20Manual%20del%20SIG.pdf</t>
  </si>
  <si>
    <r>
      <t xml:space="preserve">La UAESP cuenta con un Esquema de Líneas de Defensa formalmente documentado mediante la Resolución 757 de 2023, el Manual del Sistema Integrado de Gestión y la Política de Administración del Riesgo actualizada en noviembre de 2025. Estos instrumentos identifican los responsables y las funciones correspondientes a la línea estratégica y a la primera, segunda y tercera líneas de defensa.
Durante el periodo evaluado se evidenció su aplicación mediante los ejercicios de monitoreo efectuados por la primera y segunda línea de defensa y la evaluación independiente realizada por la Oficina de Control Interno. No obstante, se considera pertinente continuar armonizando los instrumentos institucionales para precisar la participación complementaria del CIGD y el CICCI, actualizar las referencias metodológicas y formalizar los roles específicos requeridos para la operación del SIGRIP.
</t>
    </r>
    <r>
      <rPr>
        <b/>
        <sz val="11"/>
        <color theme="1"/>
        <rFont val="Arial Narrow"/>
        <family val="2"/>
      </rPr>
      <t>Recomendación:</t>
    </r>
    <r>
      <rPr>
        <sz val="11"/>
        <color theme="1"/>
        <rFont val="Arial Narrow"/>
        <family val="2"/>
      </rPr>
      <t xml:space="preserve">
Mantener actualizado y armonizado el Esquema de Líneas de Defensa, asegurando la coherencia entre la Resolución 757 de 2023, el Manual del Sistema Integrado de Gestión y la Política de Administración del Riesgo. Asimismo, continuar precisando las responsabilidades complementarias del CIGD y el CICCI, la identificación de las instancias que ejercen funciones de segunda línea y los roles específicos del SIGRIP, de conformidad con los lineamientos de la Guía para la Gestión Integral del Riesgo, versión 7 del DAFP..
</t>
    </r>
  </si>
  <si>
    <r>
      <t xml:space="preserve">La Oficina de Control Interno evidenció que la UAESP cuenta con líneas de reporte formalmente definidas y documentadas, atendiendo el Esquema de Líneas de Defensa. El Manual del Sistema Integrado de Gestión, versión 7, establece los informes y temas objeto de monitoreo, las dependencias responsables, los destinatarios, los medios de comunicación y la periodicidad de presentación, permitiendo que la información relevante sea conocida por el CIGD, el CICCI y las demás instancias competentes.
</t>
    </r>
    <r>
      <rPr>
        <b/>
        <sz val="11"/>
        <rFont val="Arial Narrow"/>
        <family val="2"/>
      </rPr>
      <t xml:space="preserve">Recomendación:
</t>
    </r>
    <r>
      <rPr>
        <sz val="11"/>
        <rFont val="Arial Narrow"/>
        <family val="2"/>
      </rPr>
      <t xml:space="preserve">
Mantener actualizadas y en operación las líneas de reporte definidas en el Manual del Sistema Integrado de Gestión, asegurando el cumplimiento de las periodicidades establecidas, la trazabilidad de los informes presentados, las decisiones adoptadas y el seguimiento a los compromisos. Asimismo, continuar precisando los criterios de escalamiento y articulación entre el CIGD y el CICCI e incorporar expresamente el reporte de los indicadores clave de riesgo y de los resultados de la evaluación del SIGRIP para apoyar oportunamente la toma de decisiones de la Alta Dirección.
</t>
    </r>
  </si>
  <si>
    <r>
      <t xml:space="preserve">La UAESP cuenta con una Política de Administración del Riesgo formalmente aprobada, actualizada conforme a la Guía para la Gestión Integral del Riesgo, versión 7 del DAFP, y aplicable a los diferentes tipos de riesgos institucionales. Durante el periodo evaluado se evidenció su implementación mediante el Mapa y Plan de Manejo de Riesgos y Oportunidades de 2026, los monitoreos realizados por la primera y segunda líneas de defensa y la evaluación independiente efectuada por la Oficina de Control Interno.
Los resultados de la auditoría evidenciaron que, en términos generales, los riesgos fueron identificados, valorados, tratados y monitoreados adecuadamente y que no se presentaron materializaciones durante el periodo evaluado. No obstante, se identificaron debilidades focalizadas en la calidad, suficiencia y trazabilidad de algunas evidencias, así como en el seguimiento de determinados controles y acciones, las cuales deben ser consideradas dentro del proceso de evaluación y mejora continua de la política.
</t>
    </r>
    <r>
      <rPr>
        <b/>
        <sz val="11"/>
        <color theme="1"/>
        <rFont val="Arial Narrow"/>
        <family val="2"/>
      </rPr>
      <t>Recomendación</t>
    </r>
    <r>
      <rPr>
        <sz val="11"/>
        <color theme="1"/>
        <rFont val="Arial Narrow"/>
        <family val="2"/>
      </rPr>
      <t xml:space="preserve">
Mantener la aplicación, seguimiento y evaluación periódica de la Política de Administración del Riesgo, documentando por lo menos una vez al año el análisis de los cambios del contexto interno y externo, las dificultades identificadas durante su implementación, los resultados de los monitoreos de las líneas de defensa y las evaluaciones realizadas por la OCI. Asimismo, continuar gestionando las acciones correctivas y de mejora derivadas de las debilidades identificadas en el seguimiento a los controles y en la calidad y trazabilidad de las evidencias, garantizando la actualización y armonización permanente de la política, el procedimiento y el mapa institucional de riesgos.</t>
    </r>
  </si>
  <si>
    <t>Resolución UAESP 757 de 2023 - Instancias de  operacionalización del Sistema de Gestión y Sistema de Control Interno en la UAESP</t>
  </si>
  <si>
    <r>
      <t xml:space="preserve">La UAESP cuenta con niveles de apetito, tolerancia y capacidad de riesgo formalmente definidos y aprobados por la línea estratégica, los cuales establecen las actuaciones requeridas según la zona de riesgo residual y la tipología del riesgo. Asimismo, se definió apetito de riesgo cero para los riesgos asociados a la integridad pública.
Durante el periodo evaluado se evidenció la aplicación de estos lineamientos mediante el seguimiento al Mapa y Plan de Manejo de Riesgos y Oportunidades y la evaluación independiente realizada por la OCI. No obstante, se considera pertinente que la revisión periódica de la política documente expresamente la relación entre los niveles de aceptación y los objetivos estratégicos e institucionales, con el fin de establecer si determinados objetivos requieren límites o tratamientos más restrictivos.
</t>
    </r>
    <r>
      <rPr>
        <b/>
        <sz val="11"/>
        <color theme="1"/>
        <rFont val="Arial Narrow"/>
        <family val="2"/>
      </rPr>
      <t>Recomendación</t>
    </r>
    <r>
      <rPr>
        <sz val="11"/>
        <color theme="1"/>
        <rFont val="Arial Narrow"/>
        <family val="2"/>
      </rPr>
      <t xml:space="preserve">
Mantener la aplicación y revisión periódica de los niveles de apetito, tolerancia y capacidad establecidos en la Política de Administración del Riesgo, asegurando que la Alta Dirección conozca y analice los riesgos residuales que superen el apetito definido. Asimismo, continuar documentando la relación de estos niveles con los objetivos estratégicos e institucionales y evaluar la necesidad de establecer límites diferenciados para aquellos objetivos asociados a la continuidad del servicio, la integridad pública, la seguridad de la información, el cumplimiento normativo y la protección de los recursos públicos</t>
    </r>
  </si>
  <si>
    <t>Informes trimestrales del  PAI
Seguimiento y revisión por parte de la alta dirección.
⎼ DES-PC-04 V6 Formulación y actualización del plan estratégico institucional
⎼ DES-PC-03 V10 Formulación y seguimiento Plan de Acción Institucional</t>
  </si>
  <si>
    <t>Sesiones del CIGD</t>
  </si>
  <si>
    <r>
      <t xml:space="preserve">Se evidenció que la UAESP cuenta con mecanismos estructurados para evaluar periódicamente la planeación estratégica y operativa, mediante el seguimiento trimestral al Plan de Acción Institucional, el monitoreo de segunda línea al Plan Estratégico Institucional, el tablero general de indicadores, los procedimientos DES-PC-03 y DES-PC-04 y la presentación de resultados ante el Comité Institucional de Gestión y Desempeño. El Informe del PAI del primer trimestre de 2026 compara la ejecución frente a la programación, identifica desviaciones y sus causas, analiza la disponibilidad y ejecución de recursos, presenta proyecciones de cumplimiento y formula recomendaciones frente a los planes y proyectos con rezagos. No obstante, se requiere fortalecer la trazabilidad entre las alertas generadas y las decisiones adoptadas, identificando responsables, fechas, compromisos, acciones correctivas y evidencias de cierre, así como documentar de manera sistemática los cambios del entorno que puedan afectar el cumplimiento de los objetivos estratégicos.
</t>
    </r>
    <r>
      <rPr>
        <b/>
        <sz val="11"/>
        <color theme="1"/>
        <rFont val="Arial Narrow"/>
        <family val="2"/>
      </rPr>
      <t>Recomendación:</t>
    </r>
    <r>
      <rPr>
        <sz val="11"/>
        <color theme="1"/>
        <rFont val="Arial Narrow"/>
        <family val="2"/>
      </rPr>
      <t xml:space="preserve">
Fortalecer los informes con alertas de la planeación estratégica que incluya la desviación identificada, su causa, los recursos requeridos, los cambios internos o externos asociados, la decisión adoptada, el responsable, el plazo y el estado de cumplimiento, de manera que pueda verificarse el cierre efectivo de las alertas y su contribución al logro de los objetivos institucionales.</t>
    </r>
  </si>
  <si>
    <t>Informe de Monitoreo al PETH I Trimestre de 2026.
En el Plan Anual de Auditoría de la vigencia 2026, se incluyó el seguimiento a los PETH para el segundo semestre de 2026.</t>
  </si>
  <si>
    <t>La entidad cuenta con el Plan Estratégico de Talento Humano y realiza seguimiento a su implementación mediante los indicadores de gestión, los informes trimestrales de Talento Humano, el seguimiento al Plan de Acción Institucional y la presentación de resultados ante el Comité Institucional de Gestión y Desempeño.</t>
  </si>
  <si>
    <t>Plan Anual de Auditoría 2026, que contempla la evaluación de la OCI.</t>
  </si>
  <si>
    <t>informe del registro publico de carrera</t>
  </si>
  <si>
    <t>Informe al PAID de la OCI</t>
  </si>
  <si>
    <t>La UAESP cuenta con el procedimiento GTH-PC-01 V11 Vinculación de Servidores Públicos, actualizado en noviembre de 2025, el cual establece las actividades, responsables, puntos de control y registros requeridos para la provisión de vacantes, verificación de requisitos, consulta de antecedentes, debida diligencia, expedición del nombramiento, posesión, afiliación, incorporación a nómina e inducción de los servidores públicos.
Durante el primer trimestre de 2026 se reportaron trece vinculaciones y se efectuó seguimiento a los movimientos y situaciones administrativas de la planta de personal. Asimismo, la certificación de planta con corte al 30 de junio de 2026 permite identificar las vacancias, encargos, provisionalidades y periodos de prueba existentes. La OCI también incluyó el proceso de Gestión del Talento Humano en la auditoría al Mapa de Riesgos y Oportunidades.</t>
  </si>
  <si>
    <t>Seguimiento al  Plan Anual de provisión de vacantes y previsión de recursos: https://www.uaesp.gov.co/sites/default/files/planeacion/informe-primer-trimestre-pavpr-2026.pdf</t>
  </si>
  <si>
    <t>Informes trimestrales: https://www.uaesp.gov.co/sites/default/files/planeacion/informe-primer-trimestre-pbsi-2026-1.pdf</t>
  </si>
  <si>
    <t>GCO-PC-04 V8 Comunicación interna</t>
  </si>
  <si>
    <t>GCO-PC-05 V4 Comunicación externa</t>
  </si>
  <si>
    <t>GCO-PL-01  Plan Estratégico de Comunicaciones 2026</t>
  </si>
  <si>
    <t xml:space="preserve">La entidad implementó los siguientes documentos, los cuales establecen lineamientos claros de comunicación y establecen la responsabilidad de cada servidor sobre su compromiso con la comunicación y el control interno:
GCO-PL-01  Plan Estratégico de Comunicaciones 2026
GCO-PC-04 V8 Comunicación interna
GCO-PC-05 V4 Comunicación externa
Adicional, Mediante la RESOLUCIÓN NÚMERO 757 DE 2023 “Por la cual se adopta el Sistema de Gestión en la Unidad Administrativa Especial de Servicios Públicos UAESP y se derogan la Resoluciones 313 de 2020 y 571 de 2021”
Así mismo, mediante la a tualización de la V7 del Manual SIG, se cuenta con la representacion de lineas de reporte y reposnabilidades de las linenas d defensa entre otros temas. </t>
  </si>
  <si>
    <t xml:space="preserve">La UAESP cuenta con el procedimiento GTH-PC-08 V6, el Plan de Bienestar Social e Incentivos, el Programa de Clima Laboral y Cultura Organizacional y el cronograma anual, mediante los cuales se establecen las actividades, responsables, puntos de control, mecanismos de seguimiento, evaluación de satisfacción e informes periódicos relacionados con la permanencia del personal.
Durante el primer trimestre de 2026 se evidenció la ejecución de actividades de bienestar, salario emocional, acompañamiento psicosocial, salud mental, conciliación familiar, reconocimiento y fortalecimiento del clima organizacional. El informe trimestral incluyó análisis de ejecución, participación, satisfacción, recursos y acciones de mejora, y reportó un nivel global de satisfacción del 94 %.
La Oficina de Control Interno verifica la implementación de estas actividades en la etapa de permanencia del personal, identificando aspectos positivos y un adecuado cumplimiento en este ámbito  a través de la Vertifiación del Plan de Acción Institucional. 
</t>
  </si>
  <si>
    <t>Informe de seguimiento al PAID - donde se valua el Plan de Comunicaciones</t>
  </si>
  <si>
    <r>
      <t xml:space="preserve">La UAESP cuenta con políticas y lineamientos institucionales que establecen las responsabilidades frente al desarrollo y mantenimiento del Sistema de Control Interno. La Resolución 757 de 2023 define los principios de autogestión, autorregulación y autocontrol; asigna a los gerentes públicos y líderes de proceso las responsabilidades propias de la primera línea de defensa, y establece que todos los servidores públicos y contratistas deben aplicar el Sistema de Control Interno en el desarrollo de sus funciones y actividades.
Estas disposiciones se complementan con el Manual del Sistema Integrado de Gestión V7, la Política de Administración del Riesgo y los comités primarios, mediante los cuales se establecen responsabilidades relacionadas con la identificación y monitoreo de riesgos, aplicación de controles, detección de desviaciones, implementación de correctivos y realización de ejercicios de autocontrol. Asimismo, la entidad cuenta con procedimientos y canales institucionales para comunicar internamente estos lineamientos.
</t>
    </r>
    <r>
      <rPr>
        <b/>
        <sz val="11"/>
        <color theme="1"/>
        <rFont val="Arial Narrow"/>
        <family val="2"/>
      </rPr>
      <t xml:space="preserve">Recomendación: </t>
    </r>
    <r>
      <rPr>
        <sz val="11"/>
        <color theme="1"/>
        <rFont val="Arial Narrow"/>
        <family val="2"/>
      </rPr>
      <t xml:space="preserve">
Fortalecer la comunicación y apropiación de las responsabilidades de la primera línea de defensa, mediante la inclusión en el Plan Estratégico de Comunicaciones y en las actividades de inducción, reinducción y comités primarios de contenidos específicos sobre autocontrol, gestión de riesgos, aplicación de controles, reporte de desviaciones y atención de recomendaciones. Asimismo, conservar evidencias de las socializaciones realizadas y evaluar periódicamente el conocimiento y aplicación de estos lineamientos por parte de los servidores públicos y contratistas.</t>
    </r>
  </si>
  <si>
    <t>GTH-PC-24 V1 Retiro de servidores publicos</t>
  </si>
  <si>
    <t>Esta asociado con los riesgos de corrupción se realizó seguimiento a riesgos asociados al proceso de vinculación de personal y validación de registro público de carrera.
Seguimiento al Plan anual de pprovisión de de Vacantes y  previsión de recursos humanos. 
PLAN ESTRATÉGICO DE TALENTO HUMANO 2024 – 2028 Versión 2 
PROCEDIMIENTO VINCULACIÓN DE SERVIDORES PÚBLICOS Versión 11
Seguimiento al PAID por parte de la OCI.
En el Plan Anual de Auditoría de la vigencia 2026, se incluyó el seguimiento a los PETH para el segundo semestre de 2026.</t>
  </si>
  <si>
    <t>PROCEDIMIENTO FORMULACIÓN, EJECUCIÓN Y EVALUACIÓN PLAN DE BIENESTAR SOCIAL E INCENTIVOS, V6
En el Plan Anual de Auditoría de la vigencia 2026, se incluyó el seguimiento a los PETH para el segundo semestre de 2026.</t>
  </si>
  <si>
    <t>Se cuenta con entrevistas de retiro de personal, en cuanto al programa de desvinclación asistida incluido en el informe de bienestar incluido el Planes de TH. 
En el plan de Bienestar se tiene previsto realizar activcidades para prepensionados con el fin de atender situaciones de proximas desvinculaciones por efectso de procesos de pensiona en algunos funcionarios. 
PROCEDIMIENTO GTH-PC-24 V1 Retiro de servidores publicos
En el Plan Anual de Auditoría de la vigencia 2026, se incluyó el seguimiento a los PETH para el segundo semestre de 2026.</t>
  </si>
  <si>
    <r>
      <t xml:space="preserve">La UAESP cuenta con el procedimiento GTH-PC-24 V1 Retiro de Servidores Públicos, mediante el cual se establecen las actividades, responsables, puntos de control y registros aplicables a la desvinculación del personal. El procedimiento comprende la definición de la causal de retiro, la entrevista de retiro, la expedición y comunicación del acto administrativo, la entrega del cargo y de la información, el examen médico ocupacional, la inactivación de usuarios, la liquidación de prestaciones sociales y el archivo de los soportes en la historia laboral.
Asimismo, la entidad cuenta con entrevistas de retiro y contempla dentro de sus planes de talento humano actividades dirigidas a servidores próximos a pensionarse.
</t>
    </r>
    <r>
      <rPr>
        <b/>
        <sz val="11"/>
        <color rgb="FF000000"/>
        <rFont val="Arial Narrow"/>
        <family val="2"/>
      </rPr>
      <t>Recomendación:</t>
    </r>
    <r>
      <rPr>
        <sz val="11"/>
        <color rgb="FF000000"/>
        <rFont val="Arial Narrow"/>
        <family val="2"/>
      </rPr>
      <t xml:space="preserve">
Mantener la aplicación y evaluación de los controles establecidos para el retiro del personal, garantizando la trazabilidad de la entrega del cargo, la cancelación oportuna de accesos, la liquidación de prestaciones y el archivo de los expedientes, así como continuar utilizando los resultados de las entrevistas de retiro como insumo para el mejoramiento de la gestión estratégica del talento humano.</t>
    </r>
  </si>
  <si>
    <t>https://www.uaesp.gov.co/mipg/documentos-sig/talento_humano/procedimientos/GTH-PC-05%20V7%20Formulacion,%20ejecucion%20y%20evaluacion%20Plan%20Institucional%20de%20Capacitacion.pdf</t>
  </si>
  <si>
    <t>https://www.uaesp.gov.co/sites/default/files/planeacion/INFORME_DE_INSTRUMENTOS_DIAGNOSTICOS_PARA_EL_PIC_2026.pdf</t>
  </si>
  <si>
    <t>https://www.uaesp.gov.co/sites/default/files/planeacion/PLAN_INSTITUCIONAL_DE_CAPACITACION_2026_2028.pdf</t>
  </si>
  <si>
    <t>PROCEDIMIENTO FORMULACIÓN, EJECUCIÓN Y EVALUACIÓN PLAN INSTITUCIONAL DE CAPACITACIÓN 
INFORME DE INSTRUMENTOS DIAGNÓSTICOS PARA EL PIC 2026
PLAN INSTITUCIONAL DE CAPACITACIÓN – PIC 2026 - 2028</t>
  </si>
  <si>
    <r>
      <t xml:space="preserve">La UAESP cuenta con el procedimiento GTH-PC-05 V7 y el Plan Institucional de Capacitación 2026-2028, mediante los cuales se establecen las etapas de diagnóstico, formulación, ejecución, seguimiento y evaluación del PIC. Asimismo, se definieron indicadores de cobertura, cumplimiento, percepción y aprendizaje, así como un modelo de medición de impacto que contempla los niveles de reacción, aprendizaje, transferencia y resultados.
Durante el primer trimestre de 2026 se evidenció la ejecución de 21 actividades frente a 19 programadas, 411 asistencias, una cobertura del 63 % del personal de planta y la aplicación de instrumentos para evaluar la satisfacción y el aprendizaje. Las preguntas aplicadas en 12 jornadas arrojaron un índice general de aprendizaje del 77 %.
No obstante, las evaluaciones realizadas se concentran en la ejecución, participación, satisfacción y aprendizaje inmediato, sin evidenciar todavía la medición posterior de la transferencia de conocimientos al puesto de trabajo, la percepción de los jefes inmediatos ni los efectos de las capacitaciones sobre el desempeño, los indicadores de los procesos y los resultados institucionales.
</t>
    </r>
    <r>
      <rPr>
        <b/>
        <sz val="11"/>
        <rFont val="Arial Narrow"/>
        <family val="2"/>
      </rPr>
      <t>Recomendación:</t>
    </r>
    <r>
      <rPr>
        <sz val="11"/>
        <rFont val="Arial Narrow"/>
        <family val="2"/>
      </rPr>
      <t xml:space="preserve">
Fortalecer la medición del impacto del Plan Institucional de Capacitación, implementando evaluaciones posteriores a las actividades que permitan determinar la transferencia de los conocimientos al puesto de trabajo y su efecto sobre el desempeño individual, los equipos y los procesos institucionales. Para ello, se deberán definir las capacitaciones objeto de evaluación, la periodicidad del seguimiento, los instrumentos dirigidos a los participantes y a sus jefes inmediatos, los indicadores de productividad o desempeño relacionados y las acciones de mejora derivadas de los resultados.</t>
    </r>
  </si>
  <si>
    <t xml:space="preserve"> La Subdirección de Asuntos Legales, actualmente cuenta con los siguientes documentos, que sirven para hacer seguimiento a productos y servicios: 
1.Manual de Contratación,  GAL-MN-01 V 14, en  el cual se  incorporaron aspectos relacionados con la supervisión e interventoría e imposición de multas y sanciones (Capítulo 6 numerales 5 y 6 ).
2. Manual de Supervisión e Interventoría, GAL-MN-04 V3, en su capítulo 8 establece las funciones y facultades de los supervisores e interventores encargados de evaluar los productos y servicios entregados por los contratistas. 
3. Procedimiento Administrativo Sancionatorio, GAL-PC-20 V2, en el cual se establecen actividades, responsables, puntos de control y registros, orientando al supervisor acerca de la forma de proceder ante un presunto incumplimiento.
4. Finalmente, la entidad efectúa seguimiento para la evaluación de la ejecución de los contratos,  mediante el   formato GFI-FM-18 V 1 Informe mensual de ejecución, el cual  unifica los aspectos financieros y de cumplimiento de obligaciones contractuales.
5. Informes de auditoría al la Gestión Contractual programdos en el Plan Anual de Auditoría de 2026.</t>
  </si>
  <si>
    <t>Informes de audioría a la Gestión Contractual.</t>
  </si>
  <si>
    <t>LA UAESP, mediante los CIGD realiza seguimiento a los diferentes planes de la entidad, apoya este lineamiento los siguientes documentos:
⎼ Manual Sistema Integrado de Gestión nueva versión 
⎼  Política de Administración de Riesgo
⎼  Resolución UAESP 757 de 2023.
Se actualizó el Manual de Gestión a su version75 con el que Se incluye en la segunda línea de defensa el seguimiento a SARLAFT, se actualiza las Resoluciones Interna 313 del 2020, Resolución 571 de 2021 modificada parcialmente por la Resolución 757 de 20231 se incluye la actualización de la plataforma estratégica y el modelo de Gestión Jurídica Anticorrupción -MGJA y sistema de administración del riesgo de lavado de activos y financiación del terrorismo – SARLAFT.
En el segundo semestre de la vigencia 2026, se realizará evaluación y seguimiento al mapa de aseguramiento.</t>
  </si>
  <si>
    <r>
      <t xml:space="preserve">La UAESP cuenta con el Manual de Contratación GAL-MN-01 V14 y el Manual de Supervisión e Interventoría GAL-MN-04 V3, los cuales establecen responsabilidades, actividades y mecanismos para el seguimiento técnico, administrativo, financiero, contable y jurídico de los contratos. Estos instrumentos disponen que el supervisor debe verificar el cumplimiento real y efectivo del objeto y las obligaciones contractuales, evaluar la calidad de los bienes y servicios, identificar los productos recibidos a satisfacción, documentar las problemáticas y adoptar las medidas correspondientes ante eventuales incumplimientos.
</t>
    </r>
    <r>
      <rPr>
        <b/>
        <sz val="11"/>
        <color theme="1"/>
        <rFont val="Arial Narrow"/>
        <family val="2"/>
      </rPr>
      <t xml:space="preserve">Recomendación:
</t>
    </r>
    <r>
      <rPr>
        <sz val="11"/>
        <color theme="1"/>
        <rFont val="Arial Narrow"/>
        <family val="2"/>
      </rPr>
      <t>Se recomienda que la Subdirección de Asuntos Legales, en ejercicio de su rol de orientación y segunda línea, adelante revisiones selectivas sobre una muestra representativa de contratos de personas naturales de todas las dependencias, verificando la utilización adecuada del formato GFI-FM-18 V1, la elaboración de los informes finales, la publicación oportuna en SECOP II, la incorporación en el expediente contractual y la coherencia entre los productos recibidos y los pagos autorizados.</t>
    </r>
  </si>
  <si>
    <t>Actas del CICCI</t>
  </si>
  <si>
    <t>Informe de la OCI programados en el Plan Anual de Auditoría</t>
  </si>
  <si>
    <t>La Oficina Asesora de Planeación, como Segunda Línea de Defensa, presenta la información de ejecución financiera de recursos a la Alta Dirección de la Empresa para toma de decisiones en esta materia. Se cuenta con reportes trimestrales de avance de la ejecución física y financiera de los planes, programas y proyectos de la Entidad. Los reportes son mensuales y se consolidan avances trimestrales y semestrales.
La Oficina de Control Interno, como Tercera Línea de Defensa, realiza seguimiento anual al Sistema de Control Interno Contable y periódico a temas presupuestales, como: Medidas de Austeridad en el Gasto, y Arqueos de Caja Menor Gastos de Funcionamiento, Inversión y Operación, según el PAA 2026.</t>
  </si>
  <si>
    <t>La UAESP cuenta con estándares de reporte formalmente definidos conforme al Esquema de Líneas de Defensa. El Manual del Sistema Integrado de Gestión establece los temas objeto de seguimiento, las dependencias responsables, los destinatarios, los medios de comunicación y la periodicidad de los reportes; estos lineamientos se complementan con la Política de Administración del Riesgo y la Resolución 757 de 2023.
Durante el periodo evaluado se evidenció la elaboración y presentación de informes de primera, segunda y tercera línea relacionados con riesgos, planes institucionales, indicadores, políticas de MIPG y resultados de auditoría. No obstante, se requiere fortalecer la aplicación homogénea de los estándares, particularmente en cuanto a la calidad y suficiencia de las evidencias, la identificación de alertas, la trazabilidad de las decisiones, la asignación de responsables y plazos y la verificación del cierre de los compromisos. Asimismo, se encuentra pendiente la evaluación del mapa de aseguramiento prevista para el segundo semestre de 2026.</t>
  </si>
  <si>
    <t>Informes de monitoreo de las segundas líneas de defensa: https://www.uaesp.gov.co/transparencia/planeacion/planes</t>
  </si>
  <si>
    <t>Planes de mejoramiento internos y externos</t>
  </si>
  <si>
    <t>Se evidenció que la UAESP cuenta con mecanismos periódicos para generar, consolidar y comunicar información presupuestal y financiera a la Alta Dirección. Durante el periodo evaluado se elaboraron informes mensuales y trimestrales sobre ejecución presupuestal, reservas, giros, modificaciones y avance financiero de los proyectos de inversión, cuyos resultados fueron presentados ante el Comité Institucional de Gestión y Desempeño.
Asimismo, la Resolución 757 de 2023 contempla instancias especializadas como el Comité Técnico de Sostenibilidad Contable, encargado de estudiar y evaluar información relacionada con la sostenibilidad del sistema contable y recomendar los ajustes correspondientes.</t>
  </si>
  <si>
    <t>La Oficina de Control Interno, como Tercera Línea de Defensa, toma como insumo en sus auditorías y seguimientos la información de la primera y segunda línea de defensa y alerta oportunamente a la Alta Dirección sobre eventuales situaciones que generen riesgo para el cumplimiento de las metas y objetivos de la Empresa. En lo corrido de la vigencia 2026 ejecutó el Plan Anual de Auditoría, según lo establecido.
Los procesos auditados formulan las acciones de los planes de mejoramiento para corregir las observaciones detectadas durante los seguimientos y auditorías.</t>
  </si>
  <si>
    <t>Procedimientos procesos Direccionamiento estratégico y Gestión de la  Evaluacion y mejora</t>
  </si>
  <si>
    <t>La UAESP cuenta con mecanismos para que la Alta Dirección conozca y analice la información generada por la segunda y tercera líneas de defensa. Durante el periodo evaluado, la Oficina Asesora de Planeación y las demás instancias de segunda línea elaboraron informes relacionados con planes institucionales, indicadores, proyectos de inversión, ejecución financiera, riesgos y políticas de MIPG, cuyos resultados fueron presentados ante el Comité Institucional de Gestión y Desempeño.
Por su parte, la Oficina de Control Interno ejecutó las auditorías, evaluaciones y seguimientos previstos en el Plan Anual de Auditoría, alcanzando un cumplimiento acumulado del 98,2 % frente a la programación del primer semestre de 2026. Los resultados fueron comunicados a los responsables y a las instancias competentes para apoyar la adopción de acciones correctivas y de mejora.</t>
  </si>
  <si>
    <t>Plan Anual de Auditoría de 2026</t>
  </si>
  <si>
    <t>Procedimiento ECM-PC-04 V14 Auditorías Internas</t>
  </si>
  <si>
    <t>Procedimiento ECM-PC-03 V11 Planes de mejoramiento</t>
  </si>
  <si>
    <t>La UAESP cuenta con lineamientos para evaluar y ajustar su estructura de control frente a cambios en los procesos, procedimientos y demás herramientas institucionales. La Política de Administración del Riesgo establece responsabilidades para la primera línea en la identificación y actualización de riesgos y controles; para la segunda línea, en su orientación, monitoreo y acompañamiento; y para la tercera línea, en la evaluación independiente de los cambios que puedan afectar significativamente el Sistema de Control Interno.
Durante el periodo evaluado, la Oficina de Control Interno desarrolló auditorías y seguimientos previstos en el Plan Anual de Auditoría, mediante los cuales evaluó la formulación y funcionamiento de controles y comunicó las debilidades identificadas. Asimismo, la entidad cuenta con el procedimiento ECM-PC-03 V11 para formular, ejecutar y hacer seguimiento a las acciones de mejoramiento derivadas de estos ejercicios.</t>
  </si>
  <si>
    <t>El Plan Anual de Auditoría para la vigencia 2026 fue presentado, estudiado y aprobado por parte del Comité Institucional de Coordinación de Control Interno de manera oportuna en la reunión de diciembre del 2025. Lo anterior, según lo establecido en el Artículo 27 Parágrafo 2 del Decreto Distrital 221 de 2023. 
Durante la vigencia 2026, el PAA tuvo una segunda versión que fue revisada y aprObada por el CICCI.</t>
  </si>
  <si>
    <t>https://www.uaesp.gov.co/sites/default/files/planeacion/plan-anual-de-auditoria-2026-v2.pdf</t>
  </si>
  <si>
    <t>https://www.uaesp.gov.co/sites/default/files/planeacion/Plan_Anual_de_Auditorias_2026.pdf</t>
  </si>
  <si>
    <t>Informes de auditoría</t>
  </si>
  <si>
    <t>El Plan Anual de Auditoría para la vigencia 2026 fue formulado por la Oficina de Control Interno con base en el universo de auditoría, el análisis de riesgos, las obligaciones normativas, las necesidades institucionales y la disponibilidad de recursos. La propuesta fue presentada, analizada y aprobada por el Comité Institucional de Coordinación de Control Interno en diciembre de 2025, dejando constancia en el acta correspondiente.
Durante enero de 2026 se realizó una actualización del PAA, correspondiente a la versión 2, la cual fue nuevamente presentada, revisada y aprobada por el CICCI y posteriormente publicada en la página web institucional.
La ejecución del Plan es objeto de seguimiento periódico mediante la matriz de control de la OCI, el seguimiento al Plan de Acción Institucional y el informe semestral sobre los instrumentos técnicos y administrativos del Sistema de Control Interno. Con corte al 30 de junio de 2026 se evidenció un cumplimiento del 98,2 % frente a las actividades programadas para el primer semestre</t>
  </si>
  <si>
    <t>La UAESP cuenta con mecanismos institucionales para comunicar, analizar y gestionar los resultados de las auditorías y seguimientos realizados por la Oficina de Control Interno. Los informes son remitidos a la Dirección General, a los integrantes del Comité Institucional de Coordinación de Control Interno y a los líderes de los procesos evaluados, quienes deben analizar los resultados y formular las acciones correctivas o de mejora que correspondan, de conformidad con el procedimiento ECM-PC-03 V11 Planes de Mejoramiento.
Asimismo, la Oficina de Control Interno realiza seguimiento periódico a la ejecución de las acciones formuladas, y el CICCI tiene asignada la función de revisar el avance de los planes de mejoramiento derivados de auditorías internas y externas. Se identificaron casos en los que los resultados de auditoría fueron utilizados como insumo para la actualización de planes e instrumentos institucionales.</t>
  </si>
  <si>
    <t>EI 2024-2028.</t>
  </si>
  <si>
    <t>DES-GA-01 V1.</t>
  </si>
  <si>
    <t>DES-PC-04 V7.</t>
  </si>
  <si>
    <t>Matriz DES-FM-44.</t>
  </si>
  <si>
    <t>PAI 2026 y su informe del primer trimestre.</t>
  </si>
  <si>
    <t>Seguimiento de segunda línea al PEI.</t>
  </si>
  <si>
    <t>Actas y presentaciones del CIGD.</t>
  </si>
  <si>
    <t>La UAESP cuenta con mecanismos formalmente establecidos para articular la planeación distrital, estratégica y operativa. La Guía DES-GA-01 V1 y el procedimiento DES-PC-04 V7 disponen que los objetivos estratégicos, metas e indicadores del Plan Estratégico Institucional deben armonizarse con el Plan Distrital de Desarrollo, los proyectos de inversión y los demás instrumentos de planeación, utilizando para tal efecto la matriz DES-FM-44.
El PEI 2024-2028 relaciona los objetivos estratégicos con metas, indicadores, proyectos de inversión y magnitudes previstas para el cuatrienio. A su vez, el Plan de Acción Institucional desarrolla el componente operativo mediante planes, actividades e indicadores y el componente estratégico mediante los proyectos de inversión, cuyas actividades se formulan tomando como referencia las metas y objetivos del PDD, el PEI y el POAI.
Durante el periodo evaluado se evidenció la formulación, aprobación y seguimiento de los planes operativos y proyectos de inversión, así como la consolidación y presentación de sus resultados ante el Comité Institucional de Gestión y Desempeño.</t>
  </si>
  <si>
    <r>
      <t>DES-PC-03 V12 – Formulación y seguimiento al Plan de Acción Institucional</t>
    </r>
    <r>
      <rPr>
        <sz val="10"/>
        <color theme="1"/>
        <rFont val="Arial"/>
        <family val="2"/>
      </rPr>
      <t>, actualizando la referencia que actualmente aparece como V11.</t>
    </r>
  </si>
  <si>
    <t>Seguimientos trimestrales del PAI.</t>
  </si>
  <si>
    <t>Tablero general de indicadores e informes de segunda línea.</t>
  </si>
  <si>
    <r>
      <t>DES-PC-02 V8 – Formulación, actualización y seguimiento a los proyectos de inversión</t>
    </r>
    <r>
      <rPr>
        <sz val="10"/>
        <color theme="1"/>
        <rFont val="Arial"/>
        <family val="2"/>
      </rPr>
      <t>.</t>
    </r>
  </si>
  <si>
    <t>Reportes de SEGPLAN y matrices de programación física y presupuestal.</t>
  </si>
  <si>
    <t>Informe de Revisión por la Dirección 2025.</t>
  </si>
  <si>
    <t>Informe OCI de seguimiento a las metas del PDD con corte al 31 de diciembre de 2025.</t>
  </si>
  <si>
    <r>
      <t xml:space="preserve">La UAESP cuenta con mecanismos formalmente establecidos para formular y hacer seguimiento a los objetivos, metas y actividades de sus planes y proyectos. El procedimiento DES-PC-03 V12 dispone que el Plan de Acción Institucional debe contener objetivos, estrategias, proyectos, metas, actividades, responsables, cronogramas y asignación presupuestal, y establece reportes mensuales, productos o entregables e informes trimestrales de seguimiento. Asimismo, el procedimiento DES-PC-02 V8 define las metas de los proyectos de inversión como resultados concretos, medibles, realizables y verificables que deben obtenerse dentro de un tiempo determinado y ser registrados y monitoreados mediante SEGPLAN.
Durante el periodo evaluado se evidenció la aplicación de indicadores, porcentajes de avance, seguimiento de segunda línea, informes del PAI, seguimiento a proyectos de inversión y presentación de resultados ante el Comité Institucional de Gestión y Desempeño. No obstante, el informe de la Oficina de Control Interno sobre las metas del Plan Distrital de Desarrollo identificó cinco metas con ejecución nula o marginal, asociadas principalmente con indicadores formulados únicamente sobre el resultado final y sin hitos o entregables intermedios que permitieran medir avances parciales.
</t>
    </r>
    <r>
      <rPr>
        <b/>
        <sz val="11"/>
        <color theme="1"/>
        <rFont val="Arial Narrow"/>
        <family val="2"/>
      </rPr>
      <t>Recomendación:</t>
    </r>
    <r>
      <rPr>
        <sz val="11"/>
        <color theme="1"/>
        <rFont val="Arial Narrow"/>
        <family val="2"/>
      </rPr>
      <t xml:space="preserve">
</t>
    </r>
  </si>
  <si>
    <t>La UAESP cuenta con el plan "PC- 03 formulación y seguimiento del plan de acción institucional" 
Reportes de SEGPLAN y matrices de programación física y presupuestal.
Tablero general indicadores 
Caracterizaciones de los procesos
Plan Anual de Auditorías 2026</t>
  </si>
  <si>
    <t xml:space="preserve">La UAESP cuenta con mecanismos formalmente establecidos para que la Alta Dirección evalúe periódicamente los objetivos institucionales. El procedimiento DES-PC-14 V1 determina la realización anual de la revisión por la Dirección ante el Comité Institucional de Gestión y Desempeño, instancia responsable de analizar los resultados de los procesos y sistemas, tomar decisiones y determinar acciones de mejora. De manera complementaria, el Plan Estratégico Institucional es objeto de seguimiento periódico por parte de la Oficina Asesora de Planeación y sus resultados son presentados al CIGD para análisis y toma de decisiones.
</t>
  </si>
  <si>
    <r>
      <t>DES-PC-14 V1 – Revisión por la Dirección del SIG</t>
    </r>
    <r>
      <rPr>
        <sz val="10"/>
        <color theme="1"/>
        <rFont val="Arial"/>
        <family val="2"/>
      </rPr>
      <t>.</t>
    </r>
  </si>
  <si>
    <r>
      <t>Informe de Revisión por la Dirección del SIG 2025</t>
    </r>
    <r>
      <rPr>
        <sz val="10"/>
        <color theme="1"/>
        <rFont val="Arial"/>
        <family val="2"/>
      </rPr>
      <t>.</t>
    </r>
  </si>
  <si>
    <t>Acta del CIGD en la que se presentó y aprobó la revisión por la Dirección.</t>
  </si>
  <si>
    <r>
      <t xml:space="preserve">Procedimiento </t>
    </r>
    <r>
      <rPr>
        <b/>
        <sz val="10"/>
        <color theme="1"/>
        <rFont val="Arial"/>
        <family val="2"/>
      </rPr>
      <t>DES-PC-04 – Formulación, seguimiento y actualización del PEI</t>
    </r>
    <r>
      <rPr>
        <sz val="10"/>
        <color theme="1"/>
        <rFont val="Arial"/>
        <family val="2"/>
      </rPr>
      <t>.</t>
    </r>
  </si>
  <si>
    <t>Informes de seguimiento al PEI.</t>
  </si>
  <si>
    <t>Informes de segunda línea de defensa del PEI y de indicadores.</t>
  </si>
  <si>
    <t>Seguimientos trimestrales al PAI.</t>
  </si>
  <si>
    <t>Informe OCI de seguimiento a la implementación del MIPG 2026.</t>
  </si>
  <si>
    <t>Soportes de las decisiones y acciones derivadas de objetivos con bajo nivel de avance.</t>
  </si>
  <si>
    <t>La UAESP cuenta con el procedimiento DES-PC-14 Revisión por la Dirección  el cual permite a la Alta Dirección evaluar periódicamente los objetivos establecidos para asegurar su cumplimiento.
En el plan estratégico institucional se encuentran los objetivos y metas estratégicas para su seguimiento el seguimiento es semestral.
De manera anual se realiza el informe de Revisión por la Dirección.
Se realiza seguimiento trimestral a la Ejecución del PAID.</t>
  </si>
  <si>
    <t xml:space="preserve">
La UAESP cuenta con una Política de Administración del Riesgo actualizada en noviembre de 2025, elaborada conforme a los lineamientos de la Guía para la Gestión Integral del Riesgo, versión 7 del DAFP. La política establece que su alcance comprende todos los procesos, niveles y sedes de la entidad y define lineamientos para la identificación, análisis, valoración, tratamiento, monitoreo y evaluación de las diferentes tipologías de riesgo.
Durante el periodo evaluado se evidenció su aplicación mediante los reportes y monitoreos efectuados por la primera y segunda líneas de defensa y la auditoría realizada por la Oficina de Control Interno al Mapa y Plan de Manejo de Riesgos y Oportunidades, la cual comprendió todas las dependencias y procesos de la UAESP.
</t>
  </si>
  <si>
    <t>SEGUIMIENTO A RIESGOS 2026</t>
  </si>
  <si>
    <t>Monitoreos segunda linea de defensa PAYS Y RIESGOS</t>
  </si>
  <si>
    <t>LA UAESP cuenta con la "Política de Administración del Riesgo - actualizada en  Noviembre 2025",  documento que actualiza la política de administración del riesgo de la UAESP, teniendo en cuenta los lineamientos de la guía emitida por el Departamento Administrativo de la Función Pública (DAFP),  Adicionalmente en su alcance define los lineamientos de aplicación para toda la Entidad.
Informes de monitoreo de riesgos segunda y  evaluación de tercera línea de defensa.</t>
  </si>
  <si>
    <t>Actas  CIGD 2026</t>
  </si>
  <si>
    <t>ACTAS CIGD 2026</t>
  </si>
  <si>
    <t xml:space="preserve">La Política de Administración del Riesgo asigna a la Oficina Asesora de Planeación, como segunda línea de defensa, la responsabilidad de orientar metodológicamente a los procesos, revisar la formulación de riesgos y controles, efectuar seguimiento a su ejecución, consolidar la información institucional y presentar los resultados a la Alta Dirección.
Durante el primer trimestre de 2026 se evidenció la elaboración del Informe de Seguimiento de Segunda Línea de Defensa, mediante el cual la OAP consolidó y analizó la información de los 16 procesos de la entidad, correspondiente a los riesgos de gestión, integridad pública, fiscales, de seguridad de la información y de desastre. El informe identificó 57 riesgos y presentó el seguimiento a los controles, acciones y oportunidades, así como alertas relacionadas con la calidad, suficiencia y coherencia de las evidencias aportadas por algunos procesos.
La información consolidada fue presentada ante el Comité Institucional de Gestión y Desempeño y utilizada por la Oficina de Control Interno como insumo para la evaluación independiente con corte al 30 de abril de 2026.
</t>
  </si>
  <si>
    <t>La segunda línea de defensa compiló y publicó los mapas de riesgo Institucional y de Corrupción de cada proceso. En cumplimiento de lo establecido en la Política de Administración de Riesgo generó el  Informe de monitoreo a la gestión del riesgo en la vigencia  2025 el cual se remitió a los responsables de los procesos, en aras de tomar acciones que permitan fortalecer la administración del Riesgo en la Entidad.
La tercera Línea de Defensa realiza Evaluaciones cuatrimestrales las cuales están publicadas en la Pagina web institucional: https://www.uaesp.gov.co/transparencia/control/otros-informes-control-interno
Las actualizaciones generadas a los Mapas de Riesgos Institucional y de corrupción se realizaron en el marco de mesas de trabajo integradas por los colaboradores de cada proceso con la asesoría de la Oficina Asesora de Planeación y el acompañamiento de la Oficina de Control Interno. 
Estos informes se encuentran publicados en la Intranet y la Pagina Web de la Empresa Link: https://www.renobo.com.co/transparencia/planeacion-presupuesto-e-informes/plan-de-accion</t>
  </si>
  <si>
    <t>La Política de Administración del Riesgo establece que la primera línea de defensa debe informar mensualmente sobre la ejecución de los controles y acciones y reportar trimestralmente si se presentaron riesgos materializados. La Oficina Asesora de Planeación, como segunda línea, consolida esta información en el Mapa y Plan de Manejo de Riesgos y Oportunidades y presenta trimestralmente sus resultados ante el Comité Institucional de Gestión y Desempeño.
Durante el primer trimestre de 2026 se evidenció la elaboración y presentación del Informe de Seguimiento de Segunda Línea de Defensa, el cual incluyó el análisis de los riesgos, controles, acciones, evidencias y posibles materializaciones correspondientes a los 16 procesos de la UAESP. Estos resultados fueron presentados ante el CIGD en la sesión del 11 de mayo de 2026.
La Oficina de Control Interno, mediante la auditoría realizada con corte al 30 de abril de 2026, confirmó que durante el periodo evaluado no se presentaron materializaciones de riesgos de gestión, integridad pública, fiscales, de desastres o de seguridad de la información. No obstante, se identificaron debilidades focalizadas en la ejecución de algunos controles y en la calidad y suficiencia de las evidencias aportadas por determinados procesos.</t>
  </si>
  <si>
    <t>Informe de Seguimiento de Segunda Línea de Defensa del primer trimestre de 2026</t>
  </si>
  <si>
    <t>Informes de gestión de riesgos de la OCI</t>
  </si>
  <si>
    <t xml:space="preserve">La "Política de Administración del Riesgo", establece los roles y responsabilidades así como las acciones en relación con la revisión y actualización de mapa de riesgos.
Seguimiento a la matriz de riesgos de acuerdo al acta de comité de gestión y desempeño.
</t>
  </si>
  <si>
    <t>La UAESP cuenta con lineamientos específicos para actuar ante la materialización de riesgos. La Política de Administración del Riesgo, en su numeral 7, define los cursos de acción aplicables según la tipología del riesgo y la línea de defensa que detecte el evento.
Para los riesgos de gestión, fiscales, de seguridad de la información y de desastres, se establece la obligación de realizar el análisis de causas, activar los planes de contingencia, formular acciones preventivas y de mejora y efectuar la revisión y actualización del mapa de riesgos y sus controles. Para los riesgos asociados a la integridad pública y LA/FT/FP, se establecen adicionalmente mecanismos de comunicación a la Alta Dirección, la Oficina de Control Disciplinario Interno, la Oficina de Control Interno y las autoridades competentes, según corresponda.
La política asigna a la segunda línea la responsabilidad de verificar que se hayan adoptado las acciones y actualizado el mapa de riesgos, y a la tercera línea la función de evaluar el tratamiento realizado e informar al CICCI. No obstante, durante el periodo comprendido entre enero y abril de 2026 no se presentaron materializaciones, por lo que no fue posible verificar mediante un caso concreto la ejecución integral del protocolo definido.</t>
  </si>
  <si>
    <t>Política de Administración del Riesgo, especialmente el numeral 7, páginas 77 a 80.</t>
  </si>
  <si>
    <t>Procedimiento DES-PC-07 — Administración de riesgos y oportunidades.</t>
  </si>
  <si>
    <t>Formato DES-FM-12 — Mapa y Plan de Manejo de Riesgos y Oportunidades.</t>
  </si>
  <si>
    <t>Planes de contingencia definidos para los riesgos institucionales.</t>
  </si>
  <si>
    <t>Informes de seguimiento de primera y segunda línea.</t>
  </si>
  <si>
    <t>Informe de auditoría de la OCI con corte al 30 de abril de 2026.</t>
  </si>
  <si>
    <t>Actas del CIGD y CICCI en las que se analicen riesgos materializados, cuando se presenten.</t>
  </si>
  <si>
    <t>Evidencias de actualización del mapa después de una materialización.</t>
  </si>
  <si>
    <t xml:space="preserve">
Durante el primer semestre de la vigencia 2026 no se evidenciaron materializaciones de riesgos, de acuerdo con los informes de seguimiento de la segunda línea y la evaluación realizada por la Oficina de Control Interno. En consecuencia, no fue necesario activar planes de contingencia ni efectuar seguimiento a acciones correctivas derivadas de eventos materializados. No obstante, se evidenció la aplicación del monitoreo mensual y trimestral mediante el cual se verifica la existencia o ausencia de estos eventos.</t>
  </si>
  <si>
    <t>La Política de Administración del Riesgo de la UAESP asigna a la línea estratégica la responsabilidad de analizar los cambios del entorno interno y externo y definir los procesos, programas o proyectos susceptibles de posibles actos de corrupción. Asimismo, establece una metodología integral para identificar y gestionar los riesgos asociados al SIGRIP, incluyendo soborno, fraude, inadecuada gestión de conflictos de interés, corrupción y LA/FT/FP.
Durante la vigencia 2026 se evidenció la aplicación de estos lineamientos mediante el Mapa y Plan de Manejo de Riesgos y Oportunidades, en el cual fueron identificados 17 riesgos para la integridad pública: tres de soborno, dos de fraude, nueve de conflicto de interés y tres de LA/FT/FP. Estos riesgos se encuentran distribuidos en los procesos estratégicos, misionales, de apoyo y de evaluación de la entidad.
El informe de segunda línea de defensa consolidó y monitoreó estos riesgos, y la Oficina de Control Interno verificó su identificación, los controles asociados y las evidencias presentadas por los procesos. Adicionalmente, durante el primer trimestre se adelantó la revisión y alineación del PTEP con el Decreto 1122 de 2024, fortaleciendo el componente SIGRIP.
No obstante, aunque se evidencia la identificación institucional de los procesos expuestos, debe fortalecerse la trazabilidad documental que permita establecer de manera expresa cómo el análisis del contexto interno y externo fue utilizado por la Alta Dirección para definir y priorizar los procesos, programas, proyectos u operaciones susceptibles de posibles actos de corrupción.</t>
  </si>
  <si>
    <t>PTEP 2026</t>
  </si>
  <si>
    <t>Evaluación de Riesgos OCI 2026</t>
  </si>
  <si>
    <t>La Política de Administración del Riesgo establece que, cuando se presente la materialización de un riesgo, la primera línea de defensa debe activar inmediatamente el plan de contingencia, realizar el análisis de causas, definir las acciones correctivas y de mejora, revisar los controles y actualizar el mapa y plan de manejo de riesgos cuando corresponda.
La segunda línea de defensa debe efectuar seguimiento a los planes de acción formulados frente a los riesgos materializados, verificando que las medidas sean oportunas y eficaces y que contribuyan a evitar la repetición del evento. Los resultados deben registrarse en el mapa y plan de manejo de riesgos y presentarse ante el Comité Institucional de Gestión y Desempeño. La línea estratégica debe analizar las causas, los planes de acción y su efectividad.</t>
  </si>
  <si>
    <t>La Política de Administración del Riesgo establece que la línea estratégica, conformada por la Alta Dirección y el Comité Institucional de Coordinación de Control Interno, debe realizar seguimiento y análisis trimestral a los riesgos institucionales, incluidos los riesgos asociados al Sistema de Gestión de Riesgos para la Integridad Pública —SIGRIP—.
Durante el primer trimestre de 2026, los procesos efectuaron el seguimiento mensual a sus controles y acciones y reportaron los resultados a la Oficina Asesora de Planeación. Esta dependencia, como segunda línea de defensa, consolidó la información institucional y elaboró el Informe de Seguimiento de Segunda Línea, que incluyó el análisis de los riesgos de gestión, integridad pública, fiscales, de desastres y de seguridad de la información.
Los resultados fueron presentados ante el Comité Institucional de Gestión y Desempeño en la sesión del 11 de mayo de 2026, con participación de la Alta Dirección. Asimismo, la Oficina de Control Interno realizó la evaluación independiente con corte al 30 de abril de 2026 y confirmó que durante el periodo no se presentaron materializaciones de riesgos. En consecuencia, se evidenció el cumplimiento de la periodicidad trimestral definida en la política.</t>
  </si>
  <si>
    <t>Política de Administración del Riesgo, especialmente las responsabilidades de la línea estratégica y el numeral de monitoreo y revisión.</t>
  </si>
  <si>
    <t>Mapa y Plan de Manejo de Riesgos y Oportunidades 2026.</t>
  </si>
  <si>
    <t>Informe de Seguimiento de Segunda Línea de Defensa del primer trimestre de 2026.</t>
  </si>
  <si>
    <t>Acta y presentación del CIGD del 11 de mayo de 2026.</t>
  </si>
  <si>
    <t>Informe de auditoría de la OCI al mapa de riesgos, con corte al 30 de abril de 2026.</t>
  </si>
  <si>
    <t>Publicación del seguimiento de riesgos en la página de transparencia.</t>
  </si>
  <si>
    <t>Seguimiento al PAI del primer trimestre de 2026.</t>
  </si>
  <si>
    <t>La UAESP cuenta con una estructura organizacional, manuales de funciones, procedimientos y políticas institucionales que asignan responsabilidades y niveles de autoridad para la ejecución, revisión, validación y aprobación de las actividades. La Política de Administración del Riesgo incorpora la metodología de diseño y análisis de controles definida por el DAFP, la cual contempla la identificación del responsable, la segregación de funciones y los niveles de autoridad apropiados.
Asimismo, los procedimientos del Sistema Integrado de Gestión establecen actividades, puntos de control, responsables y registros, y la Resolución 757 de 2023 diferencia las responsabilidades de la línea estratégica y de las tres líneas de defensa. Durante el periodo evaluado, la Oficina Asesora de Planeación efectuó el monitoreo de los controles definidos por los pro</t>
  </si>
  <si>
    <t>Política de Administración del Riesgo 2025.</t>
  </si>
  <si>
    <t>Guía para la Gestión Integral del Riesgo, versión 7.</t>
  </si>
  <si>
    <t>Manual Específico de Funciones y Competencias Laborales vigente.</t>
  </si>
  <si>
    <t>Estructura organizacional y funciones de las dependencias.</t>
  </si>
  <si>
    <t>Resolución 757 de 2023.</t>
  </si>
  <si>
    <t>Procedimientos del SIG con responsables y puntos de control.</t>
  </si>
  <si>
    <t>Matrices de usuarios, roles y permisos de los sistemas.</t>
  </si>
  <si>
    <t>Tabla de control de accesos aprobada.</t>
  </si>
  <si>
    <t>Procedimientos de contratación, pagos, tesorería, contabilidad, nómina e inventarios.</t>
  </si>
  <si>
    <t>Informes de segunda línea sobre riesgos.</t>
  </si>
  <si>
    <t>Informes de auditoría de la OCI</t>
  </si>
  <si>
    <t>La Política de Administración del Riesgo establece responsabilidades para evaluar el diseño y la ejecución de los controles. La primera línea debe efectuar ejercicios mensuales de autocontrol e implementar las mejoras requeridas; la segunda línea debe revisar el adecuado diseño de los controles, monitorear su funcionamiento y formular recomendaciones; y la Oficina de Control Interno debe evaluar de manera independiente su diseño, ejecución y efectividad y comunicar los resultados al CICCI.
Durante el periodo evaluado, la Oficina Asesora de Planeación elaboró el informe de segunda línea del primer trimestre de 2026, mediante el cual identificó debilidades relacionadas con la ejecución, el seguimiento y la suficiencia de las evidencias de algunos controles. Asimismo, la OCI realizó la auditoría al Mapa y Plan de Manejo de Riesgos y Oportunidades con corte al 30 de abril de 2026, identificando un incumplimiento y una oportunidad de mejora y solicitando la formulación de las acciones correspondientes.</t>
  </si>
  <si>
    <t>Informe de segunda línea de defensa del primer trimestre de 2026.</t>
  </si>
  <si>
    <t>Informe de auditoría de la OCI al Mapa de Riesgos, con corte al 30 de abril de 2026.</t>
  </si>
  <si>
    <t>Matrices DES-FM-12 con las observaciones de la segunda y tercera líneas.</t>
  </si>
  <si>
    <t>Procedimiento ECM-PC-03 V11 Planes de Mejoramiento.</t>
  </si>
  <si>
    <t>Planes de mejoramiento formulados frente a fallas de controles.</t>
  </si>
  <si>
    <t>Actas del CIGD y del CICCI de 2026.</t>
  </si>
  <si>
    <t>Seguimientos a la efectividad de las acciones implementadas.</t>
  </si>
  <si>
    <t>Informe de Revisión por la Dirección, que incorpora el análisis de la eficacia de las acciones frente a riesgos y oportunidades y consolida oportunidades de mejora con responsables y plazos</t>
  </si>
  <si>
    <t>La Política de Administración del Riesgo define los factores internos y externos que pueden afectar el cumplimiento de los objetivos institucionales y asigna responsabilidades a las líneas de defensa para su monitoreo. La línea estratégica debe analizar los cambios del entorno que puedan generar modificaciones en la estructura de riesgos y controles; la Oficina Asesora de Planeación debe revisar y registrar dichos cambios y solicitar la actualización de las matrices; y la Oficina de Control Interno debe evaluar independientemente los cambios que puedan afectar el Sistema de Control Interno.
La política establece que los riesgos deben revisarse y validarse como mínimo una vez al año y actualizarse en cualquier momento cuando cambien las condiciones de operación internas o externas. Cada líder de proceso debe actualizar su análisis de contexto, riesgos y controles como resultado de ejercicios de autocontrol, autoevaluación, auditorías, evaluaciones independientes o decisiones del CICCI.
Se evidenció que el Informe de Revisión por la Dirección de 2025 contiene un análisis de los cambios internos y externos por proceso y que durante 2026 la segunda y tercera líneas efectuaron seguimiento a los riesgos, controles y acciones. No obstante, debe fortalecerse la trazabilidad entre los cambios identificados en el contexto y la decisión de crear, modificar, mantener o eliminar riesgos y controles en las matrices institucionales.</t>
  </si>
  <si>
    <t>DES-PC-07 Administración de riesgos y oportunidades, en su versión vigente.</t>
  </si>
  <si>
    <t>Formato DES-FM-12 Mapa y Plan de Manejo de Riesgos y Oportunidades.</t>
  </si>
  <si>
    <t>Informe de Revisión por la Dirección del SIG 2025.</t>
  </si>
  <si>
    <t>DES-GA-01 Formulación del Plan Estratégico Institucional.</t>
  </si>
  <si>
    <t>Plan Estratégico Institucional 2024-2028 y su análisis DOFA.</t>
  </si>
  <si>
    <t>Informe de segunda línea del primer trimestre de 2026.</t>
  </si>
  <si>
    <t>Actas del CIGD y CICCI</t>
  </si>
  <si>
    <t>Seguimiento a la matriz de riesgos (Mapa y plan de manejo de riesgos y oportunidades) de acuerdo al acta de comité de gestión y desempeño.
En los CIGD se realiza revisión, análisis y actualización de riesgos de los procesos.
Política de Administración del Riesgo, donde se establece: 7.3 VALORACIÓN DEL RIESGO - 7.3.1 Análisis de Riesgos
PLAN DE TRATAMIENTO DE RIESGOS DE SEGURIDAD Y PRIVACIDAD DE LA 
INFORMACIÓN 2026</t>
  </si>
  <si>
    <t>La Política de Administración del Riesgo establece que los procesos deben identificar, valorar, tratar y monitorear los riesgos relacionados con sus recursos, productos, servicios, usuarios e interacciones. Asimismo, reconoce a los supervisores de contratos y a diferentes líderes temáticos como integrantes de la segunda línea de defensa, responsables de monitorear los riesgos y controles relacionados con los asuntos a su cargo.
Durante el primer trimestre de 2026, el informe de segunda línea incluyó el seguimiento a riesgos y controles asociados con procesos misionales en los que participan contratistas y operadores externos. Entre estos se identificaron controles relacionados con el cumplimiento de actividades contractuales, informes de supervisión, visitas y seguimiento a la operación. Por su parte, la Oficina de Control Interno realizó una auditoría integral a la gestión contractual, que comprendió la evaluación de controles, riesgos y ejecución de una muestra de contratos.
El Plan de Tratamiento de Riesgos de Seguridad y Privacidad de la Información 2026 también estableció actividades de monitoreo por parte de la segunda línea y medidas dirigidas a proteger la continuidad de los servicios críticos de TI.</t>
  </si>
  <si>
    <t>Informe de auditoría al Mapa de Riesgos con corte al 30 de abril de 2026.</t>
  </si>
  <si>
    <t>Informe final de auditoría a la gestión contractual de 2026.</t>
  </si>
  <si>
    <t>Actas del CIGD y del CICCI en las que se presentaron dichos informes.</t>
  </si>
  <si>
    <t>Plan de Tratamiento de Riesgos de Seguridad y Privacidad de la Información 2026.</t>
  </si>
  <si>
    <t>Informes de supervisión e interventoría de los contratos y operaciones críticas.</t>
  </si>
  <si>
    <t>Matrices de riesgos contractuales de concesiones, operadores, convenios y proveedores tecnológicos.</t>
  </si>
  <si>
    <t>La Política de Administración del Riesgo define el apetito, la tolerancia y la capacidad de riesgo de la UAESP. Para los riesgos de gestión, fiscales, de desastres y de seguridad de la información, aquellos que después de la aplicación de controles se ubican en zona residual baja se encuentran dentro del apetito institucional y pueden ser asumidos, manteniendo los controles y el seguimiento mensual por la primera línea y el reporte trimestral a la Oficina Asesora de Planeación.
Los riesgos asociados al Sistema de Gestión de Riesgos para la Integridad Pública —SIGRIP— son inaceptables y tienen apetito de riesgo cero, por lo que no pueden ser objeto de aceptación institucional.
Durante el primer trimestre de 2026, la OAP efectuó el seguimiento de segunda línea a los riesgos, controles y acciones de los procesos, y presentó los resultados ante el CIGD. La Oficina de Control Interno realizó la evaluación independiente con corte al 30 de abril de 2026, verificando la efectividad de los controles, la ejecución de las acciones y la calidad de las evidencias.</t>
  </si>
  <si>
    <t>Política de Administración del Riesgo 2025, especialmente niveles de aceptación, roles y monitoreo.</t>
  </si>
  <si>
    <t>Informe de seguimiento de segunda línea del primer trimestre de 2026.</t>
  </si>
  <si>
    <t>Manual del Sistema Integrado de Gestión V7.</t>
  </si>
  <si>
    <t>Matrices que identifiquen los riesgos residuales bajos ubicados dentro del apetito.</t>
  </si>
  <si>
    <t>La Política de Administración del Riesgo establece que la primera línea debe realizar ejercicios de autocontrol sobre la eficacia de los controles; la segunda línea debe revisar su diseño, monitorear su ejecución y formular recomendaciones; y la Oficina de Control Interno debe evaluar de manera independiente su efectividad y comunicar los resultados a las instancias de la Alta Dirección.
Durante el primer trimestre de 2026, la Oficina Asesora de Planeación elaboró el informe de segunda línea, mediante el cual evaluó la ejecución de los controles, acciones y evidencias de los procesos e identificó debilidades relacionadas con la oportunidad, coherencia y suficiencia de algunos reportes.
Por su parte, la Oficina de Control Interno evaluó los 57 riesgos institucionales con corte al 30 de abril de 2026 e identificó fallas en la ejecución o evidencia de controles en los procesos de Servicios Funerarios, Alumbrado Público y Participación Ciudadana. Como resultado, solicitó la formulación de acciones correctivas y de mejora conforme al procedimiento institucional.
Los informes de segunda línea fueron presentados ante el CIGD y los resultados de evaluación independiente constituyen insumos para el CICCI y la Alta Dirección..</t>
  </si>
  <si>
    <t>Procedimiento DES-PC-07 V9, versión vigente.</t>
  </si>
  <si>
    <t>Informe de auditoría al Mapa y Plan de Manejo de Riesgos, con corte al 30 de abril de 2026.</t>
  </si>
  <si>
    <t>Matrices DES-FM-12 con observaciones de segunda y tercera línea.</t>
  </si>
  <si>
    <t>Actas del CIGD y CICCI de 2026.</t>
  </si>
  <si>
    <t>Seguimientos de segunda línea y evaluaciones de efectividad realizadas por la OCI.</t>
  </si>
  <si>
    <t>La UAESP cuenta con mecanismos para analizar cambios internos y externos que pueden afectar el Sistema de Control Interno. La Política de Administración del Riesgo establece que la tercera línea debe identificar y evaluar los cambios con impacto significativo en el sistema y revisar las modificaciones del direccionamiento estratégico, la estructura, los procesos y el entorno que puedan originar nuevos riesgos o afectar los controles existentes.
Durante el periodo evaluado, el CIGD abordó asuntos relacionados con la gestión del cambio y realizó seguimiento transversal a políticas, riesgos, proyectos, talento humano, seguridad digital y procesos misionales. Asimismo, el Informe de Revisión por la Dirección analizó los cambios internos y externos, la adecuación de los recursos, los resultados de auditoría, los riesgos y oportunidades y las necesidades de cambio del SIG.
Se identificaron análisis específicos relacionados con la disponibilidad y rotación de personal, la suficiencia de recursos y la gestión de cambios operativos. Adicionalmente, la evaluación semestral independiente del Sistema de Control Interno permite valorar transversalmente la afectación de los cinco componentes del MECI.</t>
  </si>
  <si>
    <t>Evaluación semestral independiente del Sistema de Control Interno.</t>
  </si>
  <si>
    <t>Informe de seguimiento a MIPG con corte al 30 de abril de 2026.</t>
  </si>
  <si>
    <t>Documentación de la gestión del cambio asociada con la operación de cementerios.</t>
  </si>
  <si>
    <t>Plan Institucional de Capacitación y evidencias de inducción o reinducción.</t>
  </si>
  <si>
    <t>Análisis de capacidad de la OCI y Plan Anual de Auditoría basado en riesgos.</t>
  </si>
  <si>
    <t>Actualizaciones de matrices de riesgos y procedimientos derivadas de cambios organizacionales.</t>
  </si>
  <si>
    <t>Procedimientos vigentes del SIG con actividades, puntos de control y responsables.</t>
  </si>
  <si>
    <t>Matrices de usuarios y roles.</t>
  </si>
  <si>
    <t>Tabla de control de acceso aprobada.</t>
  </si>
  <si>
    <t xml:space="preserve">Informes de segunda línea </t>
  </si>
  <si>
    <t>Informes de Auditoría de la OCI</t>
  </si>
  <si>
    <t xml:space="preserve">
Durante el periodo evaluado, la segunda línea efectuó seguimiento a la ejecución de los controles y la Oficina de Control Interno realizó la evaluación independiente del Mapa y Plan de Manejo de Riesgos y Oportunidades.
</t>
  </si>
  <si>
    <t>La UAESP cuenta con una estructura organizacional, un Manual Específico de Funciones y Competencias Laborales, procedimientos del Sistema Integrado de Gestión, manuales operativos y una Política de Administración del Riesgo que permiten asignar responsabilidades, niveles de autoridad y puntos de control para el desarrollo de las actividades institucionales.
La Resolución 757 de 2023 distribuye las responsabilidades de gestión de riesgos y control mediante el esquema de líneas de defensa. Asimismo, los procedimientos del SIG identifican las actividades, responsables, puntos de control y registros, evidenciándose en diferentes operaciones la participación separada de quienes elaboran, verifican, autorizan y aprueban.</t>
  </si>
  <si>
    <r>
      <t xml:space="preserve">La UAESP ha identificado situaciones específicas de insuficiencia de personal y recursos mediante el Informe de Revisión por la Dirección, en el cual diferentes procesos reportaron vacantes, cargas laborales, rotación, necesidad de personal especializado y limitaciones presupuestales que afectan el cumplimiento oportuno de sus actividades.
Como respuesta, la entidad incorpora necesidades de contratación de apoyo a la gestión en el Plan Anual de Adquisiciones. En la gestión contractual, el Manual de Contratación y el Manual de Supervisión e Interventoría establecen controles alternativos cuando la capacidad del personal de planta o la complejidad técnica resultan insuficientes. Entre estos se encuentran el apoyo a la supervisión, la contratación de interventoría especializada, la concurrencia de supervisor e interventor con responsabilidades claramente delimitadas y la revisión y aprobación de informes y pagos.
El Manual de Supervisión determina que el apoyo contratado no reemplaza ni libera al supervisor de su responsabilidad, y exige documentar su designación y mantener la coordinación entre ambos. No obstante, la auditoría a la gestión contractual de 2026 identificó debilidades en la publicación de designaciones, cambios de supervisión e informes de ejecución.
</t>
    </r>
    <r>
      <rPr>
        <b/>
        <sz val="11"/>
        <color theme="1"/>
        <rFont val="Arial Narrow"/>
        <family val="2"/>
      </rPr>
      <t xml:space="preserve">Recomendación:
</t>
    </r>
    <r>
      <rPr>
        <sz val="11"/>
        <color theme="1"/>
        <rFont val="Arial Narrow"/>
        <family val="2"/>
      </rPr>
      <t>Identificar y documentar las situaciones en las que, por insuficiencia de personal, restricciones presupuestales, vacancias, especialidad técnica o estructura limitada, no sea posible separar completamente las funciones incompatibles.
Para cada excepción deberá definirse el riesgo generado y establecerse un control compensatorio, como revisión independiente, doble aprobación, conciliación posterior, rotación de responsables, restricción de permisos, supervisión reforzada o interventoría especializada. La documentación deberá señalar el responsable, la evidencia, la vigencia de la excepción y la periodicidad de su revisión.
En materia contractual, asegurar que las designaciones de supervisión y apoyo, los cambios de supervisor, la delimitación de funciones entre supervisión e interventoría y los informes correspondientes se documenten y publiquen oportunamente.</t>
    </r>
  </si>
  <si>
    <t>Manual de Contratación GAL-MN-01 V14.</t>
  </si>
  <si>
    <t>Manual de Supervisión e Interventoría GAL-MN-04 V3.</t>
  </si>
  <si>
    <t>Plan Anual de Adquisiciones 2026 y su seguimiento.</t>
  </si>
  <si>
    <t>Estudios previos de contratos de apoyo a la gestión e interventoría.</t>
  </si>
  <si>
    <t>Comunicaciones de designación de supervisores y apoyos.</t>
  </si>
  <si>
    <t>Matrices de riesgos de los procesos con insuficiencia de personal.</t>
  </si>
  <si>
    <t>Informe de auditoría a la gestión contractual de 2026.</t>
  </si>
  <si>
    <t>Manual de Funciones y procedimientos operativos.</t>
  </si>
  <si>
    <r>
      <rPr>
        <b/>
        <sz val="11"/>
        <color theme="1"/>
        <rFont val="Arial Narrow"/>
        <family val="2"/>
      </rPr>
      <t xml:space="preserve">
</t>
    </r>
    <r>
      <rPr>
        <sz val="11"/>
        <color theme="1"/>
        <rFont val="Arial Narrow"/>
        <family val="2"/>
      </rPr>
      <t>En todas las áreas se suple la falta de personal de planta para el desarrollo de las actividades con la tercerización de personas bajo la contratación de prestación de servicios.
Informe de Revisión por la Dirección 2025.</t>
    </r>
  </si>
  <si>
    <t>Plan Anual de Auditoría Vigencia 2026</t>
  </si>
  <si>
    <t>Manual sistema integrado de gestión
ISO 9001 2015
Auditoría MSPI 
Auditoría Externa de Certificación ISO 9001:2015 
Auditoría al SG-SST
Auditoría al PIGA</t>
  </si>
  <si>
    <t xml:space="preserve">La UAESP cuenta con un Sistema Integrado de Gestión formalmente adoptado mediante la Resolución 757 de 2023 y desarrollado en el Manual del SIG V7. El sistema integra, entre otros, el Sistema de Gestión de Calidad, el Sistema de Gestión Ambiental, el Sistema de Seguridad y Salud en el Trabajo, el Sistema de Gestión de Seguridad de la Información, el Sistema de Control Interno, la gestión documental, el servicio al ciudadano y el SIGRIP.
El Manual del SIG establece una matriz de articulación entre los requisitos de la ISO 9001:2015, los componentes del MECI, las políticas del MIPG y los instrumentos institucionales. Asimismo, la Política de Administración del Riesgo incorpora el requisito 6.1 de la ISO 9001:2015, la ISO 31000:2018 y los controles aplicables de la ISO/IEC 27001:2022 para los riesgos de seguridad de la información.
Durante el segundo semestre de 2026, se informaran los resultados de las auditorías realizados por la OCI  a los diferentes sistemas de Gestión.
</t>
  </si>
  <si>
    <t>La UAESP cuenta con actividades de control documentadas sobre la infraestructura tecnológica, la gestión de la seguridad de la información y los procesos de adquisición, desarrollo y mantenimiento tecnológico. Estas actividades se encuentran definidas en el PETI 2024-2028, los procedimientos de gestión de arquitectura, usuarios, incidentes y respaldos, el Manual de Hardening, el Manual de Clasificación de Activos de Información y el Manual de Adquisición, Desarrollo y Mantenimiento Seguro de Software.
Se realiza el seguimiento a riesgos del proceso de gestión tecnologica y de la información, revisando los lineamientos y procedimientos de respaldos de información, sistemas y bases de datos. 
Se cuenta con un manual y politica para le desarrollo seguro.
Se tiene servicios en la nube por medio de creditos en azure.
Clausulas de confidencialidad para contratistas y formatos de acuerdos de confidencialidad para personal de planta.
Auditoría al Modelo de Seguridad y Privacidad de la Información.</t>
  </si>
  <si>
    <t>Los controles comprenden el monitoreo de infraestructura, gestión de capacidad, mantenimiento preventivo y correctivo, respaldos cifrados, pruebas de restauración, administración de usuarios y privilegios, gestión de incidentes, clasificación de activos, endurecimiento de configuraciones, separación de ambientes, pruebas de software, control de versiones, gestión de cambios y acompañamiento técnico en la adquisición de soluciones.
Durante el periodo evaluado se evidenció seguimiento por la primera y segunda líneas a los riesgos y controles de seguridad de la información, así como evaluación independiente por parte de la Oficina de Control Interno. La OCI verificó la ejecución de controles dirigidos a proteger los activos, prevenir incidentes y mitigar vulnerabilidades.
No obstante, el PETI identifica obsolescencia tecnológica, necesidad de revisar y actualizar algunos procedimientos de gestión de TI, ausencia de un modelo específico para la gestión de proyectos tecnológicos y actividades pendientes en configuraciones de seguridad de infraestructura. Asimismo, se requiere fortalecer la evidencia consolidada sobre pruebas de restauración, hardening, administración de accesos, mantenimiento, gestión de cambios y aplicación de las listas de chequeo de desarrollo seguro.</t>
  </si>
  <si>
    <t>PETI 2024-2028.</t>
  </si>
  <si>
    <t>Política de Seguridad y Privacidad de la Información.</t>
  </si>
  <si>
    <t>GTI-PC-18 V3 Gestión de Arquitectura de Tecnologías de la Información.</t>
  </si>
  <si>
    <t>GTI-PC-11 V4 Gestión de Respaldos.</t>
  </si>
  <si>
    <t>GTI-PC-16 V2 Gestión de Incidentes.</t>
  </si>
  <si>
    <t>GTI-PC-03 V6 Gestión de Usuarios.</t>
  </si>
  <si>
    <t>GTI-MN-02 V4 Clasificación de Activos de Información.</t>
  </si>
  <si>
    <t>GTI-MN-04 V2 Adquisición, Desarrollo y Mantenimiento Seguro de Software.</t>
  </si>
  <si>
    <t>GTI-MN-06 Manual de Hardening.</t>
  </si>
  <si>
    <t>Informes de segunda línea sobre riesgos y controles.</t>
  </si>
  <si>
    <t>Informe de auditoría al MSPI y su plan de mejoramiento.</t>
  </si>
  <si>
    <t>La UAESP cuenta con actividades de control sobre los proveedores tecnológicos, establecidas en el Manual de Contratación, el Manual de Supervisión e Interventoría y los lineamientos del proceso de Gestión de Tecnologías de la Información.
La supervisión contractual comprende la verificación técnica, administrativa, financiera, contable y jurídica del cumplimiento de las obligaciones, así como la revisión de entregables, calidad de los bienes y servicios, informes de ejecución, requisitos para pago, deficiencias y acciones correctivas.
Para los proveedores que participan en el desarrollo, adquisición o mantenimiento de software, el Manual GTI-MN-04 V2 establece requisitos de seguridad, separación de ambientes, perfiles de acceso, pruebas, control de versiones, gestión de cambios, respaldos, documentación y listas de chequeo. Asimismo, los instrumentos de protección de datos establecen restricciones y obligaciones cuando terceros acceden o realizan tratamiento de información personal.
Durante el periodo evaluado se evidenciaron actas y registros de seguimiento a los contratos administrados por la OTIC, en los cuales se revisan obligaciones contractuales, técnicas, financieras y de seguridad de la información. No obstante, no se evidenció un esquema consolidado de clasificación y monitoreo de proveedores tecnológicos críticos que integre niveles de servicio, incidentes, accesos privilegiados, continuidad, riesgos, tratamiento de información y condiciones de cierre.
Adicionalmente, la auditoría a la gestión contractual identificó debilidades en la integridad y trazabilidad de algunos expedientes, publicaciones e informes de supervisión, incluida una situación asociada con un contrato en el que participó la OTIC.</t>
  </si>
  <si>
    <t>Actas de seguimiento a los contratos de tecnología.</t>
  </si>
  <si>
    <t>Informes de supervisión de los contratos administrados por la OTIC.</t>
  </si>
  <si>
    <t>Matriz o repositorio de seguimiento contractual en SharePoint.</t>
  </si>
  <si>
    <t>Política y Manual para el Tratamiento de Datos Personales.</t>
  </si>
  <si>
    <t>Contratos de transmisión de datos y acuerdos de confidencialidad.</t>
  </si>
  <si>
    <t>Acuerdos de niveles de servicio —ANS o SLA—.</t>
  </si>
  <si>
    <t>Informes de incidentes, disponibilidad, mantenimiento y soporte.</t>
  </si>
  <si>
    <t>Actas de aceptación técnica de entregables.</t>
  </si>
  <si>
    <t>Informe de auditoría al MSPI y acciones de mejora relacionadas con proveedores.</t>
  </si>
  <si>
    <r>
      <t xml:space="preserve">La UAESP cuenta con el procedimiento GTI-PC-03 V6 Gestión de Usuarios, mediante el cual se regulan la creación, reactivación, inactivación y modificación de usuarios en los sistemas, aplicativos, correo electrónico, Directorio Activo y servicios tecnológicos institucionales.
El procedimiento establece que los usuarios deben contar con identificadores únicos, que los niveles de acceso deben corresponder a las funciones desempeñadas y que las excepciones deben justificarse y ser aprobadas. Asimismo, diferencia las responsabilidades de solicitud, aprobación, ejecución técnica y asignación de roles.
Trimestralmente, los administradores funcionales deben generar reportes de usuarios activos y remitirlos a los directores, subdirectores y jefes de oficina para revisar y depurar los usuarios y roles asignados. Las novedades identificadas deben tramitarse ante la OTIC.
Adicionalmente, el procedimiento de Gestión de Arquitectura de Tecnologías de la Información establece que todo nuevo desarrollo debe contar con una matriz de roles y perfiles y que esta debe actualizarse cuando se realicen modificaciones. El Manual de Adquisición, Desarrollo y Mantenimiento Seguro de Software exige definir los permisos de lectura, escritura, modificación y eliminación y verificar su implementación durante las pruebas.
</t>
    </r>
    <r>
      <rPr>
        <b/>
        <sz val="11"/>
        <color rgb="FF000000"/>
        <rFont val="Arial Narrow"/>
        <family val="2"/>
      </rPr>
      <t xml:space="preserve">Recomendación: </t>
    </r>
    <r>
      <rPr>
        <sz val="11"/>
        <color rgb="FF000000"/>
        <rFont val="Arial Narrow"/>
        <family val="2"/>
      </rPr>
      <t>Fortalecer los controles relacionados con la gestión de accesos a la información, garantizando la cancelación oportuna de correos electrónicos institucionales y de los permisos de acceso a los sistemas y a la información interna de la entidad, una vez el personal se retira de manera definitiva. Lo anterior, con el fin de prevenir el uso inadecuado de la información, proteger la confidencialidad de los datos y mitigar riesgos asociados a la seguridad de la información institucional.</t>
    </r>
  </si>
  <si>
    <t>Reportes trimestrales de usuarios activos de 2026.</t>
  </si>
  <si>
    <t>Respuestas de las dependencias sobre la depuración de usuarios y roles.</t>
  </si>
  <si>
    <t>Matrices de roles, perfiles y permisos de cada sistema crítico.</t>
  </si>
  <si>
    <t>Matriz institucional de incompatibilidades.</t>
  </si>
  <si>
    <t>Registros de altas, modificaciones y bajas de usuarios.</t>
  </si>
  <si>
    <t>Evidencias de desactivación de accesos por retiros y terminaciones contractuales.</t>
  </si>
  <si>
    <t>Informes de auditoría al MSPI y planes de mejoramiento relacionados con accesos.</t>
  </si>
  <si>
    <t>La UAESP cuenta con un esquema de tercera línea de defensa conformado por la Oficina de Control Interno, la cual, de acuerdo con el Manual del Sistema Integrado de Gestión y la Política de Administración del Riesgo, debe evaluar de manera independiente el diseño, ejecución y efectividad de los controles institucionales, conforme al Plan Anual de Auditoría aprobado por el CICCI.
Durante el primer semestre de 2026, la OCI realizó evaluaciones al  al Mapa y Plan de Manejo de Riesgos y Oportunidades y a la gestión contractual. Estos trabajos generaron información sobre los controles de seguridad de la información, la gestión de riesgos y las debilidades en la administración y supervisión contractual.</t>
  </si>
  <si>
    <t>En la Matriz de riesgos (mapa y plan de manejo de riesgos y oportunidades) la tercera línea de defensa realiza seguimiento a los riesgos identificados y en el escenario de materialización de un riesgos realiza el informe y acciones correctivas (plan de contingencia).
Se evidencia en el Comité de Gestión y Desempeño en el Actas de enero - Junio realizó  seguimiento de los riesgos institucionales.</t>
  </si>
  <si>
    <t>Plan Anual de Auditoría de 2026.</t>
  </si>
  <si>
    <t>Universo de auditoría basado en riesgos.</t>
  </si>
  <si>
    <t>Informe de auditoría al MSPI de 2025.</t>
  </si>
  <si>
    <t>Papeles de trabajo del dominio de relaciones con proveedores.</t>
  </si>
  <si>
    <t>Informe OCI de evaluación al mapa de riesgos con corte al 30 de abril de 2026.</t>
  </si>
  <si>
    <t>Contratos tecnológicos incluidos en las muestras de auditoría.</t>
  </si>
  <si>
    <t>Acuerdos de niveles de servicio y reportes de cumplimiento.</t>
  </si>
  <si>
    <t>Informes de supervisión de contratos tecnológicos.</t>
  </si>
  <si>
    <t>Pruebas de respaldos, restauración, continuidad y seguridad ejecutadas por proveedores.</t>
  </si>
  <si>
    <t>Informes de incidentes atribuibles a terceros.</t>
  </si>
  <si>
    <t>Planes de mejoramiento derivados de las evaluaciones de la OCI.</t>
  </si>
  <si>
    <t>La UAESP cuenta con mecanismos para evaluar la actualización, pertinencia y aplicación de los procesos, procedimientos, políticas, instructivos, manuales, formatos y demás herramientas del Sistema Integrado de Gestión. Esta evaluación se realiza principalmente mediante las auditorías internas de la Oficina de Control Interno, las auditorías anuales al Sistema de Gestión de Calidad bajo ISO 9001:2015, la Revisión por la Dirección y el seguimiento de la Oficina Asesora de Planeación.
Las auditorías de la OCI utilizan la documentación institucional como criterio para evaluar el diseño y ejecución de los controles</t>
  </si>
  <si>
    <t>Durante 2026, la OCI identificó, entre otros aspectos, la necesidad de actualizar los instrumentos técnicos de auditoría interna frente a las Normas Globales de Auditoría Interna y el Decreto Distrital 640 de 2025. Asimismo, las auditorías de riesgos y gestión contractual identificaron debilidades en la aplicación de listas de chequeo, diligenciamiento de formatos, conformación de expedientes y operación de controles, cuyos resultados constituyen insumos para revisar la pertinencia de los procedimientos y manuales asociados.
Las auditorías anuales de calidad permiten evaluar la conformidad y eficacia del Sistema de Gestión de Calidad, incluido el control de la información documentada, la gestión de cambios, la aplicación de procedimientos y el tratamiento de las no conformidades. La Revisión por la Dirección de 2025 evidenció la incorporación de los nuevos lineamientos de la enmienda de la ISO 9001:2015 relacionada con cambio climático y definió oportunidades de actualización documental para diferentes procesos.
La entidad cuenta además con el procedimiento DES-PC-11 Control de la Información Documentada y con el listado maestro de documentos, mediante los cuales la OAP revisa, aprueba, publica y controla las versiones vigentes. Durante 2025 y 2026 se evidenciaron actualizaciones de procedimientos, controles, formatos y lineamientos.</t>
  </si>
  <si>
    <t>Informe de seguimiento a los instrumentos técnicos y administrativos del SCI de 2026.</t>
  </si>
  <si>
    <t>Informes de auditoría al mapa de riesgos y a la gestión contractual.</t>
  </si>
  <si>
    <t>Informe anual de auditoría interna de calidad ISO 9001:2015.</t>
  </si>
  <si>
    <t>Informe de auditoría externa de ICONTEC 2025.</t>
  </si>
  <si>
    <t>Certificado vigente del Sistema de Gestión de Calidad.</t>
  </si>
  <si>
    <t>DES-PC-11 V11 Control de la Información Documentada.</t>
  </si>
  <si>
    <t>Listado maestro de documentos actualizado.</t>
  </si>
  <si>
    <t>Solicitudes, aprobaciones y comunicaciones de actualización documental.</t>
  </si>
  <si>
    <t>Planes de mejoramiento derivados de auditorías.</t>
  </si>
  <si>
    <t>Informes de auditoría interna realizados por la OCI en el primer semestre de 2026.</t>
  </si>
  <si>
    <r>
      <t xml:space="preserve">La UAESP cuenta con una metodología formal para el diseño, análisis y valoración de los controles frente a los riesgos institucionales, establecida en la Política de Administración del Riesgo y aplicada mediante el procedimiento DES-PC-07 y el formato DES-FM-12 Mapa y Plan de Manejo de Riesgos y Oportunidades.
La Oficina de Control Interno realizó la evaluación independiente al Mapa y Plan de Manejo de Riesgos y Oportunidades con corte al 30 de abril de 2026. La auditoría comprendió los 57 riesgos institucionales y revisó la ejecución y efectividad de 68 controles, 56 acciones y cuatro oportunidades. Como resultado, identificó cumplimientos generales y debilidades específicas relacionadas con evidencias incompletas, falta de aplicación de listas de chequeo y diligenciamiento insuficiente de instrumentos de control.
Las observaciones particulares fueron registradas en las matrices DES-FM-12 V14 de cada proceso, permitiendo que los responsables analicen la necesidad de mantener, ajustar o fortalecer sus controles.
</t>
    </r>
    <r>
      <rPr>
        <b/>
        <sz val="11"/>
        <color theme="1"/>
        <rFont val="Arial Narrow"/>
        <family val="2"/>
      </rPr>
      <t xml:space="preserve">
Recomendación
</t>
    </r>
    <r>
      <rPr>
        <sz val="11"/>
        <color theme="1"/>
        <rFont val="Arial Narrow"/>
        <family val="2"/>
      </rPr>
      <t xml:space="preserve">
Fortalecer las evaluaciones de segunda y tercera línea incorporando una conclusión individual sobre el diseño de los controles. Para cada debilidad deberá determinarse expresamente si corresponde a diseño, ejecución, evidencia o efectividad.
Cuando se identifique una falla de diseño, deberá revisarse la relación del control con la causa del riesgo, el responsable, la segregación de funciones, la acción ejecutada, la frecuencia, la fuente de información, la evidencia generada, el tratamiento de las desviaciones y el efecto esperado sobre la probabilidad o el impacto.</t>
    </r>
  </si>
  <si>
    <t>Informe Final de Auditoría al Mapa y Plan de Manejo de Riesgos y Oportunidades, corte 30 de abril de 2026.</t>
  </si>
  <si>
    <t>Política de Administración del Riesgo, noviembre de 2025.</t>
  </si>
  <si>
    <t>Matrices DES-FM-12 V14 con las observaciones de la OCI.</t>
  </si>
  <si>
    <t>DES-PC-07 V9 Administración de riesgos y oportunidades.</t>
  </si>
  <si>
    <t>Plan Anual de Auditoría 2026.</t>
  </si>
  <si>
    <t>Durante el primer semestre de la vigencia 2026, y en el marco del Comité Institucional de Coordinación de Control Interno y del Comité Institucional de Gestión y Desempeño se consolida la gestión del riesgo, mediente las diferentes seguimientos y actividades que fortalecen la gestión institucional.
La Oficina de Control Interno, como Tercera Línea de Defensa, realizó para el primer cuatrimestre, seguimiento a los Mapas de Riesgos de Gestión y Corrupción de la Entidad, verificando la ejecución de controles.
La Primera, Segunda y Tercera Líneas de Defensa, durante el primer semestre de 2026 realizaron mesas de trabajo con los procesos para la actualización de sus riesgos de gestión y corrupción, para la vigencia 2026.</t>
  </si>
  <si>
    <r>
      <t xml:space="preserve">La UAESP cuenta con una Política de Administración del Riesgo que establece las responsabilidades y periodicidades para el monitoreo de los riesgos institucionales. La primera línea de defensa realiza seguimiento a los riesgos, controles y acciones de los procesos y reporta sus resultados; la Oficina Asesora de Planeación, como segunda línea, consolida y monitorea trimestralmente la información, registra observaciones y presenta los resultados ante la Alta Dirección; y la Oficina de Control Interno efectúa la evaluación independiente conforme con el Plan Anual de Auditoría.
Durante el primer trimestre de 2026, la OAP realizó el monitoreo de segunda línea al Mapa y Plan de Manejo de Riesgos y Oportunidades. Los resultados fueron presentados al Comité Institucional de Gestión y Desempeño en la sesión del 11 de mayo de 2026.
La Oficina de Control Interno realizó la auditoría al Mapa y Plan de Manejo de Riesgos y Oportunidades con corte al 30 de abril de 2026, analizando los reportes de primera y segunda línea, las evidencias de ejecución y la efectividad de los controles y acciones. La evaluación determinó que, en términos generales, al menos 13 procesos cumplieron con el seguimiento y evidenció debilidades específicas en tres procesos.
Las observaciones fueron comunicadas a los responsables y registradas en las matrices DES-FM-12 V14, recomendando el análisis y formulación de acciones de mejoramiento cuando correspondiera. En consecuencia, se evidencia que el monitoreo se realizó de acuerdo con el esquema de responsabilidades y periodicidades establecido en la Política de Administración del Riesgo.
</t>
    </r>
    <r>
      <rPr>
        <b/>
        <sz val="11"/>
        <color theme="1"/>
        <rFont val="Arial Narrow"/>
        <family val="2"/>
      </rPr>
      <t>Recomendación</t>
    </r>
    <r>
      <rPr>
        <sz val="11"/>
        <color theme="1"/>
        <rFont val="Arial Narrow"/>
        <family val="2"/>
      </rPr>
      <t xml:space="preserve">
Mantener el monitoreo de los riesgos conforme con las responsabilidades y periodicidades previstas en la Política de Administración del Riesgo, asegurando que los informes comprendan todas las tipologías de riesgos institucionales y registren expresamente la existencia o ausencia de materializaciones</t>
    </r>
  </si>
  <si>
    <t>Matrices DES-FM-12 V14 de 2026.</t>
  </si>
  <si>
    <t>Memorando 20261100073513 del 16 de junio de 2026.</t>
  </si>
  <si>
    <t>Publicación institucional de los informes de monitoreo y evaluació</t>
  </si>
  <si>
    <t>La UAESP cuenta con una metodología formal para el diseño, análisis y valoración de los controles frente a los riesgos institucionales, establecida en la Política de Administración del Riesgo y aplicada mediante el procedimiento DES-PC-07 y el formato DES-FM-12 Mapa y Plan de Manejo de Riesgos y Oportunidades.
La Oficina de Control Interno realizó la evaluación independiente al Mapa y Plan de Manejo de Riesgos y Oportunidades con corte al 30 de abril de 2026. La auditoría comprendió los 57 riesgos institucionales y revisó la ejecución y efectividad de 68 controles, 56 acciones y cuatro oportunidades. Como resultado, identificó cumplimientos generales y debilidades específicas relacionadas con evidencias incompletas, falta de aplicación de listas de chequeo y diligenciamiento insuficiente de instrumentos de control.
Las observaciones particulares fueron registradas en las matrices DES-FM-12 V14 de cada proceso, permitiendo que los responsables analicen la necesidad de mantener, ajustar o fortalecer sus controles.
Recomendación
Fortalecer las evaluaciones de segunda y tercera línea incorporando una conclusión individual sobre el diseño de los controles. Para cada debilidad deberá determinarse expresamente si corresponde a diseño, ejecución, evidencia o efectividad.
Cuando se identifique una falla de diseño, deberá revisarse la relación del control con la causa del riesgo, el responsable, la segregación de funciones, la acción ejecutada, la frecuencia, la fuente de información, la evidencia generada, el tratamiento de las desviaciones y el efecto esperado sobre la probabilidad o el impacto.</t>
  </si>
  <si>
    <t xml:space="preserve">La Política de Administración del Riesgo establece que la identificación, análisis y valoración de los riesgos y controles debe realizarse teniendo en cuenta las características, complejidad, recursos, productos, servicios, usuarios e interacciones particulares de cada proceso. Asimismo, dispone la revisión de la política y de la gestión del riesgo frente a cambios en el contexto interno y externo.
Durante el periodo evaluado, los líderes de proceso, con el acompañamiento metodológico de la Oficina Asesora de Planeación, revisaron y actualizaron el Mapa y Plan de Manejo de Riesgos y Oportunidades. La Revisión por la Dirección de 2025 incluyó el análisis de cambios internos y externos, desempeño de los procesos, resultados de auditorías, proveedores, recursos, riesgos y necesidades de cambio del SIG, identificando oportunidades específicas para los diferentes procesos.
La Oficina de Control Interno realizó la auditoría al Mapa y Plan de Manejo de Riesgos y Oportunidades con corte al 30 de abril de 2026. La evaluación analizó los avances y soportes de los procesos y registró observaciones específicas en las matrices DES-FM-12 V14, generando fortalezas, cumplimientos, incumplimientos y oportunidades de mejora.
</t>
  </si>
  <si>
    <t>Política de Administración del Riesgo de noviembre de 2025.</t>
  </si>
  <si>
    <t>DES-PC-07 Administración de riesgos y oportunidades, versión vigente.</t>
  </si>
  <si>
    <t>Informe de seguimiento de segunda línea.</t>
  </si>
  <si>
    <t>Procedimiento DES-PC-12 Gestión del Cambio.</t>
  </si>
  <si>
    <t>Actas o soportes en los que se documenten modificaciones de riesgos y controles.</t>
  </si>
  <si>
    <t>Matrices anteriores y actualizadas que permitan comparar los cambios</t>
  </si>
  <si>
    <t>Se cuenta actualmente con los siguientes sistemas de informacion:
SIGAB.
SI Capital.
ORFEO.
SIRA.
NFU.
MOVILIA/IPSAP.
GLPI.
RUF.
SUIF.
Sistema de composteras.
Página web.</t>
  </si>
  <si>
    <r>
      <t xml:space="preserve">La UAESP cuenta con diferentes sistemas de información que apoyan los procesos misionales, estratégicos, de apoyo y de evaluación. El PETI 2024-2028 contiene el catálogo y la caracterización de las aplicaciones institucionales, identificando para cada una su funcionalidad, información gestionada, estado, licenciamiento, integraciones, capacidades y debilidades estructurales.
Entre los sistemas utilizados por la entidad se encuentran ORFEO, SIGAB, SI Capital, SIRA, NFU, RUF, SUIF, GLPI, la página web y la intranet, entre otros. Estos sistemas permiten capturar, almacenar, procesar y consultar información relacionada con la gestión documental, financiera, operativa, misional y tecnológica.
No obstante, durante 2026 la OCI, con fundamento en su evaluación interna y en el concepto técnico de la OTIC, determinó reemplazar el uso de ODOO para el seguimiento del Plan de Mejoramiento Institucional. A partir del 16 de marzo de 2026, el registro y seguimiento de las acciones se realiza mediante un archivo de Excel compartido, como mecanismo inmediato para asegurar la continuidad y trazabilidad de la información.
Aunque esta medida permite mantener la operación, evidencia que actualmente no se cuenta con una solución tecnológica especializada que cubra integralmente los requerimientos de formulación, aprobación, seguimiento, alertas, evidencias, reformulación, cierre y evaluación de efectividad de los planes de mejoramiento.
Adicionalmente, el PETI identifica una baja integración entre sistemas, ausencia de una arquitectura de referencia consolidada, obsolescencia en algunas aplicaciones y necesidades de fortalecimiento en el mantenimiento y evolución tecnológica. En consecuencia, la entidad dispone de sistemas de información operativos, pero debe continuar fortaleciendo su alineación con los requerimientos de información de los procesos.
</t>
    </r>
    <r>
      <rPr>
        <b/>
        <sz val="11"/>
        <color theme="1"/>
        <rFont val="Arial Narrow"/>
        <family val="2"/>
      </rPr>
      <t>Recomendación</t>
    </r>
    <r>
      <rPr>
        <sz val="11"/>
        <color theme="1"/>
        <rFont val="Arial Narrow"/>
        <family val="2"/>
      </rPr>
      <t xml:space="preserve">
Asignar los recursos presupuestales y técnicos necesarios para realizar un análisis de necesidades, alternativas y viabilidad de una solución tecnológica para la formulación, administración, seguimiento y evaluación de los planes de mejoramiento institucionales.
El análisis deberá ser liderado de manera articulada por la Oficina de Control Interno, como propietaria funcional de la necesidad, y la Oficina de Tecnologías de la Información y las Comunicaciones, como responsable de la evaluación técnica, arquitectura, seguridad, interoperabilidad y sostenibilidad de la solución.
La evaluación deberá considerar alternativas como:
</t>
    </r>
  </si>
  <si>
    <t>Catálogo y matriz de capacidades de los sistemas de información.</t>
  </si>
  <si>
    <t>Memorando 20261100039653 del 16 de marzo de 2026.</t>
  </si>
  <si>
    <t>Concepto técnico de la OTIC sobre ODOO.</t>
  </si>
  <si>
    <t>Evaluación interna de la OCI sobre el funcionamiento de ODOO-PMI.</t>
  </si>
  <si>
    <t>Matriz de Excel utilizada actualmente para el seguimiento.</t>
  </si>
  <si>
    <t>Procedimiento actualizado de planes de mejoramiento.</t>
  </si>
  <si>
    <t>Informe de Revisión por la Dirección de 2025.</t>
  </si>
  <si>
    <t>Inventario y clasificación de activos de información.</t>
  </si>
  <si>
    <t>Estudios de necesidades y viabilidad de una nueva solución tecnológica.</t>
  </si>
  <si>
    <t>La UAESP cuenta con un Inventario de Activos de Información y con los instrumentos públicos derivados de este: el Registro de Activos de Información y el Índice de Información Clasificada y Reservada. La metodología para su identificación, clasificación, revisión y actualización se encuentra establecida en el Manual GTI-MN-02 V4 Clasificación de Activos de Información.
El manual asigna a los líderes de proceso la responsabilidad de identificar, validar y mantener actualizados los activos de información que producen, custodian o administran, mientras que la Oficina TIC lidera la consolidación institucional y la publicación del Registro de Activos de Información y del Índice de Información Clasificada y Reservada.
La metodología establece que todos los procesos deben actualizar sus activos como mínimo una vez al año y también cuando se presenten cambios en los procesos, procedimientos, dependencias, responsables, sistemas de información, ubicación o condiciones de custodia. La actualización correspondiente a 2026 se encuentra prevista para el segundo semestre, por lo cual a la fecha de corte aún no se ha completado el ejercicio anual.
El Informe de Revisión por la Dirección de 2025 registró la actualización del inventario de activos de información de dicha vigencia. En consecuencia, se evidencia la existencia y operación del mecanismo, sin perjuicio de verificar al finalizar 2026 la actualización, consolidación y publicación de los instrumentos correspondientes.</t>
  </si>
  <si>
    <t>Inventario interno de Activos de Información de 2025.</t>
  </si>
  <si>
    <t>Índice de Información Clasificada y Reservada vigente.</t>
  </si>
  <si>
    <t>Resolución Interna 205 de 2019.</t>
  </si>
  <si>
    <t>Cronograma o comunicación de la actualización de 2026.</t>
  </si>
  <si>
    <t>GTI-PC-02 V2 Datos Abiertos.</t>
  </si>
  <si>
    <t>GTI-MN-05 V2 Tratamiento de Datos Personales.</t>
  </si>
  <si>
    <t>GCI-PC-03 V3 Gestión de la Información Estadística.</t>
  </si>
  <si>
    <t>Inventario de operaciones estadísticas y registros administrativos.</t>
  </si>
  <si>
    <t>Matriz o diagnóstico de fuentes de información.</t>
  </si>
  <si>
    <t>Repositorio único de datos institucionales.</t>
  </si>
  <si>
    <t>PETI 2024-2028 y catálogo de sistemas de información.</t>
  </si>
  <si>
    <t>Caracterización de SIGAB, SI Capital, ORFEO, SIRA y demás aplicaciones.</t>
  </si>
  <si>
    <t>Integraciones con Bogotá Te Escucha, BogData, VUC y sistemas de operadores.</t>
  </si>
  <si>
    <t>Informe de seguimiento a MIPG elaborado por la OCI en 2026.</t>
  </si>
  <si>
    <r>
      <t>La UAESP utiliza información proveniente de fuentes internas y externas para apoyar la gestión, el seguimiento de metas y la toma de decisiones. Las fuentes internas comprenden registros administrativos, indicadores, planes institucionales, proyectos de inversión, ejecución presupuestal, riesgos, planes de mejoramiento y sistemas de información financieros, documentales, tecnológicos y misionales.
Entre las fuentes externas se encuentra la información suministrada por operadores y concesionarios de los servicios públicos, los sistemas de las áreas de servicio exclusivo, Bogotá Te Escucha, BogData, VUC, el Observatorio Distrital del Hábitat, plataformas de datos abiertos, grupos de interés y lineamientos normativos, sectoriales y territoriales.
El procedimiento GCI-PC-03 V3 Gestión de la Información Estadística establece lineamientos para la producción y reporte de información estadística. Adicionalmente, se ha adelantado el diagnóstico de los datos gestionados por las áreas misionales, la construcción de un repositorio único y el diseño de un sistema integral para centralizar, procesar y difundir la información.</t>
    </r>
    <r>
      <rPr>
        <b/>
        <sz val="11"/>
        <color theme="1"/>
        <rFont val="Arial Narrow"/>
        <family val="2"/>
      </rPr>
      <t xml:space="preserve">
Recomendación: 
</t>
    </r>
    <r>
      <rPr>
        <sz val="11"/>
        <color theme="1"/>
        <rFont val="Arial Narrow"/>
        <family val="2"/>
      </rPr>
      <t>Durante el primer trimestre y con corte al 30 de abril de 2026 (Informe MIPG), se evidenciaron actividades sin avance relacionadas con la actualización del procedimiento GCI-PC-03 Gestión de la Información Estadística, el cargue de información sobre ODS y políticas públicas, la actualización del calendario estadístico y el diagnóstico general de la actividad estadística institucional</t>
    </r>
    <r>
      <rPr>
        <b/>
        <sz val="11"/>
        <color theme="1"/>
        <rFont val="Arial Narrow"/>
        <family val="2"/>
      </rPr>
      <t>.</t>
    </r>
  </si>
  <si>
    <t>Se realiza el reporte de datos estadísticos con base en la información misional en cumplimiento a lo establecido en el procedimiento GCI-PC-03 V3 Gestión de la información estadística
Se realiza el seguimiento al programa de transparecia con la información de la primera línea de acuerdo a las responsabilidades
Plan Anual de Auditorías 2026</t>
  </si>
  <si>
    <t>La Entidad tiene el inventario de activos de información y es aprobado por el Comite Institucional de Gestión y Desempeño. Lo anterior descrito se encuentra documentado en el procedimiento GTI-PC-04 Activos de Información. 
Plan Anual de Auditorías 2026</t>
  </si>
  <si>
    <t>La UAESP cuenta con actividades de control orientadas a proteger la confidencialidad, integridad y disponibilidad de los datos e información relevante. La entidad dispone de una metodología para identificar, clasificar y valorar los activos de información según su nivel de criticidad y de políticas, procedimientos y manuales relacionados con gestión de usuarios, respaldos, incidentes de seguridad, hardening, tratamiento de datos personales, desarrollo seguro y gestión de riesgos de seguridad de la información.
Los controles implementados comprenden la administración de usuarios y permisos, almacenamiento en repositorios institucionales, cifrado, acuerdos de confidencialidad, protección antimalware, firewall, restricción de medios extraíbles, control de código fuente, gestión de cambios, copias de seguridad, replicación y pruebas de restauración.
La auditoría de la OCI al Mapa y Plan de Manejo de Riesgos y Oportunidades, con corte al 30 de abril de 2026, evidenció la ejecución y seguimiento de los controles de seguridad de la información, orientados a la protección de activos, prevención de incidentes y mitigación de vulnerabilidades.
No obstante, la auditoría al MSPI (2025) identificó debilidades que dieron lugar a acciones dentro del Plan de Mejoramiento Institucional. Asimismo, debe fortalecerse la evidencia consolidada sobre pruebas de restauración, revisión de accesos, hardening, gestión de vulnerabilidades, inteligencia de amenazas y efectividad de los controles. Esto se evaluará nuevamente en la auditoría al MSPI programada para el segundo semestre de 2026.</t>
  </si>
  <si>
    <t>GTI-PC-16 V2 Gestión de Incidentes de Seguridad.</t>
  </si>
  <si>
    <t>Declaración de Aplicabilidad —SOA—.</t>
  </si>
  <si>
    <t>La UAESP cuenta con  los siguientes documentos, que  permiten dar a conocer los objetivos y metas estratégicas:
GCO-PL-01 V7 Plan Estratégico de Comunicaciones
GCO-PC-04 V7 Comunicación interna
GCO-PC-05 V3 Comunicación externa
La UAESP cuenta con mecanismos formales para comunicar internamente los objetivos, metas, planes, políticas, proyectos y resultados institucionales. Durante 2026, el proceso de Gestión de las Comunicaciones actualizó sus instrumentos mediante el Manual Estratégico y Operativo de la Gestión de las Comunicaciones, el procedimiento GCO-PC-04 V8 Comunicación Interna y la Estrategia de Comunicación Interna 2026.</t>
  </si>
  <si>
    <t xml:space="preserve">El procedimiento establece que la comunicación interna debe orientarse a la apropiación de los objetivos y la misionalidad de la entidad y comprende desde la identificación de la necesidad hasta la evaluación de la efectividad de la comunicación. La estrategia tiene alcance sobre servidores públicos, contratistas, colaboradores y directivos y contempla contenidos relacionados con planeación, MIPG, planes institucionales, políticas, auditorías, certificaciones, cultura de servicio, integridad y compromiso ambiental.
Para la divulgación, la entidad dispone de correo institucional, intranet, pantallas digitales, página web, papel tapiz, espacios físicos, noticiero interno, newsletter, reuniones y eventos institucionales. La planeación y aprobación de contenidos se realiza mediante consejos de redacción y comités primarios, con registros y responsables definidos.
No obstante, aunque se evidencia la existencia y utilización de mecanismos de comunicación, todavía debe fortalecerse la medición de su efectividad, especialmente para determinar si el personal comprende los objetivos y metas estratégicas, reconoce su aporte individual y por proceso y considera adecuados los canales utilizados.
La Oficina de Control Interno tiene programada para el segundo semestre de 2026 una evaluación al Plan Estratégico de Comunicaciones en el marco del PAID, cuyos resultados permitirán valorar de manera independiente la ejecución, cobertura y efectividad de los mecanismos implementados.
</t>
  </si>
  <si>
    <t>GCO-MN-01 V1 Manual Estratégico y Operativo de la Gestión de las Comunicaciones.</t>
  </si>
  <si>
    <t>GCO-PC-04 V8 Comunicación Interna.</t>
  </si>
  <si>
    <t>Estrategia de Comunicación Interna 2026.</t>
  </si>
  <si>
    <t>Plan de Acción Institucional 2026 y componente correspondiente a comunicaciones.</t>
  </si>
  <si>
    <t>Actas de consejos de redacción y comités primarios.</t>
  </si>
  <si>
    <t>Parrillas y cronogramas de comunicación interna.</t>
  </si>
  <si>
    <t>Correos, piezas, pantallas, publicaciones de intranet y productos internos.</t>
  </si>
  <si>
    <t>Resultados de indicadores de comunicación interna.</t>
  </si>
  <si>
    <r>
      <t xml:space="preserve">La UAESP cuenta con políticas, planes, procedimientos e instrumentos que establecen niveles de autoridad y responsabilidad para la administración de la información institucional. El Programa de Gestión Documental, el PINAR, el Sistema Integrado de Conservación y los procedimientos del proceso de Gestión Documental regulan la producción, recepción, radicación, clasificación, organización, consulta, préstamo, conservación, reconstrucción y disposición de los documentos.
El procedimiento GDO-PC-04 V4 aplica a todos los servidores y contratistas y asigna a los jefes de oficina y subdirectores la responsabilidad de garantizar la organización, integridad, conservación y custodia de los archivos de gestión. El Grupo de Gestión Documental de la Subdirección Administrativa y Financiera orienta a las dependencias y verifica la aplicación de los procedimientos e instrumentos archivísticos.
Durante 2026 se evidenciaron mesas de trabajo, actualización de procedimientos y formatos y seguimiento al PINAR. No obstante, las Tablas de Retención Documental de primera y segunda versión continúan pendientes de culminar su proceso de convalidación ante el Consejo Distrital de Archivos de Bogotá, situación que limita su aplicación integral y la parametrización completa del sistema de gestión documental.
Adicionalmente, la auditoría a la Gestión de Asuntos Legales identificó debilidades en la conformación e integridad de los expedientes contractuales en ORFEO. Se evidenció que una proporción significativa de los contratos vigentes no tenía número de expediente asociado y que algunos documentos disponibles en SECOP II no se encontraban incorporados integralmente en el sistema de gestión documental.
En consecuencia, la entidad cuenta con políticas de operación y responsabilidades formalmente establecidas, pero debe fortalecer su aplicación efectiva, culminar la convalidación de las TRD y asegurar la conformación completa y oportuna de los expedientes.
</t>
    </r>
    <r>
      <rPr>
        <b/>
        <sz val="11"/>
        <color theme="1"/>
        <rFont val="Arial Narrow"/>
        <family val="2"/>
      </rPr>
      <t xml:space="preserve">
Recomendación
</t>
    </r>
    <r>
      <rPr>
        <sz val="11"/>
        <color theme="1"/>
        <rFont val="Arial Narrow"/>
        <family val="2"/>
      </rPr>
      <t xml:space="preserve">
Culminar prioritariamente el proceso de convalidación de las Tablas de Retención Documental ante el Consejo Distrital de Archivos de Bogotá y, una vez obtenido el acto correspondiente, formular e implementar un plan para su aplicación y parametrización en ORFEO.
</t>
    </r>
  </si>
  <si>
    <t>Programa de Gestión Documental vigente.</t>
  </si>
  <si>
    <t>PINAR 2026.</t>
  </si>
  <si>
    <t>GDO-PC-04 V4 Organización de Archivos de Gestión y Central y Conformación de Expedientes Físicos, Híbridos y Electrónicos.</t>
  </si>
  <si>
    <t>Procedimiento vigente de Gestión de Correspondencia.</t>
  </si>
  <si>
    <t>Procedimientos de consulta, préstamo, reconstrucción, actos administrativos y eliminación documenta</t>
  </si>
  <si>
    <t>La UAESP cuenta con políticas, estrategias y procedimientos formalmente establecidos para facilitar la comunicación interna. Durante 2026 se actualizó el proceso mediante el Manual Estratégico y Operativo de la Gestión de las Comunicaciones, el procedimiento GCO-PC-04 V8 Comunicación Interna y la Estrategia de Comunicación Interna 2026.
El procedimiento regula la identificación de necesidades, recepción y análisis de solicitudes, producción de contenidos, revisión con las dependencias, aprobación por parte de la OACRI, divulgación mediante canales institucionales, registro de las publicaciones y seguimiento de las acciones realizadas. Asimismo, establece que la gestión debe finalizar con la evaluación de la efectividad de la comunicación.
La entidad dispone de correo institucional, intranet, pantallas digitales, página web, papel tapiz, espacios físicos, noticiero interno y newsletter. También cuenta con consejos de redacción, comités primarios, formularios de solicitudes, informes mensuales y matrices de seguimiento y aprobación que permiten planear y dejar trazabilidad de las comunicaciones.
Durante el periodo evaluado se evidenciaron piezas, contenidos y campañas de comunicación interna. No obstante, debe fortalecerse la medición de la efectividad, dado que los soportes permiten verificar principalmente la producción y divulgación de contenidos, pero no demuestran de manera suficiente su alcance, comprensión, percepción, oportunidad y utilidad para los colaboradores.
La Oficina de Control Interno tiene programada para el segundo semestre de 2026 la evaluación del Plan Estratégico de Comunicaciones en el marco del PAID, cuyos resultados permitirán valorar independientemente la aplicación y efectividad de los mecanismos implementado</t>
  </si>
  <si>
    <t>Formularios de solicitudes de comunicación interna.</t>
  </si>
  <si>
    <t>GCO-FM-05 Seguimiento y aprobación de acciones periodísticas.</t>
  </si>
  <si>
    <t xml:space="preserve">Documentos del Proceso de Gestión de la Comunicación Estratégica
</t>
  </si>
  <si>
    <t xml:space="preserve">La UAESP cuenta con políticas, procedimientos y controles formalmente establecidos para facilitar la comunicación externa. Durante 2026 actualizó el proceso mediante el Manual Estratégico y Operativo de la Gestión de las Comunicaciones, el procedimiento GCO-PC-05 V4 Comunicación Externa y el procedimiento GCO-PC-06 V3 Administración de Redes Sociales.
El procedimiento de comunicación externa regula la identificación de necesidades, elaboración de estrategias y contenidos, revisión, aprobación, publicación y seguimiento de las acciones comunicativas. La entidad dispone de página web, redes sociales, medios de comunicación, campañas, eventos, boletines, comunicados y productos gráficos y audiovisuales.
Los contenidos requieren revisión y aprobación previa de la OACRI y su ejecución se registra mediante actas de consejos de redacción, parrillas de publicaciones, matrices de seguimiento y aprobación e informes mensuales. Asimismo, existen controles para el uso de imagen, protección de datos personales, administración de credenciales y atención de solicitudes ciudadanas recibidas por redes sociales.
El Manual Estratégico y Operativo aplica a servidores, colaboradores, operadores y terceros que participen directa o indirectamente en actividades de comunicación institucional. También reconoce como grupos de interés a concesionarios, operadores, interventorías y proveedores relacionados con la prestación de los servicios a cargo de la UAESP.
 </t>
  </si>
  <si>
    <t>GCO-PC-05 V4 Comunicación Externa.</t>
  </si>
  <si>
    <t>GCO-PC-06 V3 Administración de Redes Sociales.</t>
  </si>
  <si>
    <t>GCO-PC-01 V6 Relaciones Interinstitucionales y Eventos.</t>
  </si>
  <si>
    <t>GCO-MN-01 V1 Manual Estratégico y Operativo de la Gestión de las Comunicaciones.
GCO-PC-05 V4 Comunicación Externa.
GCO-PC-06 V3 Administración de Redes Sociales.
GCO-PC-01 V6 Relaciones Interinstitucionales y Eventos.</t>
  </si>
  <si>
    <t>Sí, los canales externos que utilizamos son: página web, redes sociales (linkedin, facebook, x, youtube, tiktok, instagram) y se cuenta con los procedimientos para realizar dichas comunicaciones.
• GCO-PC-05 V3 Comunicación externa
• GCO-PC-06 V2 Administración de redes sociales
La UAESP cuenta con canales externos de comunicación formalmente definidos, entre los que se encuentran la página web institucional, Facebook, X, Instagram, LinkedIn, YouTube, TikTok, WhatsApp, medios de comunicación, boletines, comunicados, campañas y eventos.</t>
  </si>
  <si>
    <t xml:space="preserve">Durante 2026 se actualizaron los procedimientos GCO-PC-05 V4 Comunicación Externa y GCO-PC-06 V3 Administración de Redes Sociales, así como el Manual Estratégico y Operativo de la Gestión de las Comunicaciones. Estos documentos establecen las actividades, responsabilidades, controles, canales, tipos de contenidos, mecanismos de solicitud, revisión, aprobación, divulgación y seguimiento.
La selección del canal se realiza considerando el tipo de información y el público objetivo. La página web se utiliza para información institucional y de transparencia; las redes sociales para campañas, contenidos misionales e interacción con la ciudadanía; los medios de comunicación y boletines para noticias y pronunciamientos oficiales; y los eventos para actividades de relacionamiento y pedagogía.
Los procesos pueden solicitar acciones de comunicación mediante el formulario institucional y participar en la identificación de contenidos a través de consejos de redacción y comités primarios. La OACRI centraliza la revisión, aprobación y divulgación de los mensajes.
</t>
  </si>
  <si>
    <t>Parrillas de publicaciones.</t>
  </si>
  <si>
    <t>Formularios de solicitudes de comunicación.</t>
  </si>
  <si>
    <t>Reportes mensuales de redes sociales.</t>
  </si>
  <si>
    <t>Estadísticas de página web y canales digitales.</t>
  </si>
  <si>
    <t>La UAESP cuenta con procedimientos, instructivos, sistemas y responsables definidos para recibir, radicar, clasificar, asignar, analizar y responder la información entrante. Las comunicaciones recibidas mediante la ventanilla, el correo institucional y los demás canales son radicadas en ORFEO; cuando corresponden a PQRSD, se registran y gestionan adicionalmente en el Sistema Distrital para la Gestión de Peticiones Ciudadanas —SDQS/Bogotá Te Escucha—.
El proceso de Servicio al Ciudadano realiza la clasificación y asignación a la dependencia competente, de acuerdo con la tipología y el asunto. Las dependencias responsables analizan la petición, proyectan, revisan y remiten la respuesta, y deben garantizar su registro, notificación y cierre oportuno. La Subdirección Administrativa y Financiera efectúa seguimiento periódico y genera alertas sobre peticiones próximas a vencer o fuera de término.
Manual de servicio a la ciudadanía del Distrito Capital (documento externo)</t>
  </si>
  <si>
    <t>La Oficina de Control Interno realizó la Auditoría de Servicio al Ciudadano, ciclo 1 de 2026, correspondiente al seguimiento del segundo semestre de 2025. La evaluación verificó los sistemas SDQS y ORFEO, los procedimientos institucionales, las matrices de autocontrol y la trazabilidad de las peticiones.
La auditoría reconoció como fortalezas la existencia de SDQS, los informes periódicos de seguimiento, las matrices de conciliación implementadas por algunas dependencias y los mecanismos internos para facilitar el cierre de peticiones.
No obstante, identificó debilidades significativas. Durante el segundo semestre de 2025, el 38,24 % de las peticiones atendidas se respondió fuera del término. También se evidenciaron diferencias entre las cifras reportadas por las fuentes, interoperabilidad unidireccional entre ORFEO y SDQS, reprocesos manuales, retrasos en los traslados internos, demoras en el cierre de peticiones y lineamientos operativos que no estaban formalizados en los procedimientos.
En consecuencia, la entidad cuenta con una ruta formal para el manejo de la información entrante y las respuestas, pero debe fortalecer su aplicación transversal, la articulación entre dependencias, la oportunidad, la conciliación de la información y la interoperabilidad de los sistemas</t>
  </si>
  <si>
    <t>Informe de Auditoría de Servicio al Ciudadano, ciclo 1 de 2026.</t>
  </si>
  <si>
    <t>Memorando 20261100046763 del 7 de abril de 2026.</t>
  </si>
  <si>
    <t>SCI-MN-01 V2 Manual del Servicio a la Ciudadanía.</t>
  </si>
  <si>
    <t>SCI-PC-01 V7 Servicio al Ciudadano.</t>
  </si>
  <si>
    <t>SCI-IN-03 V2 Registro y clasificación de requerimientos en ORFEO y SDQS.</t>
  </si>
  <si>
    <t>Circular 20237000000344 sobre requerimientos de organismos de control.</t>
  </si>
  <si>
    <t>Informes semanales, mensuales y semestrales de PQRSD.</t>
  </si>
  <si>
    <t xml:space="preserve">La OACRI tiene a través de los concejos de redacción se realiza la revisión de las campañas de comunicación externa, como lo evidencian las Actas del concejo de redacción del 2026.
Mediante estos comités se realiza seguimiento de las políticas y procedimientos para la comunicación externa. Igualmente, se cuenta con procedimientos para comunicación interna y comunicación externa.
</t>
  </si>
  <si>
    <t>La UAESP cuenta con el documento de Identificación de Partes Interesadas y Caracterización de Usuarios y con el Modelo de Relacionamiento con la Ciudadanía, mediante los cuales identifica sus grupos de interés y de valor, así como sus necesidades, expectativas, mecanismos de interacción y canales de relacionamiento.
El Manual del Sistema Integrado de Gestión establece la actualización anual del Modelo de Relacionamiento como instrumento para medir el cumplimiento del objetivo relacionado con la satisfacción de las necesidades y expectativas de los grupos de interés y de valor. Asimismo, el Manual Estratégico y Operativo de la Gestión de las Comunicaciones señala que el modelo debe revisarse y actualizarse anualmente.
Durante el primer trimestre de 2026 se adelantaron actividades relacionadas con el modelo y se realizó la Mesa de Relacionamiento con la Ciudadanía como instancia de articulación entre las políticas de transparencia, participación, servicio a la ciudadanía y racionalización de trámites.</t>
  </si>
  <si>
    <t>Identificación de Partes Interesadas y Caracterización de Usuarios vigente.</t>
  </si>
  <si>
    <t>Modelo de Relacionamiento con la Ciudadanía.</t>
  </si>
  <si>
    <t>Manual del Sistema Integrado de Gestión.</t>
  </si>
  <si>
    <t>Manual Estratégico y Operativo de la Gestión de las Comunicaciones.</t>
  </si>
  <si>
    <r>
      <t xml:space="preserve">La UAESP cuenta con el procedimiento SCI-PC-02 V3 Medición de la satisfacción de los servicios, mediante el cual se establecen lineamientos para conocer la percepción de los usuarios y grupos de valor. Los procesos misionales disponen de instrumentos de medición asociados con algunos de sus servicios, actividades territoriales y espacios de participación.
El Informe de Revisión por la Dirección de 2025 consolidó y comparó resultados de percepción de diferentes vigencias. Para las actividades realizadas en el Parque de Innovación Doña Juana se reportaron 161 encuestas entre enero y octubre de 2025, con valoraciones mayoritariamente excelentes y buenas frente a la pertinencia de las actividades, la atención recibida y la imagen de la UAESP.
La Oficina de Control Interno, en la Auditoría de Servicio al Ciudadano de 2026, verificó el cumplimiento mensual de la publicación de los informes de percepción. No obstante, evidenció que las encuestas de satisfacción sobre trámites y servicios se encontraban en proceso de actualización conjunta con las áreas misionales, con el fin de reanudar su aplicación mediante los equipos territoriales.
Asimismo, se evidenció que la aplicación no ha sido homogénea en todos los procesos misionales y que en algunos casos no se realizaron mediciones por cambios en la prestación de los servicios o por insuficiencia de talento humano. La ausencia de encuestas para actividades formalmente retiradas, como las visitas académicas, no constituye incumplimiento, siempre que la decisión se encuentre documentada.
Aunque la entidad cuenta con resultados y análisis parciales, debe fortalecer la trazabilidad entre la percepción de los usuarios, las causas identificadas, las mejoras formuladas, su implementación y la verificación posterior de su efectividad.
</t>
    </r>
    <r>
      <rPr>
        <b/>
        <sz val="11"/>
        <color theme="1"/>
        <rFont val="Arial Narrow"/>
        <family val="2"/>
      </rPr>
      <t xml:space="preserve">Recomendación: </t>
    </r>
    <r>
      <rPr>
        <sz val="11"/>
        <color theme="1"/>
        <rFont val="Arial Narrow"/>
        <family val="2"/>
      </rPr>
      <t>Se recomienda a los procesos misionales fortalecer la aplicación sistemática de encuestas dirigidas a los grupos de valor de la UAESP, con el fin de obtener información oportuna y confiable sobre sus necesidades, percepciones y niveles de satisfacción. Lo anterior permitirá retroalimentar la gestión misional, mejorar la toma de decisiones y contribuir al mejoramiento continuo de los servicios que presta la entidad.</t>
    </r>
  </si>
  <si>
    <t>SCI-PC-02 V3 Medición de la satisfacción de los servicios de la UAESP.</t>
  </si>
  <si>
    <t>Instrumentos de encuesta utilizados por los procesos.</t>
  </si>
  <si>
    <t>Informe de Encuestas del Plan de Gestión Social.</t>
  </si>
  <si>
    <t>Informes mensuales de encuestas de percepción publicados.</t>
  </si>
  <si>
    <t>Auditoría de Servicio al Ciudadano, ciclo 1 de 2026.</t>
  </si>
  <si>
    <t>El proceso de Evaluación y mejora en el marco de MIPG, cuenta con los siguientes documentos que evidencian la aprobación del plan anual de auditoría:
Procedimiento ECM-PC-04 V 14.Auditorías internas
Procedimiento ECM-PC-03 V 11 Planes de mejoramiento
Plan Anual de Auditorías (PAA)
Comité Institucional de Coordinación de Control Interno - CICCI. Através de los comités primarios se reliza  correspondiente seguimiento a sus ejecución.</t>
  </si>
  <si>
    <t xml:space="preserve">El Comité Institucional de Coordinación de Control Interno de la UAESP aprueba anualmente el Plan Anual de Auditoría presentado por el jefe de la Oficina de Control Interno. La versión inicial del PAA 2026 fue aprobada en diciembre de 2025 y su actualización —versión 2— fue presentada, analizada y aprobada en la sesión del CICCI del 25 de marzo de 2026
Durante la vigencia 2026, los informes de auditoría aprobados en el Plan Anual de Auditorías han sido enviados para conocimiento del CICCI.
</t>
  </si>
  <si>
    <t>Acta del CICCI de diciembre de 2025 que aprobó la versión 1 del PAA 2026.</t>
  </si>
  <si>
    <t>Acta 01 del CICCI del 25 de marzo de 2026.</t>
  </si>
  <si>
    <t>Plan Anual de Auditoría 2026, versión 2.</t>
  </si>
  <si>
    <t>Informes de Auditoría 2026</t>
  </si>
  <si>
    <t xml:space="preserve">La Alta Dirección evalúa periódicamente los resultados de las evaluaciones continuas e independientes para concluir acerca de la efectividad del Sistema de Control Interno. Los resultados de auditorías, evaluaciones y seguimientos realizados por la Oficina de Control Interno son comunicados al director general, a los responsables de los procesos evaluados y a todos los integrantes del Comité Institucional de Coordinación de Control Interno.
Mediante el radicado 20261100016203 del 28 de enero de 2026, la OCI comunicó los resultados de la evaluación independiente del estado del Sistema de Control Interno correspondiente al segundo semestre de 2025. La evaluación obtuvo una calificación general del 96 %, frente al 94 % del primer semestre, ubicándose en la categoría de mantenimiento del control.
El informe evaluó los cinco componentes del MECI y concluyó que operan de manera conjunta e integrada, que el Sistema de Control Interno es efectivo para los objetivos evaluados y que la UAESP cuenta con un esquema de líneas de defensa que facilita la toma de decisiones frente al control.
Adicionalmente, la entidad realiza anualmente la Revisión por la Dirección del Sistema Integrado de Gestión, en la cual se analizan los resultados de auditorías, indicadores, riesgos, seguimiento a planes, no conformidades, acciones correctivas, necesidades de recursos y oportunidades de mejora.
</t>
  </si>
  <si>
    <t>El proceso de Evaluación y mejora en el marco de MIPG, cuenta con los siguientes documentos que permiten a la Alta Dirección evaluar periódicamente los resultados de las evaluaciones (continuas e independientes) para verificar la efectividad del SCI:
Resolución 757 de 2023
Procedimiento ECM-PC-04 V 14.Auditorías internas
Procedimiento ECM-PC-03 V 11 Planes de mejoramiento
Plan Anual de Auditorías (PAA)I
Informes de auditoria enviados al CICCI.
Informe de Seguimiento a los Instrumentos Técnicos de Auditoria interna dde junio.</t>
  </si>
  <si>
    <t>Evaluación Independiente del Estado del Sistema de Control Interno, segundo semestre de 2025.</t>
  </si>
  <si>
    <t>Memorando 20261100016203 del 28 de enero de 2026.</t>
  </si>
  <si>
    <t>informes de la OCI envíados a los integrantes del CICCI.</t>
  </si>
  <si>
    <t xml:space="preserve">Mediante el ejercicio de priorización y conocimiento del universo de auditoría  y a  través de la política de gestión de riesgos que tiene la UAESP, se realiza seguimientos de las acciones para evitar que los mismos no se materialicen.Adicionalmente se cuenta con los siguientes documentos que apoyan la evaluación, diseño y operación de los controles.
Manual del Sistema Integrado de Gestión, FormatoFM-12,
Resolución 757 de 2023
Procedimiento ECM-PC-04 V 14.Auditorías internas
Procedimiento ECM-PC-03 V 11 Planes de mejoramiento
Plan Anual de Auditorías (PAA)I
Informes de auditoria enviados al CICCI.
Informe de Seguimiento a los Instrumentos Técnicos de Auditoria interna dde junio.
</t>
  </si>
  <si>
    <r>
      <t xml:space="preserve">La Oficina de Control Interno realiza evaluaciones independientes periódicas de acuerdo con el Plan Anual de Auditoría aprobado por el Comité Institucional de Coordinación de Control Interno. La programación incluye evaluaciones y seguimientos de ley, auditorías basadas en riesgos, informes de seguimiento y actividades de fortalecimiento del Sistema de Control Interno.
Las auditorías basadas en riesgos fueron seleccionadas mediante el análisis y priorización del universo de auditoría, utilizando la herramienta dispuesta por el Departamento Administrativo de la Función Pública y considerando la criticidad de las unidades auditables, los riesgos institucionales, los resultados anteriores, las solicitudes de la Alta Dirección y la disponibilidad de recursos.
El procedimiento ECM-PC-04 V14 Auditorías Internas establece las actividades para planear, ejecutar, comunicar y efectuar seguimiento a los trabajos de auditoría, con el propósito de evaluar la eficacia del Sistema de Control Interno, la gestión de riesgos y los controles institucionales.
Durante 2026, la OCI realizó la auditoría al Mapa y Plan de Manejo de Riesgos y Oportunidades, con corte al 30 de abril. En este ejercicio evaluó los soportes de ejecución y la efectividad de los controles, acciones y oportunidades correspondientes a los 16 procesos de la entidad, que comprendían 57 riesgos, 68 controles, 56 acciones y 4 oportunidades.
La auditoría evidenció cumplimiento general en 13 procesos e identificó debilidades en Servicios Funerarios, Alumbrado Público y Participación Ciudadana, relacionadas con insuficiencia de evidencias, falta de aplicación de listas de chequeo y registros incompletos. Estas situaciones limitaron la posibilidad de validar la eficacia de algunos controles y fueron comunicadas a los responsables y a la Alta Dirección.
En consecuencia, se evidencia que la OCI realiza evaluaciones independientes periódicas con enfoque basado en riesgos y verifica el diseño, operación y efectividad de los controles, formulando recomendaciones y solicitando acciones de mejora cuando se identifican debilidades.
</t>
    </r>
    <r>
      <rPr>
        <b/>
        <sz val="11"/>
        <color theme="1"/>
        <rFont val="Arial Narrow"/>
        <family val="2"/>
      </rPr>
      <t xml:space="preserve">
Recomendación :
</t>
    </r>
    <r>
      <rPr>
        <sz val="11"/>
        <color theme="1"/>
        <rFont val="Arial Narrow"/>
        <family val="2"/>
      </rPr>
      <t xml:space="preserve">
Mantener la formulación y ejecución del Plan Anual de Auditoría con enfoque basado en riesgos, asegurando la actualización anual del universo de auditoría, los criterios de priorización y el ciclo de rotación de las unidades auditables.</t>
    </r>
  </si>
  <si>
    <t>Matriz de priorización del universo de auditoría basada en riesgos.</t>
  </si>
  <si>
    <t>ECM-PC-04 V14 Auditorías Internas.</t>
  </si>
  <si>
    <t>ECM-PC-03 V11 Planes de Mejoramiento.</t>
  </si>
  <si>
    <t>Política de Administración del Riesgo V6.</t>
  </si>
  <si>
    <t>Informe de auditoría al Mapa y Plan de Manejo de Riesgos y Oportunidades, corte 30 de abril de 2026</t>
  </si>
  <si>
    <t>Mediante el ejercicio de priorización y conocimiento del universo de auditoría  y a  través de la política de gestión de riesgos que tiene la UAESP, se realiza seguimientos de las acciones para evitar que los mismos no se materialicen. Este seguimiento se realiza a través de la segunda y tercera líneas de defensa.
Adicionalmente se cuenta con los siguientes documentos que apoyan la evaluación, diseño y operación de los controles.
-Manual del Sistema Integrado de Gestión
-ECM-PC-04 V14 Auditorías internas
-FormatoFM-12, mapa de riesgos.
-Resolución 757 de 2023
-Procedimiento ECM-PC-03 V 11.
-Plan Anual de Auditorías (PAA)
-Comité Institucional de Coordinación de Control Interno - CICCI.</t>
  </si>
  <si>
    <t>La UAESP ha implementado procedimientos de monitoreo continuo como parte de las actividades de la segunda línea de defensa. La Política de Administración del Riesgo establece responsabilidades diferenciadas para la Oficina Asesora de Planeación y para los líderes de procesos transversales, quienes deben orientar a la primera línea y monitorear los riesgos, oportunidades y controles relacionados con los temas de su competencia.
La primera línea realiza seguimiento mensual a los controles, acciones y posibles materializaciones, mientras la segunda línea efectúa trimestralmente la revisión, validación y consolidación de la información y presenta sus resultados ante el Comité Institucional de Gestión y Desempeño.
Durante el primer trimestre de 2026, la OAP elaboró el Informe de Seguimiento de Segunda Línea de Defensa, que incluyó el análisis de los indicadores de gestión, el Mapa y Plan de Manejo de Riesgos y Oportunidades y el Plan de Adecuación y Sostenibilidad de MIPG. El informe contiene resultados, alertas, conclusiones y recomendaciones por proceso y fue socializado a la Alta Dirección como insumo para la toma de decisiones y la adopción de medidas preventivas.
Adicionalmente, el procedimiento de seguimiento al Plan de Acción Institucional establece reportes mensuales, informes trimestrales y presentación de resultados ante el CIGD. Otros procesos con responsabilidades de segunda línea, como la OTIC, efectúan revisiones temáticas sobre riesgos y controles de seguridad de la información.</t>
  </si>
  <si>
    <t>Informe de Seguimiento de Segunda Línea de Defensa, primer trimestre de 2026.</t>
  </si>
  <si>
    <t>DES-PC-03 V12 Formulación y Seguimiento al Plan de Acción Institucional.</t>
  </si>
  <si>
    <t>DES-PC-08 Indicadores de Gestión.</t>
  </si>
  <si>
    <t>Mapa y Plan de Manejo de Riesgos y Oportunidades.</t>
  </si>
  <si>
    <t>Plan de Adecuación y Sostenibilidad de MIPG.</t>
  </si>
  <si>
    <t>Actas del CIGD en las que se presentan los informes.</t>
  </si>
  <si>
    <t>La UAESP considera los resultados de evaluaciones realizadas por organismos externos de control, vigilancia, certificación y otros terceros independientes como fuente complementaria para evaluar sus operaciones, riesgos y controles.
El procedimiento ECM-PC-03 V11 Planes de Mejoramiento establece que los hallazgos, no conformidades, recomendaciones y oportunidades de mejora pueden originarse en auditorías de la Contraloría de Bogotá, la Contraloría General de la República, organismos externos de certificación, el Archivo General de la Nación, la Veeduría Distrital y otras instancias de evaluación. Los procesos responsables deben analizar las causas, formular y ejecutar acciones, mientras la OCI efectúa seguimiento a su cumplimiento.
El Plan Anual de Auditoría 2026 incluye actividades específicas de seguimiento a los planes de mejoramiento con la Contraloría de Bogotá, la Contraloría General de la República, la Veeduría Distrital y el Archivo General de la Nación, así como el acompañamiento a las auditorías y visitas especiales realizadas por organismos externos.
Durante 2026, el CICCI utilizó la información de la Contraloría de Bogotá para ajustar el PAA y evitar duplicidades en la cobertura de auditoría. Asimismo, en la sesión del 26 de junio de 2026 analizó los resultados de la Auditoría Financiera, de Gestión y Resultados 159-2026, el estado de las acciones existentes y aprobó 16 nuevas acciones para atender siete hallazgos.
La OCI también efectuó seguimiento al Plan de Mejoramiento Archivístico suscrito con el Archivo General de la Nación, el cual registró un avance del 86,8 % con corte al 30 de junio de 2026. Adicionalmente, la entidad considera los resultados de auditorías externas del Sistema de Gestión de Calidad y de evaluaciones técnicas efectuadas por terceros</t>
  </si>
  <si>
    <t>PAA 2026, versión 2.</t>
  </si>
  <si>
    <t>Acta 02 del CICCI del 26 de junio de 2026.</t>
  </si>
  <si>
    <t>Informe de Auditoría Financiera, de Gestión y Resultados 159-2026.</t>
  </si>
  <si>
    <t>Plan de Mejoramiento con la Contraloría de Bogotá.</t>
  </si>
  <si>
    <t>Informes y planes de mejoramiento con la Contraloría General de la República.</t>
  </si>
  <si>
    <t>Seguimiento al Plan de Mejoramiento Archivístico del AGN.</t>
  </si>
  <si>
    <t>La UAESP cuenta con mecanismos para analizar los resultados de las evaluaciones independientes, determinar su efecto sobre el Sistema de Control Interno y el logro de los objetivos y definir los cursos de acción requeridos para su mejora.
El procedimiento ECM-PC-04 V14 Auditorías Internas establece que los trabajos de auditoría deben evaluar la eficacia del Sistema de Control Interno, la gestión del riesgo, los controles y el cumplimiento de los objetivos institucionales. Los informes finales contienen los resultados, conclusiones y recomendaciones y son comunicados al representante legal, a los integrantes del Comité Institucional de Coordinación de Control Interno y a los líderes de los procesos evaluados.
El Informe de Evaluación Independiente del Estado del Sistema de Control Interno correspondiente al segundo semestre de 2025 obtuvo una calificación del 96 % y concluyó que los componentes del MECI operan de manera integrada y que el sistema es efectivo para los objetivos evaluados. Asimismo, identificó seis elementos susceptibles de mejora.
A partir de los incumplimientos, no conformidades y oportunidades de mejora identificados, los responsables de los procesos deben analizar las causas y formular acciones correctivas o de mejora, de conformidad con el procedimiento ECM-PC-03 V11 Planes de Mejoramiento. La primera línea ejecuta las acciones y aporta las evidencias, mientras la OCI realiza seguimiento independiente a su cumplimiento y efectividad.
Los resultados y acciones derivadas de auditorías internas, externas e informes de ley son consolidados en los diferentes planes de mejoramiento y se comunican periódicamente a los responsables y a la Alta Dirección. También son considerados en la evaluación semestral del SCI y en la Revisión por la Dirección.
En consecuencia, la entidad cuenta con un ciclo implementado que permite transformar los resultados de las evaluaciones independientes en decisiones y acciones orientadas al fortalecimiento de los controles,</t>
  </si>
  <si>
    <t>Informes de auditoría, evaluación y seguimiento de la OCI.</t>
  </si>
  <si>
    <t>Comunicaciones de los informes al representante legal y al CICCI.</t>
  </si>
  <si>
    <t>Informe de Evaluación Independiente del SCI, segundo semestre de 2025.</t>
  </si>
  <si>
    <t>Informe de auditoría al Mapa y Plan de Manejo de Riesgos y Oportunidades de 2026.</t>
  </si>
  <si>
    <t>Plan de Mejoramiento Interno vigente.</t>
  </si>
  <si>
    <t xml:space="preserve">La entidad cuenta con un ciclo implementado que permite transformar los resultados de las evaluaciones independientes en decisiones y acciones orientadas al fortalecimiento de los controles, la gestión del riesgo y el cumplimiento de los objetivos institucionales.
ECM-PC-04 V14 Auditorías Internas.
ECM-PC-03 V11 Planes de Mejoramiento.
</t>
  </si>
  <si>
    <t>La UAESP recibe, publica, comunica y hace seguimiento a los informes emitidos por organismos externos de control, vigilancia y certificación, entre ellos la Contraloría de Bogotá, la Contraloría General de la República, la Veeduría Distrital, el Archivo General de la Nación y entes certificadores de calidad.</t>
  </si>
  <si>
    <t>El procedimiento ECM-PC-03 V11 Planes de Mejoramiento establece que los hallazgos, no conformidades, recomendaciones y oportunidades de mejora derivados de auditorías externas deben ser analizados por los procesos responsables, dando lugar a acciones correctivas o de mejora sujetas a seguimiento por la Oficina de Control Interno.
Durante 2026, el CICCI analizó los resultados de la Auditoría Financiera, de Gestión y Resultados 159-2026 de la Contraloría de Bogotá, conoció el estado de las acciones vigentes y aprobó 16 nuevas acciones para atender siete hallazgos. Asimismo, la OCI realizó seguimiento al Plan de Mejoramiento Archivístico del AGN, el cual registró un cumplimiento del 86,8 % con corte al 30 de junio de 2026, identificando acciones cerradas, terminadas pendientes de pronunciamiento e incumplidas.
Los resultados de las auditorías externas también son considerados en la Revisión por la Dirección, en la cual se identifican oportunidades de mejora, necesidades de cambio y requerimientos de recursos.</t>
  </si>
  <si>
    <t>Informes publicados de organismos externos.</t>
  </si>
  <si>
    <t>Planes e informes de la Contraloría General de la República.</t>
  </si>
  <si>
    <t>Plan de Mejoramiento de la Veeduría Distrital.</t>
  </si>
  <si>
    <t>Seguimiento al PMA del Archivo General de la Nación.</t>
  </si>
  <si>
    <t>Informe de la visita del AGN de abril de 2026, una vez recibido.</t>
  </si>
  <si>
    <t>Informes de auditoría y certificación de Calidad.</t>
  </si>
  <si>
    <t>La UAESP cuenta con políticas, manuales y procedimientos que establecen a quién deben reportarse las deficiencias identificadas como resultado del monitoreo continuo.
-Revisión por la Dirección 
-Resolución 757 de 2023
-ECM-PC-03 V11 Planes de mejoramiento
-ECM-PC-04 V14 Auditorías internas
 -Comité Institucional de Coordinación de Control Interno - CICCI
- Manual SIG</t>
  </si>
  <si>
    <r>
      <t xml:space="preserve">El Manual del Sistema Integrado de Gestión define los roles de las líneas de defensa y contiene una matriz de reportes de segunda línea en la que se identifica la dependencia responsable de elaborar y comunicar la información, el destinatario, el mecanismo y la periodicidad. Los resultados de los monitoreos sobre riesgos, indicadores, planes y políticas institucionales son comunicados a los líderes responsables y presentados al Comité Institucional de Gestión y Desempeño.
La Política de Administración del Riesgo establece rutas diferenciadas para comunicar debilidades y materializaciones. Los riesgos de gestión, fiscales, de desastres o de seguridad de la información deben comunicarse al líder del proceso para su revisión y tratamiento, mientras las situaciones relacionadas con integridad pública deben informarse a la Oficina de Control Disciplinario Interno, al representante legal y al Comité Institucional de Coordinación de Control Interno.
El procedimiento ECM-PC-03 V11 Planes de Mejoramiento regula la formulación, reporte y seguimiento de las acciones derivadas de desviaciones identificadas mediante autocontrol, auditorías y otras evaluaciones. Por su parte, el procedimiento ECM-PC-04 V14 establece que las deficiencias identificadas por la OCI deben comunicarse al líder evaluado, al representante legal y a los integrantes del CICCI.
La Revisión por la Dirección permite presentar al CIGD los resultados de seguimiento, auditorías, no conformidades, riesgos y oportunidades, con el fin de tomar decisiones y determinar acciones de mejora.
En consecuencia, la entidad dispone de rutas de reporte formalmente establecidas e implementadas para escalar las deficiencias a los responsables y a las instancias competentes, de acuerdo con su origen, naturaleza y nivel de importancia.
</t>
    </r>
    <r>
      <rPr>
        <b/>
        <sz val="11"/>
        <color theme="1"/>
        <rFont val="Arial Narrow"/>
        <family val="2"/>
      </rPr>
      <t xml:space="preserve">
Recomendación:
</t>
    </r>
    <r>
      <rPr>
        <sz val="11"/>
        <color theme="1"/>
        <rFont val="Arial Narrow"/>
        <family val="2"/>
      </rPr>
      <t xml:space="preserve">
Mantener las rutas de reporte existentes y consolidarlas en una matriz institucional de escalamiento de deficiencias, de forma que servidores y contratistas puedan identificar claramente a quién informar cada situación.</t>
    </r>
  </si>
  <si>
    <t>DES-MN-01 V7 Manual del Sistema Integrado de Gestión.</t>
  </si>
  <si>
    <t>Procedimiento de Revisión por la Dirección.</t>
  </si>
  <si>
    <t>Informe de Seguimiento de Segunda Línea, primer trimestre de 2026.</t>
  </si>
  <si>
    <t>La UAESP cuenta con mecanismos mediante los cuales la Alta Dirección conoce y realiza seguimiento a las acciones correctivas y de mejora derivadas de las deficiencias comunicadas sobre el Sistema de Control Interno.
-Revisión por la Dirección 
-Resolución 757de 2023
-ECM-PC-03 V11 Planes de mejoramiento
-ECM-PC-04 V14 Auditorías internas
 -Comité Institucional de Coordinación de Control Interno - CICCI</t>
  </si>
  <si>
    <t>El procedimiento ECM-PC-03 V11 Planes de Mejoramiento establece las responsabilidades para la formulación, ejecución, reporte, seguimiento y evaluación de las acciones. Los líderes de los procesos son responsables de ejecutar las acciones y aportar las evidencias, mientras la Oficina de Control Interno realiza seguimiento independiente a su cumplimiento y efectividad y comunica los resultados a la Alta Dirección y a los integrantes del CICCI.
En la sesión del CICCI del 26 de junio de 2026 se presentó el estado del Plan de Mejoramiento con la Contraloría de Bogotá. El Comité conoció el cierre definitivo de 66 acciones cumplidas y efectivas, el seguimiento a 20 acciones programadas para 2026 y una acción pendiente de pronunciamiento externo. Asimismo, revisó y aprobó 16 acciones nuevas para atender siete hallazgos de la Auditoría 159-2026, definiendo responsables y fechas de ejecución.
En relación con el Plan de Mejoramiento Institucional, el seguimiento con corte al 30 de abril de 2026 registró 125 acciones: 87 en proceso, 24 sin tratamiento, 12 cumplidas y dos incumplidas. De las 14 acciones con vencimiento al corte, 12 se cumplieron y dos presentaron incumplimiento.
La Revisión por la Dirección también incorpora el seguimiento a las acciones de revisiones anteriores y define nuevas oportunidades de mejora con responsables y fechas de cumplimiento.
No obstante, aunque los resultados del PMI son comunicados a la Alta Dirección, debe fortalecerse la evidencia de las decisiones adoptadas por el CICCI frente a las acciones incumplidas o sin tratamiento, incluyendo responsables, plazos de regularización, necesidades de recursos y seguimiento posterior.
En consecuencia, la entidad cuenta con mecanismos implementados de seguimiento, pero requiere fortalecer la trazabilidad de las decisiones de la Alta Dirección sobre las desviaciones identificadas.</t>
  </si>
  <si>
    <t>Informe Ejecutivo de seguimiento al PMI, corte 30 de abril de 2026.</t>
  </si>
  <si>
    <t>Matriz vigente del Plan de Mejoramiento Institucional.</t>
  </si>
  <si>
    <t>Memorando 20261100039653 sobre la nueva herramienta de seguimiento.</t>
  </si>
  <si>
    <t>La UAESP dispone de mecanismos para controlar y evaluar las actividades ejecutadas por contratistas, operadores, concesionarios e interventorías. Estos mecanismos comprenden la identificación de riesgos en la etapa de planeación contractual, la definición de garantías, la designación de supervisión o interventoría, la presentación de informes de ejecución, el control de pagos y la aplicación de medidas frente a posibles incumplimientos.
Se cuenta con el Comitè de Contrataciòn, que durante el primer semestre de 2026, se reuniò periòdicamente para tratar temas de procesos y/o servicios tercerizados.</t>
  </si>
  <si>
    <t>GAL-MN-01 V14 Manual de Contratación.</t>
  </si>
  <si>
    <t>GAL-MN-04 V3 Manual de Supervisión e Interventoría.</t>
  </si>
  <si>
    <t>Estudios previos y matrices de riesgos contractuales.</t>
  </si>
  <si>
    <t>Garantías y mecanismos de cobertura.</t>
  </si>
  <si>
    <t>Actas del Comité de Contratación.</t>
  </si>
  <si>
    <t>Informes de supervisión e interventoría.</t>
  </si>
  <si>
    <t>Informes de operación de servicios misionales.</t>
  </si>
  <si>
    <r>
      <t xml:space="preserve">La UAESP cuenta con mecanismos para evaluar los procesos y servicios tercerizados durante las etapas precontractual, contractual y poscontractual. El Manual de Contratación exige la elaboración de estudios previos, análisis del sector, documentos técnicos, identificación y distribución de riesgos y definición de garantías.
El Manual de Supervisión e Interventoría establece actividades de seguimiento técnico, administrativo, financiero, contable y jurídico. La interventoría se utiliza cuando el contrato requiere conocimientos especializados o cuando su complejidad o extensión lo justifica. Los supervisores e interventores deben verificar el cumplimiento del objeto, calidad de los bienes y servicios, obligaciones contractuales, garantías, pagos, modificaciones, informes y publicación de información.
Los servicios misionales de mayor complejidad, como alumbrado público y disposición final, cuentan con esquemas de interventoría y supervisión específicos. Asimismo, la OCI realizó durante 2026 una auditoría basada en riesgos a la gestión contractual.
No obstante, la auditoría identificó debilidades en la publicación de información, gestión de expedientes, garantías, liquidación y capacidades de los supervisores. Adicionalmente, no se evidencia un inventario consolidado que clasifique todos los procesos y servicios tercerizados según su criticidad y nivel de riesgo y que establezca una intensidad, frecuencia y alcance diferencial para su evaluación.
En consecuencia, la entidad cuenta con controles y mecanismos de evaluación sobre terceros, pero requiere fortalecer su aplicación mediante un enfoque institucional explícitamente basado en riesgos.
</t>
    </r>
    <r>
      <rPr>
        <b/>
        <sz val="11"/>
        <color theme="1"/>
        <rFont val="Arial Narrow"/>
        <family val="2"/>
      </rPr>
      <t xml:space="preserve">
Recomendación:
</t>
    </r>
    <r>
      <rPr>
        <sz val="11"/>
        <color theme="1"/>
        <rFont val="Arial Narrow"/>
        <family val="2"/>
      </rPr>
      <t>Formular e implementar oportunamente las acciones de mejora derivadas del Informe de Auditoría a la Gestión de Asuntos Legales, priorizando las situaciones relacionadas con la gestión de expedientes contractuales, publicación de información, administración de garantías, supervisión, cierre y liquidación de contratos. Las acciones deberán sustentarse en un análisis de causas, contar con responsables, actividades, productos verificables, indicadores y plazos definidos, e incorporarse en el Plan de Mejoramiento Institucional para su seguimiento. Asimismo, deberá evaluarse posteriormente su efectividad, con el fin de comprobar que las causas identificadas fueron corregidas, prevenir la recurrencia de las deficiencias y fortalecer la gestión de los procesos y servicios tercerizados.</t>
    </r>
  </si>
  <si>
    <t>La UAESP cuenta con mecanismos para recibir, clasificar, consolidar y analizar con mecanismos para recibir, clasificar, consolidar y analizar la información suministrada por la ciudadanía mediante las PQRSD, encuestas de satisfacción, espacios de participación y otros canales de relacionamiento. Además, el proceso de Servicio al Ciudadano elabora informes periódicos y la Oficina de Control Interno realiza evaluaciones independientes sobre la gestión de las peticiones.</t>
  </si>
  <si>
    <t>La Oficina de Control Interno, en el marco del Plan Anual de Auditoría, evalúa semestralmente la gestión del Servicio al Ciudadano. En la auditoría comunicada en abril de 2026 se analizaron los registros de SDQS y ORFEO, los procedimientos, indicadores, tutelas, encuestas y resultados por dependencia.
La evaluación evidenció que durante el segundo semestre de 2025 el 38,24 % de las peticiones atendidas fue respondido fuera de término. Asimismo, se identificaron peticiones vencidas, diferencias entre fuentes de información, reprocesos entre SDQS y ORFEO, demoras en los traslados internos y dificultades de coordinación con operadores.
A partir de estos resultados, la OCI recomendó optimizar la interoperabilidad de los sistemas, actualizar los procedimientos e instructivos, fortalecer la articulación entre dependencias, mejorar los lineamientos contractuales para operadores, realizar capacitaciones y actualizar el catálogo de trámites y servicios.
No obstante, debe fortalecerse la trazabilidad entre las tendencias identificadas en las PQRSD, los riesgos y controles afectados, las acciones de mejora adoptadas y la evaluación posterior de su efectividad.
En consecuencia, la entidad evalúa la información suministrada por usuarios y partes interesadas y genera cursos de acción, pero persisten debilidades relevantes en la oportunidad de las respuestas y en la demostración del impacto de las mejoras sobre el Sistema de Control Interno</t>
  </si>
  <si>
    <t>SCI-PC-01 Servicio al Ciudadano.</t>
  </si>
  <si>
    <t>SCI-IN-03 Registro y clasificación en ORFEO y SDQS.</t>
  </si>
  <si>
    <t>SCI-PC-02 Medición de satisfacción.</t>
  </si>
  <si>
    <t>Informes mensuales de PQRSD.</t>
  </si>
  <si>
    <t>Auditoría de Servicio al Ciudadano comunicada en abril de 2026.</t>
  </si>
  <si>
    <t>Reportes de SDQS y ORFEO.</t>
  </si>
  <si>
    <t>La UAESP cuenta con mecanismos parciales para verificar el avance de las acciones de mejora derivadas de ejercicios de autoevaluación. El procedimiento de Revisión por la Dirección establece que la Oficina Asesora de Planeación debe revisar, por lo menos una vez al año, la formulación de las acciones originadas en este ejercicio y efectuar requerimientos a los procesos cuando no se evidencie su formulación.</t>
  </si>
  <si>
    <t xml:space="preserve">El Informe de Revisión por la Dirección de 2025 incluyó el estado de avance de las oportunidades identificadas en la revisión anterior, presentando información por proceso sobre las actividades adelantadas. Esto evidencia la operación de un seguimiento efectuado por la segunda línea de defensa.
No obstante, el procedimiento ECM-PC-03 V11 Planes de Mejoramiento asigna a la OAP principalmente la orientación metodológica y el análisis de coherencia de la formulación, mientras que la verificación del cumplimiento, la determinación del estado y el cierre de las acciones se encuentran asignados a la Oficina de Control Interno como tercera línea.
El seguimiento independiente al PMI con corte al 30 de abril de 2026 identificó 24 acciones sin tratamiento, de las cuales 22 correspondían a oportunidades derivadas de la Revisión por la Dirección. Esta situación evidencia que la verificación de la segunda línea no aseguró que la totalidad de las oportunidades fueran analizadas, formalizadas y sometidas a seguimiento por los procesos responsables.
En consecuencia, la entidad presenta avances en la revisión de acciones provenientes de autoevaluaciones, pero debe fortalecer el diseño y la ejecución del seguimiento de segunda línea,
</t>
  </si>
  <si>
    <t>DES-PC-14 V1 Revisión por la Dirección.</t>
  </si>
  <si>
    <t>Acta del CIGD en la que se presentaron sus resultados.</t>
  </si>
  <si>
    <t>Matriz de oportunidades derivadas de la Revisión por la Dirección.</t>
  </si>
  <si>
    <t>La UAESP cuenta con el procedimiento ECM-PC-03 V11 Planes de Mejoramiento, el cual establece que la evaluación de la efectividad de las acciones corresponde a la Oficina de Control Interno, como tercera línea de defensa, y debe efectuarse de acuerdo con la programación del Plan Anual de Auditoría.
En los Comités Institucionales de Gestión y Desempeño se realiza revisión y seguimiento de los planes.
El proceso de Evaluación y Mejora realiza seguimiento en el Comité Institucional de Coordinación de Control Interno - CICCI.</t>
  </si>
  <si>
    <t xml:space="preserve">Durante 2026, la OCI efectuó seguimiento al Plan de Mejoramiento Interno con corte al 30 de abril, consolidando 125 acciones, de las cuales 87 se encontraban en proceso, 24 sin tratamiento, 12 cumplidas y dos incumplidas.
En relación con los planes externos, el procedimiento establece que la evaluación de efectividad y el cierre corresponden al organismo que originó el plan, mientras la OCI verifica internamente el cumplimiento. En junio de 2026 se informó al CICCI que la Contraloría de Bogotá había cerrado 66 acciones como cumplidas y efectivas, mantenía 20 en seguimiento y una pendiente de pronunciamiento.
Asimismo, la OCI realizó seguimiento al Plan de Mejoramiento Archivístico del AGN, verificando las evidencias aportadas y diferenciando las acciones terminadas, incumplidas y pendientes de evaluación y cierre por parte del organismo externo.
No obstante, debe fortalecerse la metodología y documentación de la evaluación de efectividad de las acciones internas, diferenciándola del cumplimiento de las actividades y demostrando, para cada cierre, que la causa fue eliminada o mitigada y que la situación no volvió a presentarse.
</t>
  </si>
  <si>
    <t>Informe de seguimiento al PMI, corte 30 de abril de 2026.</t>
  </si>
  <si>
    <t>Matriz detallada del PMI con análisis de las acciones cerradas.</t>
  </si>
  <si>
    <t>Informes de evaluación de efectividad de la OCI.</t>
  </si>
  <si>
    <t>La UAESP cuenta con mecanismos formalmente establecidos para reportar las deficiencias de control interno a los responsables de los procesos y a los niveles jerárquicos superiores competentes para adoptar las acciones correspondientes.</t>
  </si>
  <si>
    <r>
      <t xml:space="preserve">El procedimiento ECM-PC-04 V14 Auditorías Internas establece que los informes finales deben ser comunicados al representante legal, a los integrantes del Comité Institucional de Coordinación de Control Interno y al líder del proceso o dependencia auditada. En la misma comunicación se solicita la formulación de las acciones correctivas o de mejora conforme con el procedimiento ECM-PC-03 V11 Planes de Mejoramiento.
Los responsables de los procesos deben analizar las causas, formular las acciones, establecer responsables y plazos, ejecutarlas y reportar evidencias verificables. La Oficina de Control Interno efectúa seguimiento independiente y comunica sus resultados a los responsables y a la Alta Dirección.
Durante enero de 2026, la OCI comunicó al director general, a los subdirectores y a los jefes de oficina los resultados de la evaluación independiente del Sistema de Control Interno correspondiente al segundo semestre de 2025, incluyendo las oportunidades de mejora identificadas.
Asimismo, en la sesión del CICCI del 26 de junio de 2026, la Alta Dirección conoció el estado del Plan de Mejoramiento con la Contraloría de Bogotá y aprobó 16 acciones para atender siete hallazgos, con dependencias responsables y fechas de ejecución.
En consecuencia, se evidencia que las deficiencias de control interno son comunicadas a los responsables directos y a los niveles jerárquicos superiores, y que esta información es utilizada para definir y aprobar acciones orientadas a su tratamiento.
</t>
    </r>
    <r>
      <rPr>
        <b/>
        <sz val="11"/>
        <color theme="1"/>
        <rFont val="Arial Narrow"/>
        <family val="2"/>
      </rPr>
      <t>Recomendación de mantenimiento</t>
    </r>
    <r>
      <rPr>
        <sz val="11"/>
        <color theme="1"/>
        <rFont val="Arial Narrow"/>
        <family val="2"/>
      </rPr>
      <t xml:space="preserve">
Mantener la comunicación formal de los resultados de auditoría, evaluación y seguimiento a los líderes responsables, al representante legal y al CICCI, y fortalecer la trazabilidad entre cada deficiencia significativa reportada y las decisiones adoptadas por el nivel jerárquico superior.</t>
    </r>
  </si>
  <si>
    <t>Memorandos de comunicación de los informes finales de auditoría.</t>
  </si>
  <si>
    <t>1  DE ENERO A 30 DE JUNIO DE 2026</t>
  </si>
  <si>
    <t>FORTALEZAS
1. Cultura institucional de integridad y mecanismos para gestionar conflictos de interés.
La UAESP cuenta con un Código de Integridad formalmente adoptado, el Programa de Integridad 2025-2028, un cronograma anual de actividades y el Equipo de Gestores y Gestoras de Integridad para la vigencia 2026-2027. Asimismo, se encuentran implementados mecanismos para la declaración y gestión de conflictos de interés mediante SIDEAP y SIGEP, acompañados de actividades de socialización y controles previos a la posesión de los servidores públicos.
2. Mecanismos para prevenir y reportar situaciones irregulares.
La entidad dispone de canales institucionales para la recepción de denuncias relacionadas con posibles actos de corrupción, inhabilidades, incompatibilidades y conflictos de interés. Además, cuenta con controles para prevenir el uso inadecuado o la divulgación no autorizada de información, entre ellos el inventario de activos de información, controles de acceso, cifrado, acuerdos de confidencialidad y mesas técnicas de seguridad digital.
3. Funcionamiento del Comité Institucional de Coordinación de Control Interno.
El CICCI se encuentra formalmente constituido y opera conforme con las funciones y periodicidad establecidas. Durante 2026 se programaron tres sesiones ordinarias y se evidenció el análisis de asuntos relacionados con la gestión del riesgo, el Plan Anual de Auditoría, los planes de mejoramiento y el fortalecimiento del Sistema de Control Interno.
4. Esquema de líneas de defensa y líneas de reporte formalmente documentados.
La Resolución 757 de 2023, el Manual del Sistema Integrado de Gestión y la Política de Administración del Riesgo definen las responsabilidades de la Línea Estratégica y de la primera, segunda y tercera líneas de defensa. El Manual del SIG también establece los temas objeto de reporte, las dependencias responsables, los destinatarios, los medios y las periodicidades, facilitando que la información relevante sea conocida por el CIGD, el CICCI y las demás instancias competentes.
5. Direccionamiento estratégico y administración del riesgo articulados.
La entidad cuenta con mecanismos para evaluar periódicamente su planeación estratégica y operativa mediante el seguimiento al Plan de Acción Institucional, al Plan Estratégico Institucional, a los indicadores y a la ejecución física y financiera. La Política de Administración del Riesgo establece niveles de apetito, tolerancia y capacidad, así como responsabilidades para el monitoreo y tratamiento de los riesgos institucionales.
6. Gestión estratégica del talento humano durante el ciclo de vida del servidor.
La UAESP dispone de planes, procedimientos, indicadores e informes para evaluar el ingreso, permanencia, bienestar, capacitación y retiro del personal. Se destacan los controles para la verificación de requisitos de vinculación, el seguimiento a vacantes, las actividades de bienestar y clima organizacional, la evaluación del Plan Institucional de Capacitación y los controles establecidos para la entrega del cargo, cancelación de accesos y liquidación de prestaciones al momento del retiro.
7. Supervisión de contratistas y evaluación de sus productos y servicios.
El Manual de Contratación y el Manual de Supervisión e Interventoría establecen mecanismos para verificar el cumplimiento de las obligaciones, la calidad de los productos y servicios, los pagos autorizados y las actuaciones frente a posibles incumplimientos. Estos controles se complementan con las auditorías realizadas por la OCI a la gestión contractual.
8. Supervisión activa del Sistema de Control Interno por la Alta Dirección.
La Alta Dirección recibe y analiza información financiera, presupuestal, estratégica, de riesgos y de desempeño institucional. Asimismo, el CICCI aprobó el Plan Anual de Auditoría 2026 y su modificación, y la OCI alcanzó un cumplimiento del 98,2 % frente a la programación del primer semestre, comunicando los resultados a los responsables y a las instancias competentes.
DEBILIDAD
1. Debilidades en la trazabilidad del monitoreo de los riesgos para la integridad pública.
Aunque la Política de Administración del Riesgo se encuentra actualizada y durante el periodo evaluado no se reportaron materializaciones de riesgos para la integridad pública, la auditoría identificó debilidades en la completitud, calidad y trazabilidad de algunos soportes aportados por los procesos. Esta situación limitó la validación de la ejecución y eficacia de determinados controles. Adicionalmente, se requiere complementar la formalización de los roles específicos del SIGRIP, la función de cumplimiento, la periodicidad y contenido de su evaluación, los criterios de auditoría y su proceso de mejora continua.
RECOMENDACIONES DE MANTENIMIENTO
1. Mantener el fortalecimiento de la cultura de integridad, dando continuidad al Programa de Integridad, al funcionamiento del equipo de gestores, a las actividades de apropiación de los valores institucionales y a la verificación de las declaraciones de conflictos de interés en SIDEAP y SIGEP.
2. Mantener la operación periódica del CICCI, asegurando la documentación de los análisis, decisiones, responsables, plazos y seguimiento a los compromisos, así como su articulación con el CIGD en asuntos relacionados con riesgos, desempeño institucional y mejoramiento.
3. Mantener actualizado y armonizado el Esquema de Líneas de Defensa, garantizando la coherencia entre la Resolución 757 de 2023, el Manual del SIG y la Política de Administración del Riesgo, y conservando la trazabilidad de los reportes presentados por cada línea.
4. Mantener el seguimiento a la planeación estratégica y operativa, documentando las alertas, causas de desviación, necesidades de recursos, decisiones adoptadas y resultados obtenidos.
5. Mantener la evaluación integral del ciclo de vida del servidor público, conservando los controles sobre vinculación, permanencia, capacitación, bienestar y retiro, así como el análisis de sus resultados para mejorar la gestión del talento humano.
6. Mantener la aprobación y seguimiento del Plan Anual de Auditoría, procurando conservar el enfoque basado en riesgos, la comunicación de los resultados a la Alta Dirección y el seguimiento a las acciones derivadas de las evaluaciones independiente.</t>
  </si>
  <si>
    <t xml:space="preserve">
FORTALEZAS
1. Articulación entre los objetivos estratégicos y operativos.
La UAESP cuenta con mecanismos formalmente establecidos para relacionar el Plan Distrital de Desarrollo, el Plan Estratégico Institucional, los proyectos de inversión y el Plan de Acción Institucional. Los objetivos se desarrollan mediante metas, indicadores, actividades, responsables, cronogramas y recursos, permitiendo evaluar los riesgos que pueden afectar su cumplimiento.
2. Evaluación periódica de los objetivos institucionales.
La Alta Dirección analiza el avance y pertinencia de los objetivos mediante el seguimiento al PEI, al PAI, a los proyectos de inversión, a los indicadores de gestión y a la Revisión por la Dirección. Los resultados son presentados ante el Comité Institucional de Gestión y Desempeño para la toma de decisiones y la determinación de acciones de mejora.
3. Política de Administración del Riesgo formalmente adoptada y de alcance institucional.
La entidad cuenta con una Política de Administración del Riesgo actualizada conforme con la Guía para la Gestión Integral del Riesgo, versión 7 del DAFP. Su alcance comprende los procesos, dependencias, sedes, productos, servicios y diferentes tipologías de riesgo, y define responsabilidades para la Línea Estratégica y las tres líneas de defensa.
4. Identificación y monitoreo integral de los riesgos institucionales.
Durante 2026 se evidenció la identificación, valoración y seguimiento de riesgos de gestión, fiscales, asociados a la integridad pública, de seguridad de la información y de desastres. La primera línea efectuó el monitoreo mensual, la Oficina Asesora de Planeación consolidó la información trimestral y la Oficina de Control Interno realizó la evaluación independiente correspondiente.
5. Gestión de riesgos para la integridad pública.
La entidad identificó riesgos relacionados con soborno, fraude, conflictos de interés y LA/FT/FP en procesos estratégicos, misionales, de apoyo y evaluación. Estos riesgos fueron incluidos en el Mapa y Plan de Manejo de Riesgos y Oportunidades y objeto de seguimiento por las líneas de defensa. La política establece apetito de riesgo cero para esta tipología.
6. Monitoreo periódico de riesgos por parte de la Alta Dirección.
Los resultados del seguimiento institucional fueron presentados ante el CIGD, instancia en la que se analizaron riesgos, controles, acciones y posibles materializaciones. Durante el periodo evaluado no se reportaron materializaciones de riesgos de gestión, integridad pública, fiscales, de desastres o de seguridad de la información.
7. Lineamientos para actuar frente a materializaciones.
La Política de Administración del Riesgo establece cursos de acción diferenciados según la tipología del riesgo, incluyendo análisis de causas, activación de contingencias, formulación de acciones, revisión de controles, actualización del mapa y comunicación a las instancias competentes. Aunque no fue necesario aplicar estos protocolos durante el periodo, su diseño se encuentra formalmente establecido.
8. Consideración de riesgos asociados a terceros y operaciones críticas.
La gestión institucional contempla riesgos vinculados con contratistas, operadores, concesiones, proveedores tecnológicos y servicios misionales. Estos asuntos son monitoreados mediante matrices de riesgos, supervisión e interventoría, informes de segunda línea y auditorías independientes a la gestión contractual.
9. Evaluación de fallas en los controles.
La segunda y tercera líneas de defensa evalúan el diseño, ejecución y evidencia de los controles. Durante el primer semestre de 2026 se identificaron debilidades focalizadas en procesos como Servicios Funerarios, Alumbrado Público y Participación Ciudadana, frente a las cuales se solicitaron acciones correctivas y de mejora.
10. Monitoreo de cambios internos y externos.
La Política de Administración del Riesgo, la Revisión por la Dirección y los informes de seguimiento contemplan el análisis de cambios del contexto que puedan originar riesgos nuevos o modificar los existentes. También se evidenciaron análisis específicos frente a cambios operativos, disponibilidad de recursos, talento humano y prestación de servicios misionales.
DEBILIDADES
1. Debilidades en la calidad y consistencia de la información presentada por la primera línea.
Se identificaron inconsistencias relacionadas con la oportunidad, suficiencia, coherencia y trazabilidad de algunos reportes y evidencias aportados por los procesos. Estas situaciones limitan la confiabilidad del análisis institucional y la validación de la ejecución y eficacia de determinados controles.
RECOMENDACIONES DE MANTENIMIENTO
1. Mantener la articulación entre los instrumentos de planeación, asegurando que los objetivos estratégicos y operativos continúen asociados con metas, indicadores, responsables, recursos y cronogramas verificables.
2. Mantener actualizada la Política de Administración del Riesgo, revisándola periódicamente frente a cambios normativos, institucionales, tecnológicos, operativos y del entorno que puedan modificar el perfil de riesgos de la entidad.
3. Mantener el monitoreo mensual, trimestral e independiente de los riesgos, conservando la participación de la primera, segunda y tercera líneas y la presentación periódica de los resultados ante el CIGD y el CICCI, según corresponda.
4. Mantener la identificación y seguimiento de los riesgos para la integridad pública, garantizando la aplicación del apetito de riesgo cero y la actualización de los controles relacionados con soborno, fraude, conflictos de interés y LA/FT/FP.
5. Mantener los protocolos definidos para atender materializaciones, verificando periódicamente su vigencia mediante ejercicios de revisión, simulación o análisis de casos, considerando que durante el periodo evaluado no fue necesario activarlos.
6. Mantener el análisis de los riesgos asociados a terceros y servicios críticos, incluyendo contratistas, operadores, concesiones, interventorías y proveedores tecnológicos, y articulando sus resultados con la supervisión contractual, los mapas de riesgos y el Plan Anual de Auditoría.
7. Mantener la evaluación de los cambios internos y externos, documentando su efecto sobre los objetivos, riesgos, controles, recursos, procesos y estructura institucional.</t>
  </si>
  <si>
    <t>FORTALEZAS
1. Segregación de funciones y asignación de responsabilidades.
La entidad cuenta con una estructura organizacional, un Manual Específico de Funciones y Competencias Laborales, procedimientos y manuales operativos que establecen responsables, niveles de autoridad, puntos de control y registros. En diferentes operaciones se evidencia la separación entre quienes elaboran, verifican, autorizan y aprueban las actuaciones institucionales.
2. Integración de los sistemas de gestión con la estructura de control.
El Sistema Integrado de Gestión se encuentra formalmente adoptado mediante la Resolución 757 de 2023 y desarrollado en el Manual del SIG. Este instrumento articula los componentes del MECI, las políticas de MIPG, el Sistema de Gestión de Calidad, la gestión ambiental, la seguridad y salud en el trabajo, la seguridad de la información, la gestión documental, el servicio al ciudadano y el SIGRIP.
3. Controles formalizados sobre la infraestructura y seguridad tecnológica.
La UAESP dispone de políticas, procedimientos, manuales y planes para gestionar arquitectura tecnológica, usuarios, incidentes, respaldos, activos de información, configuraciones seguras y adquisición, desarrollo y mantenimiento de software. Los controles comprenden respaldos cifrados, pruebas de restauración, gestión de privilegios, separación de ambientes, control de versiones, gestión de cambios y seguimiento a incidentes.
4. Controles sobre proveedores tecnológicos.
La supervisión de los contratos administrados por la OTIC comprende verificaciones técnicas, administrativas, financieras, jurídicas y de seguridad de la información. Para los proveedores de desarrollo y mantenimiento de software se encuentran definidos requisitos relacionados con perfiles de acceso, pruebas, respaldos, documentación, control de versiones y gestión de cambios.
5. Administración de usuarios, roles y permisos.
El procedimiento de Gestión de Usuarios regula la creación, modificación, reactivación e inactivación de accesos en los sistemas, aplicativos, correo electrónico y Directorio Activo. Se establecen identificadores únicos, accesos acordes con las funciones, aprobación de excepciones y revisiones trimestrales de los usuarios y roles asignados.
6. Evaluación independiente de los controles tecnológicos y contractuales.
La Oficina de Control Interno incluyó en sus trabajos la evaluación del Mapa y Plan de Manejo de Riesgos y Oportunidades, la gestión contractual y el Modelo de Seguridad y Privacidad de la Información, generando información sobre el diseño, ejecución y efectividad de los controles y sobre las debilidades relacionadas con la supervisión de terceros.
7. Evaluación periódica de políticas, procedimientos y documentos institucionales.
La entidad cuenta con mecanismos para revisar la pertinencia, actualización y aplicación de los documentos del SIG, mediante auditorías internas, auditorías de calidad, Revisión por la Dirección, seguimiento de la Oficina Asesora de Planeación y control del listado maestro de documentos.
8. Diseño y monitoreo de controles articulado con la gestión del riesgo.
La Política de Administración del Riesgo, el procedimiento DES-PC-07 y el formato DES-FM-12 establecen la metodología para diseñar, valorar y monitorear los controles. Durante el primer semestre de 2026, la OCI evaluó 57 riesgos, 68 controles, 56 acciones y cuatro oportunidades, identificando un cumplimiento general adecuado y observaciones específicas para algunos procesos.
9. Operación de las líneas de defensa en el monitoreo de controles.
La primera línea ejecuta y documenta los controles; la segunda línea consolida y revisa periódicamente la información; y la tercera línea evalúa de manera independiente su diseño, ejecución y efectividad. Los resultados son comunicados a los responsables y a las instancias de decisión institucional.
DEBILIDAD
1. Documentación insuficiente de las excepciones a la segregación de funciones y de los controles compensatorios.
La Revisión por la Dirección – 2025 identificó vacantes, cargas laborales, rotación, necesidades de personal especializado y restricciones presupuestales que pueden impedir una separación completa de funciones. Aunque la entidad utiliza contratación de apoyo, supervisión reforzada e interventoría como mecanismos alternativos, no se evidencia un inventario institucional que identifique todas las excepciones, el riesgo generado y el control compensatorio aplicable.
Adicionalmente, la auditoría a la gestión contractual identificó debilidades en la documentación y publicación de designaciones de supervisión, cambios de supervisor e informes de ejecución, afectando la trazabilidad de algunos controles alternativos.
RECOMENDACIONES DE MANTENIMIENTO
1. Mantener la segregación de funciones definida en los procedimientos, asegurando la separación entre elaboración, revisión, autorización, aprobación, registro y custodia de las operaciones, especialmente en los procesos financieros, contractuales, tecnológicos y de talento humano.
2. Mantener la integración de los sistemas de gestión, verificando periódicamente la correspondencia entre el Manual del SIG, los requisitos de la ISO 9001, las políticas de MIPG, los componentes del MECI y los instrumentos institucionales de control.
3. Mantener actualizados los controles tecnológicos, incluyendo los procedimientos de respaldos, restauración, gestión de usuarios, hardening, incidentes, mantenimiento, control de cambios y desarrollo seguro.
4. Mantener las revisiones trimestrales de usuarios y roles, garantizando que las altas, modificaciones y bajas sean oportunas y que los accesos correspondan con las funciones y obligaciones asignadas.
5. Mantener la evaluación periódica de los controles por las líneas de defensa, conservando las evidencias de ejecución, las observaciones formuladas, las decisiones adoptadas y el seguimiento a las acciones de mejora.
6. Mantener el control de la información documentada, asegurando que los procesos utilicen las versiones vigentes de políticas, procedimientos, manuales, instructivos, formatos y listas de chequeo.
7. Mantener la evaluación independiente de los proveedores tecnológicos y servicios críticos, incluyendo en el universo de auditoría aquellos terceros cuya operación pueda afectar la continuidad, seguridad o disponibilidad de los servicios institucionales.</t>
  </si>
  <si>
    <t>FORTALEZAS
1. Disponibilidad de sistemas para capturar y procesar información institucional.
La entidad cuenta con sistemas como ORFEO, SIGAB, SI Capital, SIRA, NFU, RUF, SUIF y GLPI, entre otros, que apoyan los procesos estratégicos, misionales, de apoyo y evaluación. El PETI 2024-2028 contiene el catálogo y la caracterización de las aplicaciones, sus funcionalidades, integraciones, capacidades y necesidades de evolución tecnológica.
2. Inventario y clasificación de la información relevante.
La UAESP dispone de un Inventario de Activos de Información, un Registro de Activos de Información y un Índice de Información Clasificada y Reservada. El Manual de Clasificación de Activos establece responsables, criterios de clasificación y una actualización mínima anual o cuando se presenten cambios en los procesos, sistemas, responsables o condiciones de custodia.
3. Utilización de fuentes internas y externas de información.
La entidad utiliza registros administrativos, indicadores, planes, proyectos de inversión, ejecución presupuestal, riesgos y sistemas misionales, así como información suministrada por operadores, concesionarios, Bogotá Te Escucha, BogData, VUC, plataformas de datos abiertos y grupos de interés. Estas fuentes apoyan la gestión, el seguimiento a las metas y la toma de decisiones.
4. Controles para proteger la información institucional.
Se encuentran implementados mecanismos relacionados con administración de usuarios y permisos, cifrado, acuerdos de confidencialidad, antimalware, firewall, restricción de medios extraíbles, respaldos, pruebas de restauración, control de código fuente, hardening, gestión de incidentes y tratamiento de datos personales.
5. Canales y procedimientos de comunicación interna.
Durante 2026 se actualizaron el Manual Estratégico y Operativo de la Gestión de las Comunicaciones, el procedimiento de Comunicación Interna y la Estrategia de Comunicación Interna. La entidad utiliza correo institucional, intranet, pantallas digitales, página web, newsletter, noticiero interno, reuniones y eventos para divulgar objetivos, metas, planes, políticas y resultados.
6. Canales institucionales para denuncias y situaciones irregulares.
La UAESP cuenta con canales presenciales y virtuales para presentar denuncias relacionadas con posibles actos de corrupción y otras situaciones irregulares, incluido el botón dispuesto en la página web y los mecanismos asociados al sistema de PQRSD.
7. Mecanismos formalizados de comunicación externa.
La entidad dispone de procedimientos para comunicación externa, redes sociales, relaciones interinstitucionales y eventos. La revisión y aprobación de contenidos se documenta mediante consejos de redacción, parrillas, matrices e informes, y el alcance de los lineamientos incluye a servidores, contratistas, operadores y terceros relacionados con la prestación de los servicios.
8. Caracterización de usuarios y grupos de valor.
La UAESP cuenta con el documento de Identificación de Partes Interesadas y Caracterización de Usuarios y con el Modelo de Relacionamiento con la Ciudadanía. Estos instrumentos identifican necesidades, expectativas, canales de interacción y mecanismos de relacionamiento, y contemplan su revisión periódica.
9. Procedimientos para recibir, clasificar y gestionar información ciudadana.
La información recibida mediante ventanilla, correo y otros canales se radica en ORFEO y, cuando corresponde a PQRSD, se gestiona adicionalmente en Bogotá Te Escucha. Se encuentran definidos responsables para la clasificación, asignación, respuesta, notificación, cierre y seguimiento de las peticiones.
DEBILIDADES
1. Debilidades en la gestión y conformación de expedientes documentales.
Aunque la entidad cuenta con políticas, procedimientos e instrumentos archivísticos, las Tablas de Retención Documental continúan pendientes de culminar su convalidación ante el Consejo Distrital de Archivos de Bogotá. Esta situación limita su aplicación integral y la parametrización completa de ORFEO.
Adicionalmente, la auditoría a la Gestión de Asuntos Legales identificó debilidades en la conformación de expedientes contractuales, incluyendo contratos sin número de expediente asociado y documentos disponibles en SECOP II que no se encontraban incorporados integralmente en el sistema de gestión documental.
2. Respuestas extemporáneas y debilidades en la gestión de PQRSD.
La auditoría de Servicio al Ciudadano evidenció que durante el segundo semestre de 2025 el 38,24 % de las peticiones atendidas se respondió fuera del término establecido. También se identificaron retrasos en traslados internos, demoras en el cierre, reprocesos manuales y lineamientos operativos que no se encontraban plenamente formalizados.
3. Diferencias e interoperabilidad limitada entre ORFEO y Bogotá Te Escucha.
Se evidenciaron diferencias entre las cifras reportadas por las fuentes y una interoperabilidad principalmente unidireccional entre los sistemas, lo que genera conciliaciones manuales, reprocesos y riesgos para la integridad, oportunidad y consistencia de la información de las PQRSD.
4. Aplicación no homogénea de las encuestas de satisfacción.
Aunque existe un procedimiento institucional y algunos procesos realizan mediciones de percepción, la aplicación de las encuestas no ha sido uniforme en todos los servicios y procesos misionales. En algunos casos las mediciones se suspendieron por cambios operativos o insuficiencia de talento humano, limitando la disponibilidad de información representativa y comparable.
5. Necesidades de fortalecimiento de la información estadística.
El seguimiento a la implementación de MIPG identificó actividades sin avance relacionadas con la actualización del procedimiento de Gestión de la Información Estadística, el calendario estadístico, el diagnóstico de la actividad estadística y el cargue de información sobre ODS y políticas públicas.
7. Ausencia de una solución tecnológica especializada para los planes de mejoramiento.
El reemplazo de ODOO por un archivo Excel compartido permitió mantener la continuidad operativa del seguimiento al Plan de Mejoramiento Institucional. Sin embargo, es importante analizar la viabilidad de adquirir una nueva herramienta tecnológica que garantice una adecuada gestión de los planes de mejoramiento.
RECOMENDACIONES DE MANTENIMIENTO
1. Mantener actualizado el Inventario de Activos de Información, verificando al cierre de 2026 la consolidación y publicación del Registro de Activos de Información y del Índice de Información Clasificada y Reservada.
2. Mantener la operación y actualización de los controles de seguridad de la información, conservando evidencias sobre respaldos, restauraciones, accesos, configuraciones seguras, incidentes, vulnerabilidades y tratamiento de datos personales.
3. Mantener actualizados los procedimientos y estrategias de comunicación interna y externa, asegurando la revisión y aprobación previa de los contenidos, la conservación de registros y el uso de canales acordes con el público y el tipo de información.
4. Mantener la caracterización anual de usuarios y grupos de valor, incorporando cambios en sus necesidades, expectativas, canales y formas de interacción con la entidad.
5. Mantener la evaluación periódica de los canales de comunicación, utilizando estadísticas, encuestas, métricas digitales, informes y espacios de retroalimentación para ajustar contenidos y mecanismos de divulgación.
6. Mantener los canales de denuncia institucional, garantizando su divulgación, confidencialidad, disponibilidad y trazabilidad, así como la utilización de los resultados para fortalecer los riesgos y controles de integridad pública.</t>
  </si>
  <si>
    <t>FORTALEZAS
1. Aprobación y seguimiento del Plan Anual de Auditoría.
El Comité Institucional de Coordinación de Control Interno aprobó el Plan Anual de Auditoría 2026 y su actualización a la versión 2. Asimismo, recibe los resultados de los trabajos ejecutados por la Oficina de Control Interno y conoce el avance de las actividades programadas, fortaleciendo la supervisión de la Línea Estratégica sobre la tercera línea de defensa.
2. Evaluaciones independientes con enfoque basado en riesgos.
La Oficina de Control Interno formula su programación a partir del universo de auditoría, la criticidad de las unidades auditables, los riesgos institucionales, los resultados de evaluaciones anteriores, las solicitudes de la Alta Dirección y los recursos disponibles. Durante el periodo evaluado realizó auditorías y seguimientos que permitieron verificar el diseño, ejecución y efectividad de los controles y comunicar las debilidades identificadas a los responsables.
3. Evaluación integral de la efectividad del Sistema de Control Interno.
La evaluación correspondiente al segundo semestre de 2025 concluyó que los cinco componentes del MECI operaban de manera conjunta e integrada y que el Sistema de Control Interno era efectivo para los objetivos evaluados. Sus resultados fueron comunicados al director general, a los directivos y a los integrantes del CICCI, como insumo para la toma de decisiones y el mejoramiento institucional.
4. Monitoreo continuo por parte de la segunda línea de defensa.
La Oficina Asesora de Planeación realiza seguimiento a riesgos, indicadores, planes institucionales, proyectos de inversión y al Plan de Adecuación y Sostenibilidad de MIPG. Los resultados incluyen alertas, conclusiones y recomendaciones por proceso y son presentados ante el Comité Institucional de Gestión y Desempeño. Otras dependencias, como la OTIC, realizan monitoreos especializados sobre los temas de su competencia.
5. Consideración de los resultados de evaluaciones externas.
La entidad incorpora como fuente de evaluación los informes emitidos por la Contraloría de Bogotá, la Contraloría General de la República, la Veeduría Distrital, el Archivo General de la Nación y los organismos certificadores. Estos resultados son utilizados para formular planes de mejoramiento, ajustar el Plan Anual de Auditoría, evitar duplicidades y definir acciones institucionales.
6. Mecanismos formales para comunicar las deficiencias de control.
Los procedimientos de auditoría interna y planes de mejoramiento establecen que los resultados deben comunicarse al representante legal, a los integrantes del CICCI y a los líderes de los procesos evaluados. La entidad cuenta, además, con rutas diferenciadas para reportar deficiencias derivadas del monitoreo de riesgos, indicadores, planes y políticas institucionales.
7. Seguimiento institucional a los planes de mejoramiento.
La OCI realiza seguimiento periódico al Plan de Mejoramiento Institucional y a los planes derivados de organismos externos. Durante el primer semestre de 2026 se informó al CICCI sobre el cierre de 66 acciones calificadas como cumplidas y efectivas por la Contraloría de Bogotá, el seguimiento a 20 acciones vigentes y la aprobación de 16 nuevas acciones para atender siete hallazgos.
8. Reporte de deficiencias a los niveles jerárquicos superiores.
Los informes finales de auditoría son comunicados a los responsables directos y a la Alta Dirección. Se evidenció que el CICCI conoce los resultados, analiza el estado de los planes y aprueba acciones con responsables y fechas, permitiendo que las deficiencias sean escaladas a las instancias con capacidad para adoptar decisiones.
DEBILIDADES
1. El seguimiento al Plan de Mejoramiento Institucional con corte al 30 de abril de 2026 identificó 24 acciones sin tratamiento, de las cuales 22 correspondían a oportunidades derivadas de la Revisión por la Dirección. 
2. Debilidades en la utilización de la información de las PQRSD para mejorar el SCI.
La auditoría de Servicio al Ciudadano evidenció que el 38,24 % de las peticiones atendidas durante el segundo semestre de 2025 se respondió fuera de término. También se identificaron diferencias entre las fuentes, reprocesos entre SDQS y ORFEO, demoras en traslados y dificultades de articulación con operadores. Adicionalmente, debe fortalecerse la relación entre las tendencias de las PQRSD, los riesgos y controles afectados, las acciones adoptadas y su evaluación posterior.
RECOMENDACIONES DE MANTENIMIENTO
1. Mantener la formulación y ejecución del Plan Anual de Auditoría con enfoque basado en riesgos, actualizando anualmente el universo de auditoría, los criterios de priorización y el ciclo de rotación de las unidades auditables.
2. Mantener la aprobación y seguimiento del PAA por parte del CICCI, asegurando que las actas documenten el avance, las desviaciones, las decisiones adoptadas y los compromisos derivados de su ejecución.
3. Mantener el monitoreo continuo de la segunda línea de defensa, garantizando la periodicidad de los informes sobre riesgos, indicadores, planes, proyectos y políticas institucionales y su presentación a las instancias competentes.
4. Mantener la evaluación semestral del Sistema de Control Interno, comunicando sus resultados a la Alta Dirección y utilizando sus conclusiones como insumo para la toma de decisiones, el ajuste de controles y la mejora institucional.
5. Mantener la consideración de las evaluaciones externas, integrando sus resultados al universo de auditoría, a los planes de mejoramiento, a la Revisión por la Dirección y a los análisis del CICCI.
6. Mantener las rutas formales de comunicación de deficiencias, asegurando que los informes de auditoría y seguimiento sean remitidos a los líderes responsables, al representante legal y al CICCI, de acuerdo con la relevancia de las situaciones identificadas</t>
  </si>
  <si>
    <t>En la Unidad Administrativa Especial de Servicios Públicos —UAESP— se encuentran presentes y en funcionamiento los cinco componentes del Modelo Estándar de Control Interno —MECI—: Ambiente de Control, Evaluación de Riesgos, Actividades de Control, Información y Comunicación y Actividades de Monitoreo. Estos componentes se articulan con el Sistema Integrado de Gestión y con el Sistema de Gestión de la Calidad bajo la Norma ISO 9001:2015, mediante un enfoque basado en procesos, riesgos, controles y mejora continua. La operación integrada del sistema se evidencia en la existencia de políticas y procedimientos institucionales; el funcionamiento del Comité Institucional de Coordinación de Control Interno y del Comité Institucional de Gestión y Desempeño; la aplicación del Esquema de Líneas de Defensa; el monitoreo de riesgos, indicadores y planes; la ejecución del Plan Anual de Auditoría; y la formulación y seguimiento de acciones de mejoramiento. Los resultados obtenidos, que oscilan entre el 88 % y el 98 % por componente, muestran niveles de madurez diferenciados, sin que las debilidades identificadas afecten de manera general la operación conjunta del Sistema. No obstante, se requiere continuar fortaleciendo la calidad y trazabilidad de la información, la gestión documental, la oportunidad en la atención de PQRSD, la evaluación de servicios tercerizados y la efectividad de las acciones de mejora.</t>
  </si>
  <si>
    <t>El Sistema de Control Interno de la UAESP es efectivo para los objetivos evaluados, dado que proporciona una seguridad razonable frente al cumplimiento de los objetivos estratégicos y operativos, la gestión de los riesgos, la protección de los recursos públicos, la confiabilidad de la información, la observancia de los requisitos legales y la mejora de los procesos institucionales. La entidad cuenta con controles preventivos, detectivos y correctivos, mecanismos de monitoreo por parte de la primera y segunda líneas de defensa y evaluaciones independientes desarrolladas por la Oficina de Control Interno. Asimismo, las deficiencias identificadas son comunicadas a los responsables y a la Alta Dirección para la formulación de acciones de mejora. No obstante, la efectividad del sistema debe continuar fortaleciéndose mediante la atención oportuna de las oportunidades identificadas, principalmente en la calidad y suficiencia de las evidencias de los controles, la gestión de la información y las PQRSD, la suficiencia de personal, la gestión de terceros, la formulación de los análisis de causas y la evaluación de la efectividad de los planes de mejoramiento. Estas situaciones no desvirtúan la efectividad general del sistema, pero requieren tratamiento y seguimiento para evitar su recurrencia y mantener los niveles de control alcanzados.</t>
  </si>
  <si>
    <t>a UAESP cuenta con un Esquema de Líneas de Defensa formalmente definido e implementado, articulado con el Sistema Integrado de Gestión, la Política de Administración del Riesgo, el Manual del SIG y la Resolución 757 de 2023. La Línea Estratégica está conformada por la Alta Dirección y el Comité Institucional de Coordinación de Control Interno, responsables de orientar, supervisar y tomar decisiones frente al funcionamiento del Sistema de Control Interno. La primera línea de defensa está integrada por los líderes de proceso, servidores y contratistas responsables de gestionar los riesgos, ejecutar los controles, identificar desviaciones y adoptar correctivos en el desarrollo de sus actividades. La segunda línea es ejercida por la Oficina Asesora de Planeación y por las dependencias que desarrollan funciones de orientación, consolidación y monitoreo especializado en materias como riesgos, planeación, indicadores, seguridad de la información, contratación, talento humano y gestión financiera. La tercera línea de defensa corresponde a la Oficina de Control Interno, que realiza evaluaciones independientes con enfoque basado en riesgos y comunica sus resultados al representante legal, a los líderes de los procesos y al CICCI. Este esquema permite que la información generada por las distintas líneas sea analizada en las instancias institucionales competentes y utilizada para adoptar decisiones, formular acciones de mejora y fortalecer los riesgos y controles. No obstante, se debe continuar asegurando la trazabilidad entre las alertas reportadas, las decisiones adoptadas, los responsables, los plazos y la evaluación posterior de sus resultados.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</si>
</sst>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dd/mm/yyyy;@"/>
    <numFmt numFmtId="165" formatCode="0.000"/>
    <numFmt numFmtId="166" formatCode="0.0000"/>
    <numFmt numFmtId="167" formatCode="0.00000"/>
    <numFmt numFmtId="168" formatCode="0.000000"/>
    <numFmt numFmtId="169" formatCode="0.0%"/>
  </numFmts>
  <fonts count="82" x14ac:knownFonts="1">
    <font>
      <sz val="10"/>
      <color theme="1"/>
      <name val="Arial"/>
      <family val="2"/>
    </font>
    <font>
      <b/>
      <sz val="10"/>
      <color indexed="18"/>
      <name val="Arial"/>
      <family val="2"/>
    </font>
    <font>
      <u/>
      <sz val="10"/>
      <color theme="10"/>
      <name val="Arial"/>
      <family val="2"/>
    </font>
    <font>
      <sz val="10"/>
      <name val="Arial"/>
      <family val="2"/>
    </font>
    <font>
      <b/>
      <i/>
      <sz val="10"/>
      <name val="Arial"/>
      <family val="2"/>
    </font>
    <font>
      <b/>
      <sz val="12"/>
      <color theme="0"/>
      <name val="Arial"/>
      <family val="2"/>
    </font>
    <font>
      <b/>
      <sz val="12"/>
      <name val="Arial"/>
      <family val="2"/>
    </font>
    <font>
      <sz val="10"/>
      <color theme="1"/>
      <name val="Calibri"/>
      <family val="2"/>
      <scheme val="minor"/>
    </font>
    <font>
      <b/>
      <i/>
      <sz val="10"/>
      <color theme="1"/>
      <name val="Arial"/>
      <family val="2"/>
    </font>
    <font>
      <sz val="12"/>
      <name val="Times New Roman"/>
      <family val="1"/>
    </font>
    <font>
      <sz val="10"/>
      <name val="Arial Narrow"/>
      <family val="2"/>
    </font>
    <font>
      <b/>
      <sz val="14"/>
      <name val="Arial Narrow"/>
      <family val="2"/>
    </font>
    <font>
      <b/>
      <u/>
      <sz val="11"/>
      <name val="Arial Narrow"/>
      <family val="2"/>
    </font>
    <font>
      <b/>
      <sz val="10"/>
      <name val="Arial Narrow"/>
      <family val="2"/>
    </font>
    <font>
      <b/>
      <sz val="11"/>
      <name val="Arial Narrow"/>
      <family val="2"/>
    </font>
    <font>
      <b/>
      <sz val="9"/>
      <name val="Arial Narrow"/>
      <family val="2"/>
    </font>
    <font>
      <b/>
      <i/>
      <u/>
      <sz val="9"/>
      <name val="Arial Narrow"/>
      <family val="2"/>
    </font>
    <font>
      <sz val="9"/>
      <name val="Arial Narrow"/>
      <family val="2"/>
    </font>
    <font>
      <sz val="11"/>
      <name val="Arial Narrow"/>
      <family val="2"/>
    </font>
    <font>
      <sz val="12"/>
      <color theme="1" tint="0.34998626667073579"/>
      <name val="Arial Narrow"/>
      <family val="2"/>
    </font>
    <font>
      <sz val="11"/>
      <color theme="1"/>
      <name val="Arial Narrow"/>
      <family val="2"/>
    </font>
    <font>
      <b/>
      <sz val="11"/>
      <color theme="1"/>
      <name val="Arial Narrow"/>
      <family val="2"/>
    </font>
    <font>
      <b/>
      <sz val="11"/>
      <color theme="0"/>
      <name val="Arial Narrow"/>
      <family val="2"/>
    </font>
    <font>
      <sz val="11"/>
      <color theme="0"/>
      <name val="Arial Narrow"/>
      <family val="2"/>
    </font>
    <font>
      <b/>
      <u/>
      <sz val="11"/>
      <color theme="0"/>
      <name val="Arial Narrow"/>
      <family val="2"/>
    </font>
    <font>
      <i/>
      <sz val="11"/>
      <color theme="0"/>
      <name val="Arial Narrow"/>
      <family val="2"/>
    </font>
    <font>
      <b/>
      <sz val="11"/>
      <color theme="1" tint="0.249977111117893"/>
      <name val="Arial Narrow"/>
      <family val="2"/>
    </font>
    <font>
      <b/>
      <sz val="10"/>
      <color theme="1"/>
      <name val="Arial Narrow"/>
      <family val="2"/>
    </font>
    <font>
      <sz val="10"/>
      <color theme="1"/>
      <name val="Arial Narrow"/>
      <family val="2"/>
    </font>
    <font>
      <b/>
      <i/>
      <sz val="10"/>
      <color theme="1"/>
      <name val="Arial Narrow"/>
      <family val="2"/>
    </font>
    <font>
      <b/>
      <sz val="12"/>
      <color theme="0"/>
      <name val="Arial Narrow"/>
      <family val="2"/>
    </font>
    <font>
      <b/>
      <sz val="10"/>
      <color theme="0"/>
      <name val="Arial Narrow"/>
      <family val="2"/>
    </font>
    <font>
      <b/>
      <sz val="16"/>
      <color theme="0"/>
      <name val="Arial Narrow"/>
      <family val="2"/>
    </font>
    <font>
      <sz val="10"/>
      <color rgb="FFFF0000"/>
      <name val="Arial"/>
      <family val="2"/>
    </font>
    <font>
      <sz val="10"/>
      <color theme="0"/>
      <name val="Arial Narrow"/>
      <family val="2"/>
    </font>
    <font>
      <sz val="10"/>
      <color rgb="FFFF0000"/>
      <name val="Arial Narrow"/>
      <family val="2"/>
    </font>
    <font>
      <b/>
      <sz val="10"/>
      <color rgb="FFFF0000"/>
      <name val="Arial"/>
      <family val="2"/>
    </font>
    <font>
      <b/>
      <sz val="12"/>
      <color rgb="FFFF0000"/>
      <name val="Arial"/>
      <family val="2"/>
    </font>
    <font>
      <sz val="10"/>
      <color theme="1"/>
      <name val="Arial"/>
      <family val="2"/>
    </font>
    <font>
      <b/>
      <sz val="18"/>
      <color theme="0"/>
      <name val="Arial"/>
      <family val="2"/>
    </font>
    <font>
      <b/>
      <sz val="22"/>
      <color theme="1"/>
      <name val="Arial Narrow"/>
      <family val="2"/>
    </font>
    <font>
      <sz val="20"/>
      <color rgb="FFFF0000"/>
      <name val="Arial"/>
      <family val="2"/>
    </font>
    <font>
      <b/>
      <sz val="16"/>
      <color theme="1"/>
      <name val="Arial"/>
      <family val="2"/>
    </font>
    <font>
      <b/>
      <sz val="12"/>
      <name val="Arial Narrow"/>
      <family val="2"/>
    </font>
    <font>
      <b/>
      <sz val="16"/>
      <name val="Arial Narrow"/>
      <family val="2"/>
    </font>
    <font>
      <b/>
      <sz val="20"/>
      <color theme="0"/>
      <name val="Arial Narrow"/>
      <family val="2"/>
    </font>
    <font>
      <b/>
      <sz val="14"/>
      <color theme="0"/>
      <name val="Arial Narrow"/>
      <family val="2"/>
    </font>
    <font>
      <b/>
      <sz val="20"/>
      <color theme="0"/>
      <name val="Arial"/>
      <family val="2"/>
    </font>
    <font>
      <b/>
      <sz val="10"/>
      <name val="Arial"/>
      <family val="2"/>
    </font>
    <font>
      <b/>
      <u/>
      <sz val="12"/>
      <color theme="0"/>
      <name val="Arial"/>
      <family val="2"/>
    </font>
    <font>
      <sz val="18"/>
      <color theme="1"/>
      <name val="Arial"/>
      <family val="2"/>
    </font>
    <font>
      <sz val="11"/>
      <color rgb="FFFF0000"/>
      <name val="Arial Narrow"/>
      <family val="2"/>
    </font>
    <font>
      <b/>
      <sz val="11"/>
      <color rgb="FFFF0000"/>
      <name val="Arial Narrow"/>
      <family val="2"/>
    </font>
    <font>
      <sz val="25"/>
      <color theme="1"/>
      <name val="Arial"/>
      <family val="2"/>
    </font>
    <font>
      <b/>
      <u/>
      <sz val="11"/>
      <color theme="1"/>
      <name val="Arial Narrow"/>
      <family val="2"/>
    </font>
    <font>
      <i/>
      <sz val="11"/>
      <color theme="1"/>
      <name val="Arial Narrow"/>
      <family val="2"/>
    </font>
    <font>
      <b/>
      <u/>
      <sz val="10"/>
      <color theme="10"/>
      <name val="Arial"/>
      <family val="2"/>
    </font>
    <font>
      <sz val="12"/>
      <name val="Arial"/>
      <family val="2"/>
    </font>
    <font>
      <sz val="9"/>
      <color theme="1"/>
      <name val="Arial"/>
      <family val="2"/>
    </font>
    <font>
      <sz val="18"/>
      <color theme="1"/>
      <name val="Arial Narrow"/>
      <family val="2"/>
    </font>
    <font>
      <sz val="12"/>
      <color theme="1"/>
      <name val="Arial"/>
      <family val="2"/>
    </font>
    <font>
      <b/>
      <u/>
      <sz val="11"/>
      <color rgb="FFFFFFFF"/>
      <name val="Arial Narrow"/>
      <family val="2"/>
    </font>
    <font>
      <b/>
      <sz val="11"/>
      <color rgb="FFFFFFFF"/>
      <name val="Arial Narrow"/>
      <family val="2"/>
    </font>
    <font>
      <sz val="12"/>
      <color rgb="FF000000"/>
      <name val="Arial"/>
      <family val="2"/>
    </font>
    <font>
      <sz val="11"/>
      <color rgb="FF000000"/>
      <name val="Arial Narrow"/>
      <family val="2"/>
    </font>
    <font>
      <sz val="10"/>
      <color theme="10"/>
      <name val="Arial"/>
      <family val="2"/>
    </font>
    <font>
      <b/>
      <sz val="12"/>
      <color rgb="FF000000"/>
      <name val="Arial"/>
      <family val="2"/>
    </font>
    <font>
      <sz val="12"/>
      <color rgb="FFFF0000"/>
      <name val="Arial"/>
      <family val="2"/>
    </font>
    <font>
      <b/>
      <sz val="11"/>
      <color rgb="FF000000"/>
      <name val="Arial Narrow"/>
      <family val="2"/>
    </font>
    <font>
      <i/>
      <sz val="12"/>
      <name val="Arial"/>
      <family val="2"/>
    </font>
    <font>
      <sz val="11"/>
      <color rgb="FF000000"/>
      <name val="Arial Narrow"/>
    </font>
    <font>
      <sz val="11"/>
      <color theme="1"/>
      <name val="Arial Narrow"/>
    </font>
    <font>
      <b/>
      <sz val="11"/>
      <color theme="1"/>
      <name val="Arial Narrow"/>
    </font>
    <font>
      <sz val="18"/>
      <color theme="0"/>
      <name val="Arial"/>
      <family val="2"/>
    </font>
    <font>
      <sz val="11"/>
      <color rgb="FF000000"/>
      <name val="Arial"/>
      <family val="2"/>
    </font>
    <font>
      <b/>
      <sz val="11"/>
      <color rgb="FF000000"/>
      <name val="Arial"/>
      <family val="2"/>
    </font>
    <font>
      <sz val="11"/>
      <name val="Arial"/>
      <family val="2"/>
    </font>
    <font>
      <b/>
      <sz val="20"/>
      <color theme="1"/>
      <name val="Arial Narrow"/>
      <family val="2"/>
    </font>
    <font>
      <b/>
      <sz val="18"/>
      <color theme="1"/>
      <name val="Arial Narrow"/>
      <family val="2"/>
    </font>
    <font>
      <sz val="14"/>
      <color rgb="FF000000"/>
      <name val="Arial"/>
      <family val="2"/>
    </font>
    <font>
      <sz val="14"/>
      <color theme="1"/>
      <name val="Arial"/>
      <family val="2"/>
    </font>
    <font>
      <b/>
      <sz val="10"/>
      <color theme="1"/>
      <name val="Arial"/>
      <family val="2"/>
    </font>
  </fonts>
  <fills count="21">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indexed="51"/>
        <bgColor indexed="64"/>
      </patternFill>
    </fill>
    <fill>
      <patternFill patternType="solid">
        <fgColor rgb="FF83A343"/>
        <bgColor indexed="64"/>
      </patternFill>
    </fill>
    <fill>
      <patternFill patternType="solid">
        <fgColor rgb="FFFFCC00"/>
        <bgColor indexed="64"/>
      </patternFill>
    </fill>
    <fill>
      <patternFill patternType="solid">
        <fgColor theme="7" tint="-0.249977111117893"/>
        <bgColor indexed="64"/>
      </patternFill>
    </fill>
    <fill>
      <patternFill patternType="solid">
        <fgColor rgb="FF2E3917"/>
        <bgColor indexed="64"/>
      </patternFill>
    </fill>
    <fill>
      <patternFill patternType="lightTrellis">
        <fgColor theme="0" tint="-0.14996795556505021"/>
        <bgColor theme="0"/>
      </patternFill>
    </fill>
    <fill>
      <patternFill patternType="solid">
        <fgColor theme="4" tint="0.79998168889431442"/>
        <bgColor indexed="64"/>
      </patternFill>
    </fill>
    <fill>
      <patternFill patternType="solid">
        <fgColor theme="6" tint="-0.499984740745262"/>
        <bgColor indexed="64"/>
      </patternFill>
    </fill>
    <fill>
      <patternFill patternType="solid">
        <fgColor theme="9" tint="0.399975585192419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theme="4" tint="-0.249977111117893"/>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1"/>
        <bgColor indexed="64"/>
      </patternFill>
    </fill>
  </fills>
  <borders count="17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theme="0"/>
      </left>
      <right style="thin">
        <color theme="0"/>
      </right>
      <top style="thin">
        <color theme="0"/>
      </top>
      <bottom style="thin">
        <color theme="0"/>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right/>
      <top style="thin">
        <color auto="1"/>
      </top>
      <bottom/>
      <diagonal/>
    </border>
    <border>
      <left style="hair">
        <color auto="1"/>
      </left>
      <right/>
      <top style="hair">
        <color auto="1"/>
      </top>
      <bottom style="hair">
        <color auto="1"/>
      </bottom>
      <diagonal/>
    </border>
    <border>
      <left style="double">
        <color indexed="64"/>
      </left>
      <right/>
      <top style="double">
        <color indexed="64"/>
      </top>
      <bottom/>
      <diagonal/>
    </border>
    <border>
      <left/>
      <right style="thin">
        <color theme="0"/>
      </right>
      <top style="double">
        <color indexed="64"/>
      </top>
      <bottom/>
      <diagonal/>
    </border>
    <border>
      <left style="double">
        <color indexed="64"/>
      </left>
      <right style="hair">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right style="double">
        <color indexed="64"/>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style="thin">
        <color rgb="FF81829A"/>
      </left>
      <right style="thin">
        <color rgb="FF81829A"/>
      </right>
      <top style="thin">
        <color rgb="FF81829A"/>
      </top>
      <bottom style="thin">
        <color rgb="FF81829A"/>
      </bottom>
      <diagonal/>
    </border>
    <border>
      <left style="double">
        <color indexed="64"/>
      </left>
      <right style="hair">
        <color indexed="64"/>
      </right>
      <top style="hair">
        <color indexed="64"/>
      </top>
      <bottom/>
      <diagonal/>
    </border>
    <border>
      <left style="double">
        <color indexed="64"/>
      </left>
      <right style="hair">
        <color indexed="64"/>
      </right>
      <top/>
      <bottom/>
      <diagonal/>
    </border>
    <border>
      <left style="thin">
        <color indexed="64"/>
      </left>
      <right style="thin">
        <color indexed="64"/>
      </right>
      <top style="medium">
        <color indexed="64"/>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medium">
        <color indexed="64"/>
      </bottom>
      <diagonal/>
    </border>
    <border>
      <left style="thin">
        <color indexed="64"/>
      </left>
      <right style="thin">
        <color indexed="64"/>
      </right>
      <top style="thin">
        <color theme="0"/>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bottom style="thin">
        <color theme="0"/>
      </bottom>
      <diagonal/>
    </border>
    <border>
      <left style="dashed">
        <color indexed="64"/>
      </left>
      <right style="dashed">
        <color indexed="64"/>
      </right>
      <top style="dashed">
        <color indexed="64"/>
      </top>
      <bottom style="dashed">
        <color indexed="64"/>
      </bottom>
      <diagonal/>
    </border>
    <border>
      <left/>
      <right style="thin">
        <color indexed="64"/>
      </right>
      <top style="thin">
        <color indexed="64"/>
      </top>
      <bottom style="thin">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medium">
        <color indexed="64"/>
      </bottom>
      <diagonal/>
    </border>
    <border>
      <left style="thin">
        <color theme="0"/>
      </left>
      <right style="thin">
        <color indexed="64"/>
      </right>
      <top style="thin">
        <color theme="0"/>
      </top>
      <bottom style="thin">
        <color theme="0"/>
      </bottom>
      <diagonal/>
    </border>
    <border>
      <left style="thin">
        <color theme="0"/>
      </left>
      <right style="thin">
        <color indexed="64"/>
      </right>
      <top style="thin">
        <color theme="0"/>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ashed">
        <color indexed="64"/>
      </top>
      <bottom/>
      <diagonal/>
    </border>
    <border>
      <left style="dotted">
        <color indexed="64"/>
      </left>
      <right/>
      <top style="medium">
        <color indexed="64"/>
      </top>
      <bottom style="dotted">
        <color indexed="64"/>
      </bottom>
      <diagonal/>
    </border>
    <border>
      <left style="dotted">
        <color indexed="64"/>
      </left>
      <right/>
      <top/>
      <bottom style="dotted">
        <color indexed="64"/>
      </bottom>
      <diagonal/>
    </border>
    <border>
      <left style="hair">
        <color indexed="64"/>
      </left>
      <right style="thin">
        <color indexed="64"/>
      </right>
      <top/>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dotted">
        <color indexed="64"/>
      </left>
      <right style="dotted">
        <color indexed="64"/>
      </right>
      <top/>
      <bottom style="dotted">
        <color indexed="64"/>
      </bottom>
      <diagonal/>
    </border>
    <border>
      <left style="dotted">
        <color indexed="64"/>
      </left>
      <right/>
      <top style="dotted">
        <color indexed="64"/>
      </top>
      <bottom style="medium">
        <color indexed="64"/>
      </bottom>
      <diagonal/>
    </border>
    <border>
      <left style="hair">
        <color indexed="64"/>
      </left>
      <right/>
      <top/>
      <bottom style="hair">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hair">
        <color indexed="64"/>
      </left>
      <right style="hair">
        <color indexed="64"/>
      </right>
      <top style="dotted">
        <color indexed="64"/>
      </top>
      <bottom style="hair">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hair">
        <color indexed="64"/>
      </top>
      <bottom/>
      <diagonal/>
    </border>
    <border>
      <left style="medium">
        <color indexed="64"/>
      </left>
      <right style="medium">
        <color indexed="64"/>
      </right>
      <top style="hair">
        <color indexed="64"/>
      </top>
      <bottom/>
      <diagonal/>
    </border>
    <border>
      <left style="hair">
        <color auto="1"/>
      </left>
      <right/>
      <top style="hair">
        <color auto="1"/>
      </top>
      <bottom/>
      <diagonal/>
    </border>
    <border>
      <left style="hair">
        <color indexed="64"/>
      </left>
      <right style="hair">
        <color indexed="64"/>
      </right>
      <top style="hair">
        <color indexed="64"/>
      </top>
      <bottom style="thick">
        <color indexed="64"/>
      </bottom>
      <diagonal/>
    </border>
    <border>
      <left style="medium">
        <color indexed="64"/>
      </left>
      <right style="medium">
        <color indexed="64"/>
      </right>
      <top/>
      <bottom style="hair">
        <color indexed="64"/>
      </bottom>
      <diagonal/>
    </border>
    <border>
      <left style="medium">
        <color indexed="64"/>
      </left>
      <right style="hair">
        <color indexed="64"/>
      </right>
      <top/>
      <bottom style="thin">
        <color indexed="64"/>
      </bottom>
      <diagonal/>
    </border>
    <border>
      <left/>
      <right/>
      <top/>
      <bottom style="thin">
        <color indexed="64"/>
      </bottom>
      <diagonal/>
    </border>
    <border>
      <left/>
      <right style="hair">
        <color indexed="64"/>
      </right>
      <top/>
      <bottom/>
      <diagonal/>
    </border>
    <border>
      <left/>
      <right style="hair">
        <color indexed="64"/>
      </right>
      <top style="medium">
        <color indexed="64"/>
      </top>
      <bottom/>
      <diagonal/>
    </border>
    <border>
      <left/>
      <right style="thin">
        <color indexed="64"/>
      </right>
      <top/>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right style="hair">
        <color indexed="64"/>
      </right>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dotted">
        <color indexed="64"/>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dotted">
        <color indexed="64"/>
      </top>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diagonal/>
    </border>
    <border>
      <left style="hair">
        <color indexed="64"/>
      </left>
      <right style="hair">
        <color indexed="64"/>
      </right>
      <top style="dotted">
        <color indexed="64"/>
      </top>
      <bottom style="thin">
        <color indexed="64"/>
      </bottom>
      <diagonal/>
    </border>
  </borders>
  <cellStyleXfs count="8">
    <xf numFmtId="0" fontId="0" fillId="0" borderId="0"/>
    <xf numFmtId="0" fontId="1" fillId="4" borderId="0"/>
    <xf numFmtId="0" fontId="2" fillId="0" borderId="0" applyNumberFormat="0" applyFill="0" applyBorder="0" applyAlignment="0" applyProtection="0">
      <alignment vertical="top"/>
      <protection locked="0"/>
    </xf>
    <xf numFmtId="0" fontId="7" fillId="0" borderId="0"/>
    <xf numFmtId="0" fontId="3" fillId="0" borderId="0"/>
    <xf numFmtId="0" fontId="9" fillId="0" borderId="0"/>
    <xf numFmtId="9" fontId="38" fillId="0" borderId="0" applyFont="0" applyFill="0" applyBorder="0" applyAlignment="0" applyProtection="0"/>
    <xf numFmtId="0" fontId="2" fillId="0" borderId="0" applyNumberFormat="0" applyFill="0" applyBorder="0" applyAlignment="0" applyProtection="0"/>
  </cellStyleXfs>
  <cellXfs count="873">
    <xf numFmtId="0" fontId="0" fillId="0" borderId="0" xfId="0"/>
    <xf numFmtId="0" fontId="10" fillId="0" borderId="0" xfId="4" applyFont="1"/>
    <xf numFmtId="0" fontId="10" fillId="0" borderId="32" xfId="4" applyFont="1" applyBorder="1"/>
    <xf numFmtId="0" fontId="13" fillId="0" borderId="0" xfId="4" applyFont="1" applyAlignment="1">
      <alignment horizontal="left" vertical="center" wrapText="1"/>
    </xf>
    <xf numFmtId="0" fontId="10" fillId="0" borderId="0" xfId="4" applyFont="1" applyAlignment="1">
      <alignment horizontal="left" vertical="center" wrapText="1"/>
    </xf>
    <xf numFmtId="0" fontId="10" fillId="0" borderId="0" xfId="4" quotePrefix="1" applyFont="1" applyAlignment="1">
      <alignment horizontal="left" vertical="center" wrapText="1"/>
    </xf>
    <xf numFmtId="0" fontId="15" fillId="0" borderId="0" xfId="0" applyFont="1" applyAlignment="1">
      <alignment horizontal="left" vertical="center" wrapText="1"/>
    </xf>
    <xf numFmtId="0" fontId="17" fillId="0" borderId="0" xfId="0" applyFont="1" applyAlignment="1">
      <alignment horizontal="left" vertical="top" wrapText="1"/>
    </xf>
    <xf numFmtId="0" fontId="15" fillId="0" borderId="0" xfId="5" applyFont="1" applyAlignment="1">
      <alignment horizontal="left" vertical="top" wrapText="1" readingOrder="1"/>
    </xf>
    <xf numFmtId="0" fontId="20" fillId="2" borderId="0" xfId="0" applyFont="1" applyFill="1"/>
    <xf numFmtId="1" fontId="20" fillId="2" borderId="0" xfId="0" applyNumberFormat="1" applyFont="1" applyFill="1" applyAlignment="1">
      <alignment horizontal="center" vertical="center"/>
    </xf>
    <xf numFmtId="0" fontId="20" fillId="2" borderId="0" xfId="0" applyFont="1" applyFill="1" applyAlignment="1">
      <alignment horizontal="justify" vertical="center" wrapText="1"/>
    </xf>
    <xf numFmtId="0" fontId="15" fillId="2" borderId="12" xfId="0" applyFont="1" applyFill="1" applyBorder="1" applyAlignment="1">
      <alignment vertical="center"/>
    </xf>
    <xf numFmtId="0" fontId="20" fillId="0" borderId="0" xfId="0" applyFont="1"/>
    <xf numFmtId="0" fontId="20" fillId="0" borderId="10" xfId="0" applyFont="1" applyBorder="1" applyAlignment="1">
      <alignment horizontal="left" vertical="center" wrapText="1"/>
    </xf>
    <xf numFmtId="0" fontId="20" fillId="0" borderId="29" xfId="0" applyFont="1" applyBorder="1" applyAlignment="1">
      <alignment horizontal="left" vertical="center" wrapText="1"/>
    </xf>
    <xf numFmtId="0" fontId="20" fillId="0" borderId="13" xfId="0" applyFont="1" applyBorder="1" applyAlignment="1">
      <alignment horizontal="left" vertical="center" wrapText="1"/>
    </xf>
    <xf numFmtId="0" fontId="20" fillId="0" borderId="0" xfId="0" applyFont="1" applyAlignment="1">
      <alignment vertical="center"/>
    </xf>
    <xf numFmtId="0" fontId="26" fillId="12" borderId="30" xfId="0" applyFont="1" applyFill="1" applyBorder="1" applyAlignment="1">
      <alignment horizontal="center" vertical="center" wrapText="1"/>
    </xf>
    <xf numFmtId="0" fontId="26" fillId="12" borderId="31" xfId="0" applyFont="1" applyFill="1" applyBorder="1" applyAlignment="1">
      <alignment horizontal="center" vertical="center" wrapText="1"/>
    </xf>
    <xf numFmtId="0" fontId="0" fillId="2" borderId="0" xfId="0" applyFill="1"/>
    <xf numFmtId="0" fontId="6" fillId="2" borderId="32" xfId="0" applyFont="1" applyFill="1" applyBorder="1" applyAlignment="1">
      <alignment horizontal="center" vertical="center"/>
    </xf>
    <xf numFmtId="0" fontId="17" fillId="2" borderId="12" xfId="0" applyFont="1" applyFill="1" applyBorder="1" applyAlignment="1">
      <alignment vertical="center" wrapText="1"/>
    </xf>
    <xf numFmtId="49" fontId="28" fillId="2" borderId="0" xfId="3" applyNumberFormat="1" applyFont="1" applyFill="1" applyAlignment="1" applyProtection="1">
      <alignment vertical="center"/>
      <protection locked="0"/>
    </xf>
    <xf numFmtId="0" fontId="28" fillId="2" borderId="0" xfId="3" applyFont="1" applyFill="1" applyAlignment="1" applyProtection="1">
      <alignment vertical="center"/>
      <protection locked="0"/>
    </xf>
    <xf numFmtId="0" fontId="30" fillId="2" borderId="0" xfId="0" applyFont="1" applyFill="1" applyAlignment="1" applyProtection="1">
      <alignment vertical="center" wrapText="1"/>
      <protection locked="0"/>
    </xf>
    <xf numFmtId="0" fontId="28" fillId="2" borderId="0" xfId="0" applyFont="1" applyFill="1"/>
    <xf numFmtId="0" fontId="23" fillId="2" borderId="0" xfId="0" applyFont="1" applyFill="1"/>
    <xf numFmtId="0" fontId="29" fillId="2" borderId="70" xfId="3" applyFont="1" applyFill="1" applyBorder="1" applyAlignment="1">
      <alignment horizontal="center" vertical="center" wrapText="1"/>
    </xf>
    <xf numFmtId="0" fontId="29" fillId="2" borderId="72" xfId="3" applyFont="1" applyFill="1" applyBorder="1" applyAlignment="1">
      <alignment horizontal="center" vertical="center" wrapText="1"/>
    </xf>
    <xf numFmtId="0" fontId="0" fillId="0" borderId="1" xfId="0" applyBorder="1"/>
    <xf numFmtId="0" fontId="6" fillId="0" borderId="59" xfId="0" applyFont="1" applyBorder="1" applyAlignment="1">
      <alignment vertical="center"/>
    </xf>
    <xf numFmtId="0" fontId="0" fillId="0" borderId="59" xfId="0" applyBorder="1"/>
    <xf numFmtId="0" fontId="28" fillId="2" borderId="1" xfId="3" applyFont="1" applyFill="1" applyBorder="1" applyAlignment="1" applyProtection="1">
      <alignment vertical="center"/>
      <protection locked="0"/>
    </xf>
    <xf numFmtId="0" fontId="20" fillId="2" borderId="0" xfId="0" applyFont="1" applyFill="1" applyAlignment="1">
      <alignment vertical="center"/>
    </xf>
    <xf numFmtId="0" fontId="0" fillId="0" borderId="74" xfId="0" applyBorder="1"/>
    <xf numFmtId="0" fontId="0" fillId="0" borderId="96" xfId="0" applyBorder="1"/>
    <xf numFmtId="0" fontId="5" fillId="17" borderId="47" xfId="0" applyFont="1" applyFill="1" applyBorder="1" applyAlignment="1">
      <alignment horizontal="center" vertical="center" wrapText="1"/>
    </xf>
    <xf numFmtId="0" fontId="0" fillId="0" borderId="1" xfId="0" applyBorder="1" applyAlignment="1">
      <alignment horizontal="left"/>
    </xf>
    <xf numFmtId="0" fontId="10" fillId="0" borderId="0" xfId="4" applyFont="1" applyAlignment="1">
      <alignment vertical="top" wrapText="1"/>
    </xf>
    <xf numFmtId="0" fontId="10" fillId="0" borderId="105" xfId="4" applyFont="1" applyBorder="1"/>
    <xf numFmtId="0" fontId="10" fillId="0" borderId="106" xfId="4" applyFont="1" applyBorder="1"/>
    <xf numFmtId="0" fontId="10" fillId="0" borderId="107" xfId="4" applyFont="1" applyBorder="1"/>
    <xf numFmtId="0" fontId="10" fillId="0" borderId="108" xfId="4" applyFont="1" applyBorder="1"/>
    <xf numFmtId="0" fontId="10" fillId="0" borderId="105" xfId="4" applyFont="1" applyBorder="1" applyAlignment="1">
      <alignment vertical="top" wrapText="1"/>
    </xf>
    <xf numFmtId="0" fontId="10" fillId="0" borderId="106" xfId="4" applyFont="1" applyBorder="1" applyAlignment="1">
      <alignment vertical="top" wrapText="1"/>
    </xf>
    <xf numFmtId="0" fontId="28" fillId="2" borderId="4" xfId="3" applyFont="1" applyFill="1" applyBorder="1" applyAlignment="1" applyProtection="1">
      <alignment vertical="center"/>
      <protection locked="0"/>
    </xf>
    <xf numFmtId="0" fontId="22" fillId="3" borderId="0" xfId="0" applyFont="1" applyFill="1" applyAlignment="1">
      <alignment horizontal="center" vertical="center" wrapText="1"/>
    </xf>
    <xf numFmtId="0" fontId="28" fillId="0" borderId="1" xfId="3" applyFont="1" applyBorder="1" applyAlignment="1" applyProtection="1">
      <alignment vertical="center"/>
      <protection locked="0"/>
    </xf>
    <xf numFmtId="0" fontId="34" fillId="0" borderId="0" xfId="3" applyFont="1" applyAlignment="1" applyProtection="1">
      <alignment vertical="center"/>
      <protection locked="0"/>
    </xf>
    <xf numFmtId="0" fontId="30" fillId="0" borderId="0" xfId="0" applyFont="1" applyAlignment="1" applyProtection="1">
      <alignment vertical="center" wrapText="1"/>
      <protection locked="0"/>
    </xf>
    <xf numFmtId="0" fontId="34" fillId="0" borderId="0" xfId="0" applyFont="1"/>
    <xf numFmtId="2" fontId="23" fillId="2" borderId="0" xfId="0" applyNumberFormat="1" applyFont="1" applyFill="1"/>
    <xf numFmtId="0" fontId="23" fillId="0" borderId="0" xfId="0" applyFont="1"/>
    <xf numFmtId="2" fontId="23" fillId="0" borderId="0" xfId="0" applyNumberFormat="1" applyFont="1"/>
    <xf numFmtId="167" fontId="23" fillId="0" borderId="0" xfId="0" applyNumberFormat="1" applyFont="1"/>
    <xf numFmtId="0" fontId="18" fillId="0" borderId="13" xfId="0" applyFont="1" applyBorder="1" applyAlignment="1">
      <alignment horizontal="left" vertical="center" wrapText="1"/>
    </xf>
    <xf numFmtId="0" fontId="21" fillId="0" borderId="8" xfId="0" applyFont="1" applyBorder="1" applyAlignment="1">
      <alignment horizontal="center" vertical="center" wrapText="1"/>
    </xf>
    <xf numFmtId="0" fontId="14" fillId="0" borderId="28" xfId="0" applyFont="1" applyBorder="1" applyAlignment="1">
      <alignment horizontal="center" vertical="center" wrapText="1"/>
    </xf>
    <xf numFmtId="0" fontId="21"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43" fillId="16" borderId="1" xfId="3" applyFont="1" applyFill="1" applyBorder="1" applyAlignment="1" applyProtection="1">
      <alignment horizontal="center" vertical="center" wrapText="1"/>
      <protection locked="0"/>
    </xf>
    <xf numFmtId="0" fontId="43" fillId="15" borderId="1" xfId="3" applyFont="1" applyFill="1" applyBorder="1" applyAlignment="1" applyProtection="1">
      <alignment horizontal="center" vertical="center" wrapText="1"/>
      <protection locked="0"/>
    </xf>
    <xf numFmtId="0" fontId="43" fillId="14" borderId="1" xfId="3" applyFont="1" applyFill="1" applyBorder="1" applyAlignment="1" applyProtection="1">
      <alignment horizontal="center" vertical="center" wrapText="1"/>
      <protection locked="0"/>
    </xf>
    <xf numFmtId="0" fontId="43" fillId="13" borderId="1" xfId="3" applyFont="1" applyFill="1" applyBorder="1" applyAlignment="1" applyProtection="1">
      <alignment horizontal="center" vertical="center" wrapText="1"/>
      <protection locked="0"/>
    </xf>
    <xf numFmtId="0" fontId="28" fillId="2" borderId="123" xfId="3" applyFont="1" applyFill="1" applyBorder="1" applyAlignment="1" applyProtection="1">
      <alignment vertical="center"/>
      <protection locked="0"/>
    </xf>
    <xf numFmtId="0" fontId="28" fillId="2" borderId="3" xfId="3" applyFont="1" applyFill="1" applyBorder="1" applyAlignment="1" applyProtection="1">
      <alignment vertical="center"/>
      <protection locked="0"/>
    </xf>
    <xf numFmtId="0" fontId="14" fillId="19" borderId="1" xfId="0" applyFont="1" applyFill="1" applyBorder="1" applyAlignment="1">
      <alignment horizontal="center" vertical="center"/>
    </xf>
    <xf numFmtId="0" fontId="5" fillId="17" borderId="83" xfId="0" applyFont="1" applyFill="1" applyBorder="1" applyAlignment="1">
      <alignment horizontal="center" vertical="center" wrapText="1"/>
    </xf>
    <xf numFmtId="0" fontId="5" fillId="3" borderId="73" xfId="0" applyFont="1" applyFill="1" applyBorder="1" applyAlignment="1">
      <alignment horizontal="center" vertical="center" wrapText="1"/>
    </xf>
    <xf numFmtId="0" fontId="5" fillId="3" borderId="83" xfId="0" applyFont="1" applyFill="1" applyBorder="1" applyAlignment="1">
      <alignment horizontal="center" vertical="center" wrapText="1"/>
    </xf>
    <xf numFmtId="0" fontId="39" fillId="17" borderId="47" xfId="0" applyFont="1" applyFill="1" applyBorder="1" applyAlignment="1">
      <alignment horizontal="center" vertical="center" wrapText="1"/>
    </xf>
    <xf numFmtId="0" fontId="39" fillId="6" borderId="1" xfId="0" applyFont="1" applyFill="1" applyBorder="1" applyAlignment="1">
      <alignment horizontal="center" vertical="center" wrapText="1"/>
    </xf>
    <xf numFmtId="0" fontId="39" fillId="5" borderId="1" xfId="0" applyFont="1" applyFill="1" applyBorder="1" applyAlignment="1">
      <alignment horizontal="center" vertical="center" wrapText="1"/>
    </xf>
    <xf numFmtId="0" fontId="39" fillId="3" borderId="1" xfId="0" applyFont="1" applyFill="1" applyBorder="1" applyAlignment="1">
      <alignment horizontal="center" vertical="center" wrapText="1"/>
    </xf>
    <xf numFmtId="0" fontId="39" fillId="7" borderId="1" xfId="0" applyFont="1" applyFill="1" applyBorder="1" applyAlignment="1">
      <alignment horizontal="center" vertical="center" wrapText="1"/>
    </xf>
    <xf numFmtId="0" fontId="39" fillId="11" borderId="1" xfId="0" applyFont="1" applyFill="1" applyBorder="1" applyAlignment="1">
      <alignment horizontal="center" vertical="center" wrapText="1"/>
    </xf>
    <xf numFmtId="2" fontId="51" fillId="2" borderId="0" xfId="0" applyNumberFormat="1" applyFont="1" applyFill="1"/>
    <xf numFmtId="2" fontId="51" fillId="0" borderId="0" xfId="0" applyNumberFormat="1" applyFont="1"/>
    <xf numFmtId="0" fontId="51" fillId="2" borderId="0" xfId="0" applyFont="1" applyFill="1"/>
    <xf numFmtId="0" fontId="21" fillId="2" borderId="92"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9" xfId="0" applyFont="1" applyFill="1" applyBorder="1" applyAlignment="1" applyProtection="1">
      <alignment horizontal="center" vertical="center"/>
      <protection locked="0"/>
    </xf>
    <xf numFmtId="0" fontId="21" fillId="2" borderId="17" xfId="0" applyFont="1" applyFill="1" applyBorder="1" applyAlignment="1" applyProtection="1">
      <alignment horizontal="center" vertical="center"/>
      <protection locked="0"/>
    </xf>
    <xf numFmtId="9" fontId="21" fillId="0" borderId="3" xfId="6" applyFont="1" applyFill="1" applyBorder="1" applyAlignment="1" applyProtection="1">
      <alignment horizontal="center" vertical="center"/>
      <protection hidden="1"/>
    </xf>
    <xf numFmtId="9" fontId="21" fillId="0" borderId="1" xfId="6" applyFont="1" applyFill="1" applyBorder="1" applyAlignment="1" applyProtection="1">
      <alignment horizontal="center" vertical="center"/>
      <protection hidden="1"/>
    </xf>
    <xf numFmtId="0" fontId="29" fillId="2" borderId="113" xfId="3" applyFont="1" applyFill="1" applyBorder="1" applyAlignment="1" applyProtection="1">
      <alignment horizontal="center" vertical="center" wrapText="1"/>
      <protection hidden="1"/>
    </xf>
    <xf numFmtId="0" fontId="20" fillId="2" borderId="67" xfId="3" applyFont="1" applyFill="1" applyBorder="1" applyAlignment="1" applyProtection="1">
      <alignment horizontal="center" vertical="center" wrapText="1"/>
      <protection hidden="1"/>
    </xf>
    <xf numFmtId="0" fontId="29" fillId="2" borderId="68" xfId="3" applyFont="1" applyFill="1" applyBorder="1" applyAlignment="1" applyProtection="1">
      <alignment horizontal="center" vertical="center" wrapText="1"/>
      <protection hidden="1"/>
    </xf>
    <xf numFmtId="0" fontId="29" fillId="2" borderId="68" xfId="3" applyFont="1" applyFill="1" applyBorder="1" applyAlignment="1" applyProtection="1">
      <alignment horizontal="left" vertical="top" wrapText="1"/>
      <protection hidden="1"/>
    </xf>
    <xf numFmtId="1" fontId="29" fillId="2" borderId="68" xfId="3" applyNumberFormat="1" applyFont="1" applyFill="1" applyBorder="1" applyAlignment="1" applyProtection="1">
      <alignment horizontal="center" vertical="center" wrapText="1"/>
      <protection hidden="1"/>
    </xf>
    <xf numFmtId="1" fontId="20" fillId="2" borderId="69" xfId="3" applyNumberFormat="1" applyFont="1" applyFill="1" applyBorder="1" applyAlignment="1" applyProtection="1">
      <alignment horizontal="center" vertical="center" wrapText="1"/>
      <protection hidden="1"/>
    </xf>
    <xf numFmtId="0" fontId="29" fillId="2" borderId="70" xfId="3" applyFont="1" applyFill="1" applyBorder="1" applyAlignment="1" applyProtection="1">
      <alignment horizontal="center" vertical="center" wrapText="1"/>
      <protection hidden="1"/>
    </xf>
    <xf numFmtId="0" fontId="29" fillId="2" borderId="70" xfId="3" applyFont="1" applyFill="1" applyBorder="1" applyAlignment="1" applyProtection="1">
      <alignment horizontal="left" vertical="top" wrapText="1"/>
      <protection hidden="1"/>
    </xf>
    <xf numFmtId="0" fontId="29" fillId="2" borderId="89" xfId="3" applyFont="1" applyFill="1" applyBorder="1" applyAlignment="1" applyProtection="1">
      <alignment horizontal="center" vertical="center" wrapText="1"/>
      <protection hidden="1"/>
    </xf>
    <xf numFmtId="0" fontId="20" fillId="2" borderId="69" xfId="3" applyFont="1" applyFill="1" applyBorder="1" applyAlignment="1" applyProtection="1">
      <alignment horizontal="center" vertical="center" wrapText="1"/>
      <protection hidden="1"/>
    </xf>
    <xf numFmtId="1" fontId="20" fillId="2" borderId="71" xfId="3" applyNumberFormat="1" applyFont="1" applyFill="1" applyBorder="1" applyAlignment="1" applyProtection="1">
      <alignment horizontal="center" vertical="center" wrapText="1"/>
      <protection hidden="1"/>
    </xf>
    <xf numFmtId="0" fontId="29" fillId="2" borderId="72" xfId="3" applyFont="1" applyFill="1" applyBorder="1" applyAlignment="1" applyProtection="1">
      <alignment horizontal="center" vertical="center" wrapText="1"/>
      <protection hidden="1"/>
    </xf>
    <xf numFmtId="0" fontId="29" fillId="2" borderId="72" xfId="3" applyFont="1" applyFill="1" applyBorder="1" applyAlignment="1" applyProtection="1">
      <alignment horizontal="left" vertical="top" wrapText="1"/>
      <protection hidden="1"/>
    </xf>
    <xf numFmtId="0" fontId="29" fillId="2" borderId="114" xfId="3" applyFont="1" applyFill="1" applyBorder="1" applyAlignment="1" applyProtection="1">
      <alignment horizontal="center" vertical="center" wrapText="1"/>
      <protection hidden="1"/>
    </xf>
    <xf numFmtId="0" fontId="31" fillId="3" borderId="19" xfId="3" applyFont="1" applyFill="1" applyBorder="1" applyAlignment="1">
      <alignment horizontal="center" vertical="center"/>
    </xf>
    <xf numFmtId="0" fontId="31" fillId="3" borderId="12" xfId="3" applyFont="1" applyFill="1" applyBorder="1" applyAlignment="1">
      <alignment horizontal="center" vertical="center" wrapText="1"/>
    </xf>
    <xf numFmtId="0" fontId="32" fillId="18" borderId="55" xfId="3" applyFont="1" applyFill="1" applyBorder="1" applyAlignment="1">
      <alignment horizontal="center" vertical="center"/>
    </xf>
    <xf numFmtId="0" fontId="32" fillId="18" borderId="122" xfId="3" applyFont="1" applyFill="1" applyBorder="1" applyAlignment="1">
      <alignment horizontal="center" vertical="center"/>
    </xf>
    <xf numFmtId="0" fontId="28" fillId="2" borderId="0" xfId="3" applyFont="1" applyFill="1" applyAlignment="1" applyProtection="1">
      <alignment vertical="center"/>
      <protection hidden="1"/>
    </xf>
    <xf numFmtId="9" fontId="10" fillId="2" borderId="0" xfId="3" applyNumberFormat="1" applyFont="1" applyFill="1" applyAlignment="1" applyProtection="1">
      <alignment vertical="center"/>
      <protection hidden="1"/>
    </xf>
    <xf numFmtId="9" fontId="34" fillId="2" borderId="0" xfId="6" applyFont="1" applyFill="1" applyAlignment="1" applyProtection="1">
      <alignment vertical="center"/>
      <protection hidden="1"/>
    </xf>
    <xf numFmtId="9" fontId="34" fillId="2" borderId="0" xfId="3" applyNumberFormat="1" applyFont="1" applyFill="1" applyAlignment="1" applyProtection="1">
      <alignment vertical="center"/>
      <protection hidden="1"/>
    </xf>
    <xf numFmtId="0" fontId="10" fillId="2" borderId="0" xfId="3" applyFont="1" applyFill="1" applyAlignment="1" applyProtection="1">
      <alignment vertical="center"/>
      <protection hidden="1"/>
    </xf>
    <xf numFmtId="9" fontId="47" fillId="3" borderId="83" xfId="0" applyNumberFormat="1" applyFont="1" applyFill="1" applyBorder="1" applyAlignment="1" applyProtection="1">
      <alignment horizontal="center" vertical="center"/>
      <protection hidden="1"/>
    </xf>
    <xf numFmtId="9" fontId="42" fillId="16" borderId="1" xfId="0" applyNumberFormat="1"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hidden="1"/>
    </xf>
    <xf numFmtId="9" fontId="42" fillId="16" borderId="1" xfId="0" applyNumberFormat="1" applyFont="1" applyFill="1" applyBorder="1" applyAlignment="1" applyProtection="1">
      <alignment horizontal="center" vertical="center"/>
      <protection locked="0"/>
    </xf>
    <xf numFmtId="9" fontId="6" fillId="0" borderId="1" xfId="0" applyNumberFormat="1" applyFont="1" applyBorder="1" applyAlignment="1" applyProtection="1">
      <alignment horizontal="center" vertical="center"/>
      <protection locked="0"/>
    </xf>
    <xf numFmtId="0" fontId="14" fillId="0" borderId="0" xfId="3" applyFont="1" applyAlignment="1" applyProtection="1">
      <alignment vertical="center"/>
      <protection hidden="1"/>
    </xf>
    <xf numFmtId="0" fontId="18" fillId="0" borderId="0" xfId="3" applyFont="1" applyAlignment="1" applyProtection="1">
      <alignment vertical="center" wrapText="1"/>
      <protection hidden="1"/>
    </xf>
    <xf numFmtId="0" fontId="0" fillId="0" borderId="0" xfId="0" applyProtection="1">
      <protection hidden="1"/>
    </xf>
    <xf numFmtId="0" fontId="14" fillId="0" borderId="0" xfId="3" applyFont="1" applyAlignment="1" applyProtection="1">
      <alignment vertical="center" wrapText="1"/>
      <protection hidden="1"/>
    </xf>
    <xf numFmtId="0" fontId="33" fillId="0" borderId="0" xfId="0" applyFont="1" applyProtection="1">
      <protection hidden="1"/>
    </xf>
    <xf numFmtId="0" fontId="14" fillId="10" borderId="1" xfId="3" applyFont="1" applyFill="1" applyBorder="1" applyAlignment="1" applyProtection="1">
      <alignment horizontal="center" vertical="center" wrapText="1"/>
      <protection locked="0"/>
    </xf>
    <xf numFmtId="0" fontId="10" fillId="0" borderId="105" xfId="4" applyFont="1" applyBorder="1" applyAlignment="1">
      <alignment horizontal="left" vertical="top"/>
    </xf>
    <xf numFmtId="0" fontId="10" fillId="0" borderId="106" xfId="4" applyFont="1" applyBorder="1" applyAlignment="1">
      <alignment horizontal="left" vertical="top"/>
    </xf>
    <xf numFmtId="0" fontId="22" fillId="3" borderId="25"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20" borderId="1" xfId="0" applyFont="1" applyFill="1" applyBorder="1" applyAlignment="1">
      <alignment horizontal="center" vertical="center"/>
    </xf>
    <xf numFmtId="0" fontId="22" fillId="20" borderId="1" xfId="0" applyFont="1" applyFill="1" applyBorder="1" applyAlignment="1">
      <alignment horizontal="center" vertical="center" wrapText="1"/>
    </xf>
    <xf numFmtId="0" fontId="20" fillId="2" borderId="0" xfId="0" applyFont="1" applyFill="1" applyAlignment="1">
      <alignment horizontal="left" wrapText="1"/>
    </xf>
    <xf numFmtId="0" fontId="14" fillId="19" borderId="1" xfId="0" applyFont="1" applyFill="1" applyBorder="1" applyAlignment="1">
      <alignment horizontal="left" vertical="center" wrapText="1"/>
    </xf>
    <xf numFmtId="0" fontId="18" fillId="19" borderId="1" xfId="0" applyFont="1" applyFill="1" applyBorder="1" applyAlignment="1">
      <alignment horizontal="left" vertical="center" wrapText="1"/>
    </xf>
    <xf numFmtId="0" fontId="20" fillId="2" borderId="12" xfId="0" applyFont="1" applyFill="1" applyBorder="1" applyAlignment="1" applyProtection="1">
      <alignment horizontal="left" vertical="center" wrapText="1"/>
      <protection locked="0"/>
    </xf>
    <xf numFmtId="0" fontId="20" fillId="2" borderId="19" xfId="0" applyFont="1" applyFill="1" applyBorder="1" applyAlignment="1" applyProtection="1">
      <alignment horizontal="left" vertical="center" wrapText="1"/>
      <protection locked="0"/>
    </xf>
    <xf numFmtId="0" fontId="2" fillId="2" borderId="17" xfId="2" applyFill="1" applyBorder="1" applyAlignment="1" applyProtection="1">
      <alignment horizontal="left" vertical="center" wrapText="1"/>
      <protection locked="0"/>
    </xf>
    <xf numFmtId="0" fontId="2" fillId="2" borderId="12" xfId="2" applyFill="1" applyBorder="1" applyAlignment="1" applyProtection="1">
      <alignment horizontal="left" vertical="center" wrapText="1"/>
      <protection locked="0"/>
    </xf>
    <xf numFmtId="0" fontId="2" fillId="2" borderId="19" xfId="2" applyFill="1" applyBorder="1" applyAlignment="1" applyProtection="1">
      <alignment horizontal="left" vertical="center" wrapText="1"/>
      <protection locked="0"/>
    </xf>
    <xf numFmtId="0" fontId="2" fillId="2" borderId="12" xfId="2" applyFill="1" applyBorder="1" applyAlignment="1" applyProtection="1">
      <alignment horizontal="center" vertical="center" wrapText="1"/>
      <protection locked="0"/>
    </xf>
    <xf numFmtId="0" fontId="21" fillId="2" borderId="19" xfId="0" applyFont="1" applyFill="1" applyBorder="1" applyAlignment="1" applyProtection="1">
      <alignment horizontal="center" vertical="center" wrapText="1"/>
      <protection locked="0"/>
    </xf>
    <xf numFmtId="0" fontId="21" fillId="0" borderId="92" xfId="0" applyFont="1" applyBorder="1" applyAlignment="1" applyProtection="1">
      <alignment horizontal="center" vertical="center"/>
      <protection locked="0"/>
    </xf>
    <xf numFmtId="0" fontId="2" fillId="0" borderId="17" xfId="2" applyFill="1" applyBorder="1" applyAlignment="1" applyProtection="1">
      <alignment horizontal="left" vertical="center" wrapText="1"/>
      <protection locked="0"/>
    </xf>
    <xf numFmtId="0" fontId="21" fillId="0" borderId="12" xfId="0" applyFont="1" applyBorder="1" applyAlignment="1" applyProtection="1">
      <alignment horizontal="center" vertical="center"/>
      <protection locked="0"/>
    </xf>
    <xf numFmtId="0" fontId="2" fillId="0" borderId="91" xfId="2" applyFill="1" applyBorder="1" applyAlignment="1" applyProtection="1">
      <alignment horizontal="left" vertical="center" wrapText="1"/>
      <protection locked="0"/>
    </xf>
    <xf numFmtId="0" fontId="21" fillId="0" borderId="95" xfId="0" applyFont="1" applyBorder="1" applyAlignment="1" applyProtection="1">
      <alignment horizontal="center" vertical="center"/>
      <protection locked="0"/>
    </xf>
    <xf numFmtId="0" fontId="20" fillId="0" borderId="12" xfId="0" applyFont="1" applyBorder="1" applyAlignment="1" applyProtection="1">
      <alignment horizontal="left" vertical="center" wrapText="1"/>
      <protection locked="0"/>
    </xf>
    <xf numFmtId="0" fontId="2" fillId="0" borderId="12" xfId="2" applyFill="1" applyBorder="1" applyAlignment="1" applyProtection="1">
      <alignment horizontal="left" vertical="center" wrapText="1"/>
      <protection locked="0"/>
    </xf>
    <xf numFmtId="0" fontId="21" fillId="0" borderId="19" xfId="0" applyFont="1" applyBorder="1" applyAlignment="1" applyProtection="1">
      <alignment horizontal="center" vertical="center"/>
      <protection locked="0"/>
    </xf>
    <xf numFmtId="0" fontId="20" fillId="0" borderId="19" xfId="0" applyFont="1" applyBorder="1" applyAlignment="1" applyProtection="1">
      <alignment horizontal="left" vertical="center" wrapText="1"/>
      <protection locked="0"/>
    </xf>
    <xf numFmtId="0" fontId="21" fillId="0" borderId="17" xfId="0" applyFont="1" applyBorder="1" applyAlignment="1" applyProtection="1">
      <alignment horizontal="center" vertical="center"/>
      <protection locked="0"/>
    </xf>
    <xf numFmtId="0" fontId="21" fillId="0" borderId="0" xfId="0" applyFont="1"/>
    <xf numFmtId="0" fontId="56" fillId="0" borderId="12" xfId="2" applyFont="1" applyFill="1" applyBorder="1" applyAlignment="1" applyProtection="1">
      <alignment horizontal="left" vertical="center" wrapText="1"/>
      <protection locked="0"/>
    </xf>
    <xf numFmtId="0" fontId="21" fillId="0" borderId="12" xfId="0" applyFont="1" applyBorder="1" applyAlignment="1" applyProtection="1">
      <alignment horizontal="left" vertical="center" wrapText="1"/>
      <protection locked="0"/>
    </xf>
    <xf numFmtId="0" fontId="21" fillId="0" borderId="19" xfId="0" applyFont="1" applyBorder="1" applyAlignment="1" applyProtection="1">
      <alignment horizontal="left" vertical="center" wrapText="1"/>
      <protection locked="0"/>
    </xf>
    <xf numFmtId="0" fontId="56" fillId="0" borderId="19" xfId="2" applyFont="1" applyFill="1" applyBorder="1" applyAlignment="1" applyProtection="1">
      <alignment horizontal="left" vertical="center" wrapText="1"/>
      <protection locked="0"/>
    </xf>
    <xf numFmtId="0" fontId="21" fillId="2" borderId="12" xfId="0" applyFont="1" applyFill="1" applyBorder="1" applyAlignment="1" applyProtection="1">
      <alignment horizontal="center" vertical="center" wrapText="1"/>
      <protection locked="0"/>
    </xf>
    <xf numFmtId="0" fontId="20" fillId="2" borderId="0" xfId="0" applyFont="1" applyFill="1" applyAlignment="1">
      <alignment vertical="top"/>
    </xf>
    <xf numFmtId="0" fontId="20" fillId="2" borderId="0" xfId="0" applyFont="1" applyFill="1" applyAlignment="1">
      <alignment wrapText="1"/>
    </xf>
    <xf numFmtId="0" fontId="21" fillId="2" borderId="143" xfId="0" applyFont="1" applyFill="1" applyBorder="1" applyAlignment="1" applyProtection="1">
      <alignment horizontal="center" vertical="center"/>
      <protection locked="0"/>
    </xf>
    <xf numFmtId="0" fontId="2" fillId="2" borderId="19" xfId="2" applyFill="1" applyBorder="1" applyAlignment="1" applyProtection="1">
      <alignment horizontal="center" vertical="center" wrapText="1"/>
      <protection locked="0"/>
    </xf>
    <xf numFmtId="169" fontId="6" fillId="0" borderId="1" xfId="0" applyNumberFormat="1" applyFont="1" applyBorder="1" applyAlignment="1" applyProtection="1">
      <alignment horizontal="center" vertical="center"/>
      <protection locked="0"/>
    </xf>
    <xf numFmtId="0" fontId="57" fillId="0" borderId="59" xfId="0" applyFont="1" applyBorder="1" applyAlignment="1" applyProtection="1">
      <alignment horizontal="left" vertical="center" wrapText="1"/>
      <protection locked="0"/>
    </xf>
    <xf numFmtId="0" fontId="20" fillId="2" borderId="0" xfId="0" applyFont="1" applyFill="1" applyAlignment="1">
      <alignment horizontal="center"/>
    </xf>
    <xf numFmtId="164" fontId="20" fillId="2" borderId="0" xfId="0" applyNumberFormat="1" applyFont="1" applyFill="1" applyAlignment="1">
      <alignment horizontal="center"/>
    </xf>
    <xf numFmtId="0" fontId="45" fillId="2" borderId="0" xfId="0" applyFont="1" applyFill="1" applyAlignment="1">
      <alignment vertical="center" wrapText="1"/>
    </xf>
    <xf numFmtId="0" fontId="45" fillId="3" borderId="1" xfId="0" applyFont="1" applyFill="1" applyBorder="1" applyAlignment="1">
      <alignment vertical="center" wrapText="1"/>
    </xf>
    <xf numFmtId="49" fontId="58" fillId="2" borderId="0" xfId="0" applyNumberFormat="1" applyFont="1" applyFill="1" applyAlignment="1" applyProtection="1">
      <alignment vertical="center" wrapText="1"/>
      <protection locked="0"/>
    </xf>
    <xf numFmtId="49" fontId="53" fillId="2" borderId="1" xfId="0" applyNumberFormat="1" applyFont="1" applyFill="1" applyBorder="1" applyAlignment="1" applyProtection="1">
      <alignment horizontal="center" vertical="center" wrapText="1"/>
      <protection locked="0"/>
    </xf>
    <xf numFmtId="0" fontId="0" fillId="2" borderId="112" xfId="0" applyFill="1" applyBorder="1"/>
    <xf numFmtId="0" fontId="0" fillId="2" borderId="144" xfId="0" applyFill="1" applyBorder="1"/>
    <xf numFmtId="0" fontId="0" fillId="2" borderId="145" xfId="0" applyFill="1" applyBorder="1"/>
    <xf numFmtId="0" fontId="0" fillId="2" borderId="105" xfId="0" applyFill="1" applyBorder="1"/>
    <xf numFmtId="0" fontId="0" fillId="2" borderId="106" xfId="0" applyFill="1" applyBorder="1"/>
    <xf numFmtId="0" fontId="41" fillId="2" borderId="0" xfId="0" applyFont="1" applyFill="1" applyAlignment="1">
      <alignment horizontal="center" vertical="center"/>
    </xf>
    <xf numFmtId="0" fontId="37" fillId="2" borderId="0" xfId="0" applyFont="1" applyFill="1"/>
    <xf numFmtId="0" fontId="39" fillId="2" borderId="0" xfId="0" applyFont="1" applyFill="1" applyAlignment="1">
      <alignment horizontal="center" vertical="center"/>
    </xf>
    <xf numFmtId="0" fontId="6" fillId="2" borderId="0" xfId="0" applyFont="1" applyFill="1" applyAlignment="1">
      <alignment horizontal="center" vertical="center"/>
    </xf>
    <xf numFmtId="49" fontId="0" fillId="2" borderId="0" xfId="0" applyNumberFormat="1" applyFill="1" applyAlignment="1">
      <alignment horizontal="left" vertical="top" wrapText="1"/>
    </xf>
    <xf numFmtId="0" fontId="0" fillId="2" borderId="106" xfId="0" applyFill="1" applyBorder="1" applyAlignment="1">
      <alignment horizontal="left"/>
    </xf>
    <xf numFmtId="49" fontId="58" fillId="2" borderId="106" xfId="0" applyNumberFormat="1" applyFont="1" applyFill="1" applyBorder="1" applyAlignment="1" applyProtection="1">
      <alignment vertical="center" wrapText="1"/>
      <protection locked="0"/>
    </xf>
    <xf numFmtId="0" fontId="36" fillId="2" borderId="0" xfId="0" applyFont="1" applyFill="1" applyAlignment="1">
      <alignment wrapText="1"/>
    </xf>
    <xf numFmtId="0" fontId="6" fillId="0" borderId="0" xfId="0" applyFont="1" applyAlignment="1">
      <alignment horizontal="center" vertical="center" wrapText="1"/>
    </xf>
    <xf numFmtId="0" fontId="37" fillId="2" borderId="0" xfId="0" applyFont="1" applyFill="1" applyAlignment="1">
      <alignment horizontal="center" vertical="center" wrapText="1"/>
    </xf>
    <xf numFmtId="0" fontId="5" fillId="3" borderId="0" xfId="0" applyFont="1" applyFill="1" applyAlignment="1">
      <alignment horizontal="center" vertical="center" wrapText="1"/>
    </xf>
    <xf numFmtId="0" fontId="50" fillId="0" borderId="0" xfId="0" applyFont="1" applyAlignment="1">
      <alignment horizontal="center" wrapText="1"/>
    </xf>
    <xf numFmtId="0" fontId="5" fillId="0" borderId="0" xfId="0" applyFont="1" applyAlignment="1">
      <alignment vertical="center"/>
    </xf>
    <xf numFmtId="9" fontId="6" fillId="0" borderId="0" xfId="0" applyNumberFormat="1" applyFont="1" applyAlignment="1">
      <alignment vertical="center"/>
    </xf>
    <xf numFmtId="0" fontId="6" fillId="0" borderId="0" xfId="0" applyFont="1" applyAlignment="1">
      <alignment vertical="center"/>
    </xf>
    <xf numFmtId="0" fontId="6" fillId="0" borderId="0" xfId="0" applyFont="1" applyAlignment="1">
      <alignment horizontal="left" vertical="center"/>
    </xf>
    <xf numFmtId="0" fontId="6" fillId="2" borderId="106" xfId="0" applyFont="1" applyFill="1" applyBorder="1" applyAlignment="1">
      <alignment vertical="center"/>
    </xf>
    <xf numFmtId="0" fontId="0" fillId="0" borderId="0" xfId="0" applyAlignment="1">
      <alignment horizontal="center"/>
    </xf>
    <xf numFmtId="0" fontId="0" fillId="0" borderId="0" xfId="0" applyAlignment="1">
      <alignment horizontal="left"/>
    </xf>
    <xf numFmtId="0" fontId="5" fillId="2" borderId="0" xfId="0" applyFont="1" applyFill="1" applyAlignment="1">
      <alignment vertical="center"/>
    </xf>
    <xf numFmtId="0" fontId="6" fillId="2" borderId="0" xfId="0" applyFont="1" applyFill="1" applyAlignment="1">
      <alignment horizontal="left" vertical="center"/>
    </xf>
    <xf numFmtId="0" fontId="4" fillId="2" borderId="0" xfId="0" applyFont="1" applyFill="1" applyAlignment="1">
      <alignment vertical="center"/>
    </xf>
    <xf numFmtId="0" fontId="8" fillId="2" borderId="0" xfId="0" applyFont="1" applyFill="1"/>
    <xf numFmtId="0" fontId="0" fillId="2" borderId="109" xfId="0" applyFill="1" applyBorder="1"/>
    <xf numFmtId="0" fontId="0" fillId="2" borderId="110" xfId="0" applyFill="1" applyBorder="1"/>
    <xf numFmtId="0" fontId="0" fillId="2" borderId="111" xfId="0" applyFill="1" applyBorder="1"/>
    <xf numFmtId="0" fontId="2" fillId="0" borderId="12" xfId="2" applyBorder="1" applyAlignment="1" applyProtection="1">
      <alignment horizontal="left" vertical="center" wrapText="1"/>
      <protection locked="0"/>
    </xf>
    <xf numFmtId="0" fontId="2" fillId="0" borderId="0" xfId="2" applyAlignment="1" applyProtection="1"/>
    <xf numFmtId="0" fontId="21" fillId="0" borderId="147" xfId="0" applyFont="1" applyBorder="1" applyAlignment="1" applyProtection="1">
      <alignment horizontal="center" vertical="center"/>
      <protection locked="0"/>
    </xf>
    <xf numFmtId="0" fontId="2" fillId="2" borderId="12" xfId="2" applyFill="1" applyBorder="1" applyAlignment="1" applyProtection="1">
      <alignment vertical="center" wrapText="1"/>
      <protection locked="0"/>
    </xf>
    <xf numFmtId="0" fontId="21" fillId="2" borderId="149" xfId="0" applyFont="1" applyFill="1" applyBorder="1" applyAlignment="1" applyProtection="1">
      <alignment horizontal="center" vertical="center"/>
      <protection locked="0"/>
    </xf>
    <xf numFmtId="0" fontId="57" fillId="14" borderId="96" xfId="0" applyFont="1" applyFill="1" applyBorder="1" applyAlignment="1" applyProtection="1">
      <alignment vertical="center" wrapText="1"/>
      <protection locked="0"/>
    </xf>
    <xf numFmtId="0" fontId="63" fillId="14" borderId="96" xfId="0" applyFont="1" applyFill="1" applyBorder="1" applyAlignment="1" applyProtection="1">
      <alignment vertical="center" wrapText="1"/>
      <protection locked="0"/>
    </xf>
    <xf numFmtId="0" fontId="2" fillId="2" borderId="92" xfId="2" applyFill="1" applyBorder="1" applyAlignment="1" applyProtection="1">
      <alignment horizontal="left" vertical="center" wrapText="1"/>
      <protection locked="0"/>
    </xf>
    <xf numFmtId="0" fontId="2" fillId="0" borderId="152" xfId="2" applyFill="1" applyBorder="1" applyAlignment="1" applyProtection="1">
      <alignment vertical="top" wrapText="1"/>
    </xf>
    <xf numFmtId="0" fontId="2" fillId="2" borderId="92" xfId="2" applyFill="1" applyBorder="1" applyAlignment="1" applyProtection="1">
      <alignment vertical="center" wrapText="1"/>
      <protection locked="0"/>
    </xf>
    <xf numFmtId="0" fontId="2" fillId="0" borderId="0" xfId="2" applyAlignment="1" applyProtection="1">
      <alignment wrapText="1"/>
    </xf>
    <xf numFmtId="0" fontId="2" fillId="0" borderId="17" xfId="2" applyBorder="1" applyAlignment="1" applyProtection="1">
      <alignment horizontal="left" vertical="center" wrapText="1"/>
      <protection locked="0"/>
    </xf>
    <xf numFmtId="0" fontId="57" fillId="14" borderId="96" xfId="0" applyFont="1" applyFill="1" applyBorder="1" applyAlignment="1" applyProtection="1">
      <alignment horizontal="left" vertical="center" wrapText="1"/>
      <protection locked="0"/>
    </xf>
    <xf numFmtId="0" fontId="20" fillId="2" borderId="19" xfId="0" applyFont="1" applyFill="1" applyBorder="1"/>
    <xf numFmtId="0" fontId="2" fillId="0" borderId="19" xfId="2" applyFill="1" applyBorder="1" applyAlignment="1" applyProtection="1">
      <alignment horizontal="left" vertical="center" wrapText="1"/>
      <protection locked="0"/>
    </xf>
    <xf numFmtId="0" fontId="2" fillId="0" borderId="0" xfId="2" applyFill="1" applyAlignment="1" applyProtection="1"/>
    <xf numFmtId="0" fontId="2" fillId="2" borderId="0" xfId="2" applyFill="1" applyAlignment="1" applyProtection="1">
      <alignment horizontal="left" wrapText="1"/>
    </xf>
    <xf numFmtId="0" fontId="20" fillId="2" borderId="24" xfId="0" applyFont="1" applyFill="1" applyBorder="1"/>
    <xf numFmtId="0" fontId="21" fillId="2" borderId="33" xfId="0" applyFont="1" applyFill="1" applyBorder="1" applyAlignment="1" applyProtection="1">
      <alignment horizontal="center" vertical="center"/>
      <protection locked="0"/>
    </xf>
    <xf numFmtId="0" fontId="21" fillId="2" borderId="60" xfId="0" applyFont="1" applyFill="1" applyBorder="1" applyAlignment="1" applyProtection="1">
      <alignment horizontal="center" vertical="center"/>
      <protection locked="0"/>
    </xf>
    <xf numFmtId="0" fontId="2" fillId="0" borderId="12" xfId="2" applyBorder="1" applyAlignment="1" applyProtection="1"/>
    <xf numFmtId="0" fontId="65" fillId="0" borderId="12" xfId="2" applyFont="1" applyFill="1" applyBorder="1" applyAlignment="1" applyProtection="1">
      <alignment horizontal="left" vertical="center" wrapText="1"/>
      <protection locked="0"/>
    </xf>
    <xf numFmtId="0" fontId="2" fillId="0" borderId="159" xfId="2" applyFill="1" applyBorder="1" applyAlignment="1" applyProtection="1">
      <alignment horizontal="left" vertical="center" wrapText="1"/>
      <protection locked="0"/>
    </xf>
    <xf numFmtId="0" fontId="65" fillId="2" borderId="12" xfId="2" applyFont="1" applyFill="1" applyBorder="1" applyAlignment="1" applyProtection="1">
      <alignment horizontal="left" vertical="center" wrapText="1"/>
      <protection locked="0"/>
    </xf>
    <xf numFmtId="0" fontId="2" fillId="0" borderId="19" xfId="2" applyFill="1" applyBorder="1" applyAlignment="1" applyProtection="1">
      <alignment vertical="top" wrapText="1"/>
    </xf>
    <xf numFmtId="0" fontId="21" fillId="2" borderId="151" xfId="0" applyFont="1" applyFill="1" applyBorder="1" applyAlignment="1" applyProtection="1">
      <alignment horizontal="center" vertical="center"/>
      <protection locked="0"/>
    </xf>
    <xf numFmtId="0" fontId="2" fillId="2" borderId="70" xfId="2" applyFill="1" applyBorder="1" applyAlignment="1" applyProtection="1">
      <alignment horizontal="left" vertical="center" wrapText="1"/>
      <protection locked="0"/>
    </xf>
    <xf numFmtId="0" fontId="2" fillId="0" borderId="70" xfId="2" applyBorder="1" applyAlignment="1" applyProtection="1">
      <alignment horizontal="left"/>
    </xf>
    <xf numFmtId="0" fontId="21" fillId="2" borderId="63" xfId="0" applyFont="1" applyFill="1" applyBorder="1" applyAlignment="1" applyProtection="1">
      <alignment horizontal="center" vertical="center"/>
      <protection locked="0"/>
    </xf>
    <xf numFmtId="0" fontId="2" fillId="2" borderId="70" xfId="2" applyFill="1" applyBorder="1" applyAlignment="1" applyProtection="1">
      <alignment horizontal="center" vertical="center" wrapText="1"/>
      <protection locked="0"/>
    </xf>
    <xf numFmtId="0" fontId="2" fillId="2" borderId="72" xfId="2" applyFill="1" applyBorder="1" applyAlignment="1" applyProtection="1">
      <alignment vertical="center"/>
      <protection locked="0"/>
    </xf>
    <xf numFmtId="0" fontId="20" fillId="2" borderId="72" xfId="0" applyFont="1" applyFill="1" applyBorder="1"/>
    <xf numFmtId="0" fontId="2" fillId="2" borderId="70" xfId="2" applyFill="1" applyBorder="1" applyAlignment="1" applyProtection="1">
      <alignment horizontal="left" vertical="center"/>
      <protection locked="0"/>
    </xf>
    <xf numFmtId="0" fontId="2" fillId="2" borderId="70" xfId="2" applyFill="1" applyBorder="1" applyAlignment="1" applyProtection="1">
      <alignment vertical="center" wrapText="1"/>
      <protection locked="0"/>
    </xf>
    <xf numFmtId="0" fontId="21" fillId="2" borderId="115" xfId="0" applyFont="1" applyFill="1" applyBorder="1" applyAlignment="1" applyProtection="1">
      <alignment horizontal="center" vertical="center"/>
      <protection locked="0"/>
    </xf>
    <xf numFmtId="0" fontId="2" fillId="0" borderId="70" xfId="2" applyBorder="1" applyAlignment="1" applyProtection="1"/>
    <xf numFmtId="0" fontId="21" fillId="2" borderId="163" xfId="0" applyFont="1" applyFill="1" applyBorder="1" applyAlignment="1" applyProtection="1">
      <alignment horizontal="center" vertical="center"/>
      <protection locked="0"/>
    </xf>
    <xf numFmtId="0" fontId="20" fillId="2" borderId="12" xfId="0" applyFont="1" applyFill="1" applyBorder="1"/>
    <xf numFmtId="0" fontId="2" fillId="2" borderId="24" xfId="2" applyFill="1" applyBorder="1" applyAlignment="1" applyProtection="1">
      <alignment horizontal="center" vertical="center"/>
      <protection locked="0"/>
    </xf>
    <xf numFmtId="0" fontId="18" fillId="19" borderId="55" xfId="0" applyFont="1" applyFill="1" applyBorder="1" applyAlignment="1">
      <alignment horizontal="left" vertical="center" wrapText="1"/>
    </xf>
    <xf numFmtId="0" fontId="14" fillId="19" borderId="55" xfId="0" applyFont="1" applyFill="1" applyBorder="1" applyAlignment="1">
      <alignment horizontal="center" vertical="center"/>
    </xf>
    <xf numFmtId="0" fontId="21" fillId="0" borderId="60" xfId="0" applyFont="1" applyBorder="1" applyAlignment="1" applyProtection="1">
      <alignment horizontal="center" vertical="center"/>
      <protection locked="0"/>
    </xf>
    <xf numFmtId="0" fontId="21" fillId="0" borderId="33" xfId="0" applyFont="1" applyBorder="1" applyAlignment="1" applyProtection="1">
      <alignment horizontal="center" vertical="center"/>
      <protection locked="0"/>
    </xf>
    <xf numFmtId="0" fontId="20" fillId="0" borderId="24" xfId="0" applyFont="1" applyBorder="1" applyAlignment="1" applyProtection="1">
      <alignment horizontal="left" vertical="center" wrapText="1"/>
      <protection locked="0"/>
    </xf>
    <xf numFmtId="0" fontId="2" fillId="0" borderId="17" xfId="2" applyBorder="1" applyAlignment="1" applyProtection="1"/>
    <xf numFmtId="0" fontId="21" fillId="2" borderId="66" xfId="0" applyFont="1" applyFill="1" applyBorder="1" applyAlignment="1" applyProtection="1">
      <alignment horizontal="center" vertical="center"/>
      <protection locked="0"/>
    </xf>
    <xf numFmtId="0" fontId="20" fillId="2" borderId="26" xfId="0" applyFont="1" applyFill="1" applyBorder="1"/>
    <xf numFmtId="0" fontId="2" fillId="2" borderId="149" xfId="2" applyFill="1" applyBorder="1" applyAlignment="1" applyProtection="1"/>
    <xf numFmtId="0" fontId="2" fillId="2" borderId="0" xfId="2" applyFill="1" applyAlignment="1" applyProtection="1"/>
    <xf numFmtId="0" fontId="2" fillId="2" borderId="0" xfId="2" applyFill="1" applyAlignment="1" applyProtection="1">
      <alignment wrapText="1"/>
    </xf>
    <xf numFmtId="0" fontId="2" fillId="2" borderId="12" xfId="2" applyFill="1" applyBorder="1" applyAlignment="1" applyProtection="1"/>
    <xf numFmtId="0" fontId="2" fillId="2" borderId="19" xfId="2" applyFill="1" applyBorder="1" applyAlignment="1" applyProtection="1"/>
    <xf numFmtId="0" fontId="29" fillId="2" borderId="88" xfId="3" applyFont="1" applyFill="1" applyBorder="1" applyAlignment="1" applyProtection="1">
      <alignment horizontal="center" vertical="center" wrapText="1"/>
      <protection hidden="1"/>
    </xf>
    <xf numFmtId="0" fontId="23" fillId="14" borderId="0" xfId="0" applyFont="1" applyFill="1"/>
    <xf numFmtId="0" fontId="2" fillId="0" borderId="0" xfId="7"/>
    <xf numFmtId="0" fontId="73" fillId="17" borderId="164" xfId="0" applyFont="1" applyFill="1" applyBorder="1" applyAlignment="1">
      <alignment horizontal="center" vertical="center" wrapText="1"/>
    </xf>
    <xf numFmtId="0" fontId="5" fillId="17" borderId="164" xfId="0" applyFont="1" applyFill="1" applyBorder="1" applyAlignment="1">
      <alignment horizontal="center" vertical="center" wrapText="1"/>
    </xf>
    <xf numFmtId="0" fontId="5" fillId="3" borderId="164" xfId="0" applyFont="1" applyFill="1" applyBorder="1" applyAlignment="1">
      <alignment horizontal="center" vertical="center" wrapText="1"/>
    </xf>
    <xf numFmtId="0" fontId="39" fillId="6" borderId="165" xfId="0" applyFont="1" applyFill="1" applyBorder="1" applyAlignment="1">
      <alignment horizontal="center" vertical="center" wrapText="1"/>
    </xf>
    <xf numFmtId="0" fontId="6" fillId="0" borderId="165" xfId="0" applyFont="1" applyBorder="1" applyAlignment="1" applyProtection="1">
      <alignment horizontal="center" vertical="center"/>
      <protection hidden="1"/>
    </xf>
    <xf numFmtId="9" fontId="42" fillId="16" borderId="2" xfId="0" applyNumberFormat="1" applyFont="1" applyFill="1" applyBorder="1" applyAlignment="1" applyProtection="1">
      <alignment horizontal="center" vertical="center"/>
      <protection locked="0"/>
    </xf>
    <xf numFmtId="9" fontId="42" fillId="16" borderId="2" xfId="0" applyNumberFormat="1" applyFont="1" applyFill="1" applyBorder="1" applyAlignment="1" applyProtection="1">
      <alignment horizontal="center" vertical="center"/>
      <protection hidden="1"/>
    </xf>
    <xf numFmtId="9" fontId="42" fillId="16" borderId="3" xfId="0" applyNumberFormat="1" applyFont="1" applyFill="1" applyBorder="1" applyAlignment="1" applyProtection="1">
      <alignment horizontal="center" vertical="center"/>
      <protection hidden="1"/>
    </xf>
    <xf numFmtId="0" fontId="0" fillId="0" borderId="5" xfId="0" applyBorder="1"/>
    <xf numFmtId="0" fontId="63" fillId="2" borderId="96" xfId="0" applyFont="1" applyFill="1" applyBorder="1" applyAlignment="1" applyProtection="1">
      <alignment vertical="center" wrapText="1"/>
      <protection locked="0"/>
    </xf>
    <xf numFmtId="0" fontId="57" fillId="2" borderId="96" xfId="0" applyFont="1" applyFill="1" applyBorder="1" applyAlignment="1" applyProtection="1">
      <alignment vertical="center" wrapText="1"/>
      <protection locked="0"/>
    </xf>
    <xf numFmtId="0" fontId="56" fillId="2" borderId="12" xfId="2" applyFont="1" applyFill="1" applyBorder="1" applyAlignment="1" applyProtection="1">
      <alignment horizontal="left" vertical="center" wrapText="1"/>
      <protection locked="0"/>
    </xf>
    <xf numFmtId="0" fontId="0" fillId="0" borderId="23" xfId="0" applyBorder="1"/>
    <xf numFmtId="0" fontId="2" fillId="0" borderId="24" xfId="2" applyBorder="1" applyAlignment="1" applyProtection="1"/>
    <xf numFmtId="0" fontId="0" fillId="0" borderId="160" xfId="0" applyBorder="1"/>
    <xf numFmtId="0" fontId="2" fillId="0" borderId="23" xfId="2" applyBorder="1" applyAlignment="1" applyProtection="1"/>
    <xf numFmtId="0" fontId="0" fillId="0" borderId="167" xfId="0" applyBorder="1"/>
    <xf numFmtId="0" fontId="21" fillId="2" borderId="0" xfId="0" applyFont="1" applyFill="1" applyAlignment="1" applyProtection="1">
      <alignment horizontal="center" vertical="center"/>
      <protection locked="0"/>
    </xf>
    <xf numFmtId="0" fontId="2" fillId="0" borderId="168" xfId="2" applyBorder="1" applyAlignment="1" applyProtection="1"/>
    <xf numFmtId="0" fontId="20" fillId="2" borderId="12" xfId="0" applyFont="1" applyFill="1" applyBorder="1" applyAlignment="1" applyProtection="1">
      <alignment horizontal="left" vertical="center"/>
      <protection locked="0"/>
    </xf>
    <xf numFmtId="0" fontId="2" fillId="2" borderId="23" xfId="2" applyFill="1" applyBorder="1" applyAlignment="1" applyProtection="1">
      <alignment horizontal="left" vertical="center"/>
      <protection locked="0"/>
    </xf>
    <xf numFmtId="0" fontId="0" fillId="0" borderId="0" xfId="0" applyAlignment="1">
      <alignment vertical="top" wrapText="1"/>
    </xf>
    <xf numFmtId="0" fontId="21" fillId="2" borderId="149" xfId="0" applyFont="1" applyFill="1" applyBorder="1" applyAlignment="1" applyProtection="1">
      <alignment horizontal="center" vertical="center" wrapText="1"/>
      <protection locked="0"/>
    </xf>
    <xf numFmtId="0" fontId="21" fillId="2" borderId="169" xfId="0" applyFont="1" applyFill="1" applyBorder="1" applyAlignment="1" applyProtection="1">
      <alignment horizontal="center" vertical="center" wrapText="1"/>
      <protection locked="0"/>
    </xf>
    <xf numFmtId="0" fontId="0" fillId="0" borderId="0" xfId="0" applyAlignment="1">
      <alignment vertical="center" wrapText="1"/>
    </xf>
    <xf numFmtId="0" fontId="2" fillId="0" borderId="170" xfId="2" applyBorder="1" applyAlignment="1" applyProtection="1"/>
    <xf numFmtId="0" fontId="2" fillId="2" borderId="113" xfId="2" applyFill="1" applyBorder="1" applyAlignment="1" applyProtection="1">
      <alignment horizontal="left" vertical="center" wrapText="1"/>
      <protection locked="0"/>
    </xf>
    <xf numFmtId="0" fontId="2" fillId="2" borderId="171" xfId="2" applyFill="1" applyBorder="1" applyAlignment="1" applyProtection="1">
      <alignment vertical="center" wrapText="1"/>
      <protection locked="0"/>
    </xf>
    <xf numFmtId="0" fontId="0" fillId="0" borderId="110" xfId="0" applyBorder="1"/>
    <xf numFmtId="0" fontId="0" fillId="0" borderId="0" xfId="0" applyAlignment="1">
      <alignment wrapText="1"/>
    </xf>
    <xf numFmtId="0" fontId="2" fillId="0" borderId="9" xfId="2" applyBorder="1" applyAlignment="1" applyProtection="1"/>
    <xf numFmtId="0" fontId="2" fillId="0" borderId="23" xfId="2" applyBorder="1" applyAlignment="1" applyProtection="1">
      <alignment vertical="top"/>
    </xf>
    <xf numFmtId="0" fontId="21" fillId="2" borderId="9" xfId="0" applyFont="1" applyFill="1" applyBorder="1" applyAlignment="1" applyProtection="1">
      <alignment horizontal="center" vertical="center"/>
      <protection locked="0"/>
    </xf>
    <xf numFmtId="0" fontId="0" fillId="0" borderId="23" xfId="0" applyBorder="1" applyAlignment="1">
      <alignment vertical="top" wrapText="1"/>
    </xf>
    <xf numFmtId="0" fontId="0" fillId="0" borderId="167" xfId="0" applyBorder="1" applyAlignment="1">
      <alignment vertical="top" wrapText="1"/>
    </xf>
    <xf numFmtId="0" fontId="0" fillId="0" borderId="160" xfId="0" applyBorder="1" applyAlignment="1">
      <alignment vertical="center"/>
    </xf>
    <xf numFmtId="0" fontId="0" fillId="0" borderId="23" xfId="0" applyBorder="1" applyAlignment="1">
      <alignment vertical="center"/>
    </xf>
    <xf numFmtId="0" fontId="0" fillId="0" borderId="167" xfId="0" applyBorder="1" applyAlignment="1">
      <alignment vertical="center"/>
    </xf>
    <xf numFmtId="0" fontId="2" fillId="0" borderId="23" xfId="7" applyBorder="1"/>
    <xf numFmtId="0" fontId="2" fillId="2" borderId="169" xfId="2" applyFill="1" applyBorder="1" applyAlignment="1" applyProtection="1">
      <alignment vertical="center" wrapText="1"/>
      <protection locked="0"/>
    </xf>
    <xf numFmtId="0" fontId="2" fillId="2" borderId="172" xfId="2" applyFill="1" applyBorder="1" applyAlignment="1" applyProtection="1">
      <alignment horizontal="left" vertical="center" wrapText="1"/>
      <protection locked="0"/>
    </xf>
    <xf numFmtId="0" fontId="2" fillId="2" borderId="171" xfId="2" applyFill="1" applyBorder="1" applyAlignment="1" applyProtection="1">
      <alignment horizontal="left" vertical="center" wrapText="1"/>
      <protection locked="0"/>
    </xf>
    <xf numFmtId="0" fontId="0" fillId="0" borderId="155" xfId="0" applyBorder="1"/>
    <xf numFmtId="0" fontId="0" fillId="0" borderId="32" xfId="0" applyBorder="1"/>
    <xf numFmtId="0" fontId="21" fillId="2" borderId="169" xfId="0" applyFont="1" applyFill="1" applyBorder="1" applyAlignment="1" applyProtection="1">
      <alignment horizontal="center" vertical="center"/>
      <protection locked="0"/>
    </xf>
    <xf numFmtId="0" fontId="2" fillId="2" borderId="173" xfId="2" applyFill="1" applyBorder="1" applyAlignment="1" applyProtection="1">
      <alignment horizontal="left" vertical="center" wrapText="1"/>
      <protection locked="0"/>
    </xf>
    <xf numFmtId="0" fontId="74" fillId="2" borderId="96" xfId="0" applyFont="1" applyFill="1" applyBorder="1" applyAlignment="1" applyProtection="1">
      <alignment horizontal="left" vertical="center" wrapText="1"/>
      <protection locked="0"/>
    </xf>
    <xf numFmtId="0" fontId="74" fillId="2" borderId="96" xfId="0" applyFont="1" applyFill="1" applyBorder="1" applyAlignment="1" applyProtection="1">
      <alignment vertical="center" wrapText="1"/>
      <protection locked="0"/>
    </xf>
    <xf numFmtId="0" fontId="0" fillId="2" borderId="1" xfId="0" applyFill="1" applyBorder="1" applyAlignment="1">
      <alignment wrapText="1"/>
    </xf>
    <xf numFmtId="0" fontId="0" fillId="2" borderId="1" xfId="0" applyFill="1" applyBorder="1" applyAlignment="1">
      <alignment vertical="top" wrapText="1"/>
    </xf>
    <xf numFmtId="0" fontId="81" fillId="2" borderId="0" xfId="0" applyFont="1" applyFill="1"/>
    <xf numFmtId="0" fontId="81" fillId="2" borderId="166" xfId="0" applyFont="1" applyFill="1" applyBorder="1"/>
    <xf numFmtId="0" fontId="2" fillId="2" borderId="0" xfId="7" applyFill="1"/>
    <xf numFmtId="0" fontId="77" fillId="2" borderId="1" xfId="0" applyFont="1" applyFill="1" applyBorder="1" applyAlignment="1" applyProtection="1">
      <alignment horizontal="center" vertical="center"/>
      <protection locked="0"/>
    </xf>
    <xf numFmtId="164" fontId="78" fillId="2" borderId="4" xfId="0" applyNumberFormat="1" applyFont="1" applyFill="1" applyBorder="1" applyAlignment="1" applyProtection="1">
      <alignment horizontal="center" vertical="center"/>
      <protection locked="0"/>
    </xf>
    <xf numFmtId="164" fontId="78" fillId="2" borderId="5" xfId="0" applyNumberFormat="1" applyFont="1" applyFill="1" applyBorder="1" applyAlignment="1" applyProtection="1">
      <alignment horizontal="center" vertical="center"/>
      <protection locked="0"/>
    </xf>
    <xf numFmtId="164" fontId="78" fillId="2" borderId="59" xfId="0" applyNumberFormat="1" applyFont="1" applyFill="1" applyBorder="1" applyAlignment="1" applyProtection="1">
      <alignment horizontal="center" vertical="center"/>
      <protection locked="0"/>
    </xf>
    <xf numFmtId="49" fontId="48" fillId="2" borderId="1" xfId="0" applyNumberFormat="1" applyFont="1" applyFill="1" applyBorder="1" applyAlignment="1">
      <alignment horizontal="center" vertical="center" wrapText="1"/>
    </xf>
    <xf numFmtId="0" fontId="39" fillId="3" borderId="84" xfId="0" applyFont="1" applyFill="1" applyBorder="1" applyAlignment="1">
      <alignment horizontal="center" vertical="center" wrapText="1"/>
    </xf>
    <xf numFmtId="0" fontId="39" fillId="3" borderId="85" xfId="0" applyFont="1" applyFill="1" applyBorder="1" applyAlignment="1">
      <alignment horizontal="center" vertical="center" wrapText="1"/>
    </xf>
    <xf numFmtId="0" fontId="39" fillId="3" borderId="86" xfId="0" applyFont="1" applyFill="1" applyBorder="1" applyAlignment="1">
      <alignment horizontal="center" vertical="center" wrapText="1"/>
    </xf>
    <xf numFmtId="0" fontId="45" fillId="3" borderId="0" xfId="0" applyFont="1" applyFill="1" applyAlignment="1">
      <alignment horizontal="center" vertical="center" wrapText="1"/>
    </xf>
    <xf numFmtId="0" fontId="45" fillId="3" borderId="158" xfId="0" applyFont="1" applyFill="1" applyBorder="1" applyAlignment="1">
      <alignment horizontal="center" vertical="center" wrapText="1"/>
    </xf>
    <xf numFmtId="0" fontId="39" fillId="3" borderId="44" xfId="0" applyFont="1" applyFill="1" applyBorder="1" applyAlignment="1">
      <alignment horizontal="center" vertical="center"/>
    </xf>
    <xf numFmtId="0" fontId="39" fillId="3" borderId="45" xfId="0" applyFont="1" applyFill="1" applyBorder="1" applyAlignment="1">
      <alignment horizontal="center" vertical="center"/>
    </xf>
    <xf numFmtId="0" fontId="39" fillId="3" borderId="46" xfId="0" applyFont="1" applyFill="1" applyBorder="1" applyAlignment="1">
      <alignment horizontal="center" vertical="center"/>
    </xf>
    <xf numFmtId="49" fontId="79" fillId="2" borderId="1" xfId="0" applyNumberFormat="1" applyFont="1" applyFill="1" applyBorder="1" applyAlignment="1" applyProtection="1">
      <alignment horizontal="left" vertical="center" wrapText="1"/>
      <protection locked="0"/>
    </xf>
    <xf numFmtId="49" fontId="80" fillId="2" borderId="1" xfId="0" applyNumberFormat="1" applyFont="1" applyFill="1" applyBorder="1" applyAlignment="1" applyProtection="1">
      <alignment horizontal="left" vertical="center" wrapText="1"/>
      <protection locked="0"/>
    </xf>
    <xf numFmtId="0" fontId="11" fillId="0" borderId="103" xfId="4" applyFont="1" applyBorder="1" applyAlignment="1">
      <alignment horizontal="center" vertical="center" wrapText="1"/>
    </xf>
    <xf numFmtId="0" fontId="11" fillId="0" borderId="81" xfId="4" applyFont="1" applyBorder="1" applyAlignment="1">
      <alignment horizontal="center" vertical="center" wrapText="1"/>
    </xf>
    <xf numFmtId="0" fontId="11" fillId="0" borderId="104" xfId="4" applyFont="1" applyBorder="1" applyAlignment="1">
      <alignment horizontal="center" vertical="center" wrapText="1"/>
    </xf>
    <xf numFmtId="0" fontId="10" fillId="0" borderId="105" xfId="4" quotePrefix="1" applyFont="1" applyBorder="1" applyAlignment="1">
      <alignment horizontal="left" vertical="center" wrapText="1"/>
    </xf>
    <xf numFmtId="0" fontId="10" fillId="0" borderId="0" xfId="4" quotePrefix="1" applyFont="1" applyAlignment="1">
      <alignment horizontal="left" vertical="center" wrapText="1"/>
    </xf>
    <xf numFmtId="0" fontId="10" fillId="0" borderId="106" xfId="4" quotePrefix="1" applyFont="1" applyBorder="1" applyAlignment="1">
      <alignment horizontal="left" vertical="center" wrapText="1"/>
    </xf>
    <xf numFmtId="0" fontId="12" fillId="0" borderId="105" xfId="4" quotePrefix="1" applyFont="1" applyBorder="1" applyAlignment="1">
      <alignment horizontal="left" vertical="top" wrapText="1"/>
    </xf>
    <xf numFmtId="0" fontId="14" fillId="0" borderId="0" xfId="4" quotePrefix="1" applyFont="1" applyAlignment="1">
      <alignment horizontal="left" vertical="top" wrapText="1"/>
    </xf>
    <xf numFmtId="0" fontId="14" fillId="0" borderId="106" xfId="4" quotePrefix="1" applyFont="1" applyBorder="1" applyAlignment="1">
      <alignment horizontal="left" vertical="top" wrapText="1"/>
    </xf>
    <xf numFmtId="0" fontId="27" fillId="0" borderId="87" xfId="3" applyFont="1" applyBorder="1" applyAlignment="1" applyProtection="1">
      <alignment horizontal="center" vertical="center" wrapText="1"/>
      <protection locked="0"/>
    </xf>
    <xf numFmtId="0" fontId="28" fillId="0" borderId="87" xfId="3" applyFont="1" applyBorder="1" applyAlignment="1" applyProtection="1">
      <alignment horizontal="center" vertical="center" wrapText="1"/>
      <protection locked="0"/>
    </xf>
    <xf numFmtId="0" fontId="15" fillId="2" borderId="37"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48" xfId="4" applyFont="1" applyFill="1" applyBorder="1" applyAlignment="1">
      <alignment horizontal="center" vertical="center" textRotation="90"/>
    </xf>
    <xf numFmtId="0" fontId="15" fillId="2" borderId="49" xfId="4" applyFont="1" applyFill="1" applyBorder="1" applyAlignment="1">
      <alignment horizontal="center" vertical="center" textRotation="90"/>
    </xf>
    <xf numFmtId="0" fontId="15" fillId="2" borderId="38" xfId="0" applyFont="1" applyFill="1" applyBorder="1" applyAlignment="1">
      <alignment horizontal="left" vertical="center" wrapText="1"/>
    </xf>
    <xf numFmtId="0" fontId="15" fillId="2" borderId="39" xfId="0" applyFont="1" applyFill="1" applyBorder="1" applyAlignment="1">
      <alignment horizontal="left" vertical="center" wrapText="1"/>
    </xf>
    <xf numFmtId="0" fontId="17" fillId="0" borderId="33" xfId="4" applyFont="1" applyBorder="1" applyAlignment="1">
      <alignment horizontal="left" vertical="top" wrapText="1"/>
    </xf>
    <xf numFmtId="0" fontId="17" fillId="0" borderId="40" xfId="4" applyFont="1" applyBorder="1" applyAlignment="1">
      <alignment horizontal="left" vertical="top" wrapText="1"/>
    </xf>
    <xf numFmtId="0" fontId="17" fillId="0" borderId="1" xfId="3" applyFont="1" applyBorder="1" applyAlignment="1" applyProtection="1">
      <alignment horizontal="center" vertical="center" wrapText="1"/>
      <protection locked="0"/>
    </xf>
    <xf numFmtId="0" fontId="14" fillId="10" borderId="1" xfId="3" applyFont="1" applyFill="1" applyBorder="1" applyAlignment="1" applyProtection="1">
      <alignment horizontal="center" vertical="center" wrapText="1"/>
      <protection locked="0"/>
    </xf>
    <xf numFmtId="0" fontId="10" fillId="0" borderId="105" xfId="4" applyFont="1" applyBorder="1" applyAlignment="1">
      <alignment horizontal="left" vertical="top"/>
    </xf>
    <xf numFmtId="0" fontId="10" fillId="0" borderId="0" xfId="4" applyFont="1" applyAlignment="1">
      <alignment horizontal="left" vertical="top"/>
    </xf>
    <xf numFmtId="0" fontId="10" fillId="0" borderId="106" xfId="4" applyFont="1" applyBorder="1" applyAlignment="1">
      <alignment horizontal="left" vertical="top"/>
    </xf>
    <xf numFmtId="0" fontId="17" fillId="0" borderId="33" xfId="0" applyFont="1" applyBorder="1" applyAlignment="1">
      <alignment horizontal="left" vertical="center" wrapText="1"/>
    </xf>
    <xf numFmtId="0" fontId="17" fillId="0" borderId="40" xfId="0" applyFont="1" applyBorder="1" applyAlignment="1">
      <alignment horizontal="left" vertical="center" wrapText="1"/>
    </xf>
    <xf numFmtId="0" fontId="10" fillId="0" borderId="105" xfId="4" applyFont="1" applyBorder="1" applyAlignment="1">
      <alignment horizontal="left" vertical="top" wrapText="1"/>
    </xf>
    <xf numFmtId="0" fontId="10" fillId="0" borderId="0" xfId="4" applyFont="1" applyAlignment="1">
      <alignment horizontal="left" vertical="top" wrapText="1"/>
    </xf>
    <xf numFmtId="0" fontId="10" fillId="0" borderId="106" xfId="4" applyFont="1" applyBorder="1" applyAlignment="1">
      <alignment horizontal="left" vertical="top" wrapText="1"/>
    </xf>
    <xf numFmtId="0" fontId="10" fillId="0" borderId="0" xfId="4" applyFont="1"/>
    <xf numFmtId="0" fontId="10" fillId="0" borderId="105" xfId="4" quotePrefix="1" applyFont="1" applyBorder="1" applyAlignment="1">
      <alignment horizontal="left" vertical="top" wrapText="1"/>
    </xf>
    <xf numFmtId="0" fontId="10" fillId="0" borderId="0" xfId="4" quotePrefix="1" applyFont="1" applyAlignment="1">
      <alignment horizontal="left" vertical="top" wrapText="1"/>
    </xf>
    <xf numFmtId="0" fontId="10" fillId="0" borderId="106" xfId="4" quotePrefix="1" applyFont="1" applyBorder="1" applyAlignment="1">
      <alignment horizontal="left" vertical="top" wrapText="1"/>
    </xf>
    <xf numFmtId="0" fontId="15" fillId="12" borderId="101" xfId="4" applyFont="1" applyFill="1" applyBorder="1" applyAlignment="1">
      <alignment horizontal="center" vertical="center"/>
    </xf>
    <xf numFmtId="0" fontId="15" fillId="12" borderId="102" xfId="4" applyFont="1" applyFill="1" applyBorder="1" applyAlignment="1">
      <alignment horizontal="center" vertical="center"/>
    </xf>
    <xf numFmtId="0" fontId="17" fillId="0" borderId="99" xfId="4" applyFont="1" applyBorder="1" applyAlignment="1">
      <alignment horizontal="left" vertical="top" wrapText="1"/>
    </xf>
    <xf numFmtId="0" fontId="17" fillId="0" borderId="100" xfId="4" applyFont="1" applyBorder="1" applyAlignment="1">
      <alignment horizontal="left" vertical="top" wrapText="1"/>
    </xf>
    <xf numFmtId="0" fontId="17" fillId="0" borderId="97" xfId="0" applyFont="1" applyBorder="1" applyAlignment="1">
      <alignment horizontal="left" vertical="top" wrapText="1"/>
    </xf>
    <xf numFmtId="0" fontId="17" fillId="0" borderId="98" xfId="0" applyFont="1" applyBorder="1" applyAlignment="1">
      <alignment horizontal="left" vertical="top" wrapText="1"/>
    </xf>
    <xf numFmtId="0" fontId="15" fillId="2" borderId="36" xfId="5" applyFont="1" applyFill="1" applyBorder="1" applyAlignment="1">
      <alignment horizontal="left" vertical="top" wrapText="1" readingOrder="1"/>
    </xf>
    <xf numFmtId="0" fontId="15" fillId="2" borderId="9" xfId="5" applyFont="1" applyFill="1" applyBorder="1" applyAlignment="1">
      <alignment horizontal="left" vertical="top" wrapText="1" readingOrder="1"/>
    </xf>
    <xf numFmtId="0" fontId="15" fillId="12" borderId="34" xfId="5" applyFont="1" applyFill="1" applyBorder="1" applyAlignment="1">
      <alignment horizontal="center" vertical="center" wrapText="1"/>
    </xf>
    <xf numFmtId="0" fontId="15" fillId="12" borderId="35" xfId="5" applyFont="1" applyFill="1" applyBorder="1" applyAlignment="1">
      <alignment horizontal="center" vertical="center" wrapText="1"/>
    </xf>
    <xf numFmtId="0" fontId="26" fillId="12" borderId="0" xfId="0" applyFont="1" applyFill="1" applyAlignment="1" applyProtection="1">
      <alignment horizontal="center" vertical="center" wrapText="1"/>
      <protection locked="0"/>
    </xf>
    <xf numFmtId="0" fontId="20" fillId="2" borderId="22" xfId="0" applyFont="1" applyFill="1" applyBorder="1" applyAlignment="1" applyProtection="1">
      <alignment vertical="top" wrapText="1"/>
      <protection locked="0"/>
    </xf>
    <xf numFmtId="0" fontId="20" fillId="2" borderId="23" xfId="0" applyFont="1" applyFill="1" applyBorder="1" applyAlignment="1" applyProtection="1">
      <alignment vertical="top"/>
      <protection locked="0"/>
    </xf>
    <xf numFmtId="0" fontId="20" fillId="2" borderId="156" xfId="0" applyFont="1" applyFill="1" applyBorder="1" applyAlignment="1" applyProtection="1">
      <alignment vertical="top"/>
      <protection locked="0"/>
    </xf>
    <xf numFmtId="0" fontId="20" fillId="2" borderId="161" xfId="0" applyFont="1" applyFill="1" applyBorder="1" applyAlignment="1" applyProtection="1">
      <alignment vertical="top"/>
      <protection locked="0"/>
    </xf>
    <xf numFmtId="0" fontId="18" fillId="2" borderId="22" xfId="0" applyFont="1" applyFill="1" applyBorder="1" applyAlignment="1" applyProtection="1">
      <alignment horizontal="left" vertical="top" wrapText="1"/>
      <protection locked="0"/>
    </xf>
    <xf numFmtId="0" fontId="18" fillId="2" borderId="23" xfId="0" applyFont="1" applyFill="1" applyBorder="1" applyAlignment="1" applyProtection="1">
      <alignment horizontal="left" vertical="top" wrapText="1"/>
      <protection locked="0"/>
    </xf>
    <xf numFmtId="0" fontId="18" fillId="2" borderId="24" xfId="0" applyFont="1" applyFill="1" applyBorder="1" applyAlignment="1" applyProtection="1">
      <alignment horizontal="left" vertical="top" wrapText="1"/>
      <protection locked="0"/>
    </xf>
    <xf numFmtId="0" fontId="20" fillId="2" borderId="22" xfId="0" applyFont="1" applyFill="1" applyBorder="1" applyAlignment="1" applyProtection="1">
      <alignment horizontal="left" vertical="top" wrapText="1"/>
      <protection locked="0"/>
    </xf>
    <xf numFmtId="0" fontId="20" fillId="2" borderId="156" xfId="0" applyFont="1" applyFill="1" applyBorder="1" applyAlignment="1" applyProtection="1">
      <alignment horizontal="left" vertical="top"/>
      <protection locked="0"/>
    </xf>
    <xf numFmtId="0" fontId="20" fillId="2" borderId="23" xfId="0" applyFont="1" applyFill="1" applyBorder="1" applyAlignment="1" applyProtection="1">
      <alignment horizontal="left" vertical="top"/>
      <protection locked="0"/>
    </xf>
    <xf numFmtId="0" fontId="20" fillId="2" borderId="24" xfId="0" applyFont="1" applyFill="1" applyBorder="1" applyAlignment="1" applyProtection="1">
      <alignment horizontal="left" vertical="top"/>
      <protection locked="0"/>
    </xf>
    <xf numFmtId="0" fontId="20" fillId="2" borderId="22" xfId="0" applyFont="1" applyFill="1" applyBorder="1" applyAlignment="1" applyProtection="1">
      <alignment vertical="center" wrapText="1"/>
      <protection locked="0"/>
    </xf>
    <xf numFmtId="0" fontId="20" fillId="2" borderId="156" xfId="0" applyFont="1" applyFill="1" applyBorder="1" applyAlignment="1" applyProtection="1">
      <alignment vertical="center"/>
      <protection locked="0"/>
    </xf>
    <xf numFmtId="0" fontId="20" fillId="2" borderId="24" xfId="0" applyFont="1" applyFill="1" applyBorder="1" applyAlignment="1" applyProtection="1">
      <alignment vertical="center"/>
      <protection locked="0"/>
    </xf>
    <xf numFmtId="0" fontId="64" fillId="2" borderId="22" xfId="0" applyFont="1" applyFill="1" applyBorder="1" applyAlignment="1" applyProtection="1">
      <alignment horizontal="left" vertical="top" wrapText="1"/>
      <protection locked="0"/>
    </xf>
    <xf numFmtId="0" fontId="18" fillId="2" borderId="23" xfId="0" applyFont="1" applyFill="1" applyBorder="1" applyAlignment="1" applyProtection="1">
      <alignment horizontal="left" vertical="top"/>
      <protection locked="0"/>
    </xf>
    <xf numFmtId="0" fontId="18" fillId="2" borderId="24" xfId="0" applyFont="1" applyFill="1" applyBorder="1" applyAlignment="1" applyProtection="1">
      <alignment horizontal="left" vertical="top"/>
      <protection locked="0"/>
    </xf>
    <xf numFmtId="0" fontId="20" fillId="2" borderId="24" xfId="0" applyFont="1" applyFill="1" applyBorder="1" applyAlignment="1" applyProtection="1">
      <alignment vertical="top"/>
      <protection locked="0"/>
    </xf>
    <xf numFmtId="0" fontId="18" fillId="2" borderId="22" xfId="0" applyFont="1" applyFill="1" applyBorder="1" applyAlignment="1" applyProtection="1">
      <alignment vertical="top" wrapText="1"/>
      <protection locked="0"/>
    </xf>
    <xf numFmtId="0" fontId="51" fillId="2" borderId="23" xfId="0" applyFont="1" applyFill="1" applyBorder="1" applyAlignment="1" applyProtection="1">
      <alignment vertical="top" wrapText="1"/>
      <protection locked="0"/>
    </xf>
    <xf numFmtId="0" fontId="51" fillId="2" borderId="156" xfId="0" applyFont="1" applyFill="1" applyBorder="1" applyAlignment="1" applyProtection="1">
      <alignment vertical="top" wrapText="1"/>
      <protection locked="0"/>
    </xf>
    <xf numFmtId="0" fontId="51" fillId="2" borderId="24" xfId="0" applyFont="1" applyFill="1" applyBorder="1" applyAlignment="1" applyProtection="1">
      <alignment vertical="top" wrapText="1"/>
      <protection locked="0"/>
    </xf>
    <xf numFmtId="0" fontId="51" fillId="2" borderId="23" xfId="0" applyFont="1" applyFill="1" applyBorder="1" applyAlignment="1" applyProtection="1">
      <alignment horizontal="left" vertical="top" wrapText="1"/>
      <protection locked="0"/>
    </xf>
    <xf numFmtId="0" fontId="51" fillId="2" borderId="24" xfId="0" applyFont="1" applyFill="1" applyBorder="1" applyAlignment="1" applyProtection="1">
      <alignment horizontal="left" vertical="top" wrapText="1"/>
      <protection locked="0"/>
    </xf>
    <xf numFmtId="0" fontId="20" fillId="2" borderId="157" xfId="0" applyFont="1" applyFill="1" applyBorder="1" applyAlignment="1">
      <alignment horizontal="left" vertical="top" wrapText="1"/>
    </xf>
    <xf numFmtId="0" fontId="20" fillId="2" borderId="156" xfId="0" applyFont="1" applyFill="1" applyBorder="1" applyAlignment="1">
      <alignment horizontal="left" vertical="top" wrapText="1"/>
    </xf>
    <xf numFmtId="166" fontId="51" fillId="2" borderId="0" xfId="0" applyNumberFormat="1" applyFont="1" applyFill="1" applyAlignment="1">
      <alignment horizontal="center" vertical="center" wrapText="1"/>
    </xf>
    <xf numFmtId="0" fontId="44" fillId="19" borderId="1" xfId="0" applyFont="1" applyFill="1" applyBorder="1" applyAlignment="1">
      <alignment horizontal="center" vertical="center" textRotation="90" shrinkToFit="1"/>
    </xf>
    <xf numFmtId="0" fontId="20" fillId="2" borderId="23" xfId="0" applyFont="1" applyFill="1" applyBorder="1" applyAlignment="1">
      <alignment horizontal="left" vertical="top" wrapText="1"/>
    </xf>
    <xf numFmtId="0" fontId="20" fillId="2" borderId="24" xfId="0" applyFont="1" applyFill="1" applyBorder="1" applyAlignment="1">
      <alignment horizontal="left" vertical="top" wrapText="1"/>
    </xf>
    <xf numFmtId="0" fontId="20" fillId="2" borderId="23" xfId="0" applyFont="1" applyFill="1" applyBorder="1" applyAlignment="1" applyProtection="1">
      <alignment horizontal="center" vertical="center"/>
      <protection locked="0"/>
    </xf>
    <xf numFmtId="0" fontId="20" fillId="2" borderId="24" xfId="0" applyFont="1" applyFill="1" applyBorder="1" applyAlignment="1" applyProtection="1">
      <alignment horizontal="center" vertical="center"/>
      <protection locked="0"/>
    </xf>
    <xf numFmtId="0" fontId="20" fillId="2" borderId="29" xfId="0" applyFont="1" applyFill="1" applyBorder="1" applyAlignment="1" applyProtection="1">
      <alignment horizontal="center" vertical="center" wrapText="1"/>
      <protection hidden="1"/>
    </xf>
    <xf numFmtId="0" fontId="20" fillId="2" borderId="13" xfId="0" applyFont="1" applyFill="1" applyBorder="1" applyAlignment="1" applyProtection="1">
      <alignment horizontal="center" vertical="center" wrapText="1"/>
      <protection hidden="1"/>
    </xf>
    <xf numFmtId="0" fontId="20" fillId="2" borderId="148" xfId="0" applyFont="1" applyFill="1" applyBorder="1" applyAlignment="1" applyProtection="1">
      <alignment horizontal="center" vertical="center" wrapText="1"/>
      <protection hidden="1"/>
    </xf>
    <xf numFmtId="0" fontId="20" fillId="2" borderId="77" xfId="0" applyFont="1" applyFill="1" applyBorder="1" applyAlignment="1" applyProtection="1">
      <alignment horizontal="center" vertical="center" wrapText="1"/>
      <protection hidden="1"/>
    </xf>
    <xf numFmtId="0" fontId="20" fillId="2" borderId="16" xfId="0" applyFont="1" applyFill="1" applyBorder="1" applyAlignment="1">
      <alignment horizontal="left" vertical="top" wrapText="1"/>
    </xf>
    <xf numFmtId="0" fontId="20" fillId="2" borderId="14" xfId="0" applyFont="1" applyFill="1" applyBorder="1" applyAlignment="1">
      <alignment horizontal="left" vertical="top" wrapText="1"/>
    </xf>
    <xf numFmtId="0" fontId="20" fillId="2" borderId="15" xfId="0" applyFont="1" applyFill="1" applyBorder="1" applyAlignment="1">
      <alignment horizontal="left" vertical="top" wrapText="1"/>
    </xf>
    <xf numFmtId="0" fontId="20" fillId="2" borderId="22" xfId="0" applyFont="1" applyFill="1" applyBorder="1" applyAlignment="1" applyProtection="1">
      <alignment horizontal="center" vertical="center"/>
      <protection locked="0"/>
    </xf>
    <xf numFmtId="0" fontId="20" fillId="2" borderId="64" xfId="0" applyFont="1" applyFill="1" applyBorder="1" applyAlignment="1" applyProtection="1">
      <alignment horizontal="center" vertical="center"/>
      <protection locked="0"/>
    </xf>
    <xf numFmtId="0" fontId="20" fillId="2" borderId="65" xfId="0" applyFont="1" applyFill="1" applyBorder="1" applyAlignment="1" applyProtection="1">
      <alignment horizontal="center" vertical="center"/>
      <protection locked="0"/>
    </xf>
    <xf numFmtId="0" fontId="20" fillId="2" borderId="66" xfId="0" applyFont="1" applyFill="1" applyBorder="1" applyAlignment="1" applyProtection="1">
      <alignment horizontal="center" vertical="center"/>
      <protection locked="0"/>
    </xf>
    <xf numFmtId="0" fontId="18" fillId="2" borderId="22" xfId="0" applyFont="1" applyFill="1" applyBorder="1" applyAlignment="1">
      <alignment horizontal="left" vertical="top" wrapText="1"/>
    </xf>
    <xf numFmtId="0" fontId="18" fillId="2" borderId="23" xfId="0" applyFont="1" applyFill="1" applyBorder="1" applyAlignment="1">
      <alignment horizontal="left" vertical="top" wrapText="1"/>
    </xf>
    <xf numFmtId="0" fontId="18" fillId="2" borderId="24" xfId="0" applyFont="1" applyFill="1" applyBorder="1" applyAlignment="1">
      <alignment horizontal="left" vertical="top" wrapText="1"/>
    </xf>
    <xf numFmtId="0" fontId="20" fillId="2" borderId="41" xfId="0" applyFont="1" applyFill="1" applyBorder="1" applyAlignment="1">
      <alignment horizontal="left" vertical="top" wrapText="1"/>
    </xf>
    <xf numFmtId="0" fontId="20" fillId="2" borderId="42" xfId="0" applyFont="1" applyFill="1" applyBorder="1" applyAlignment="1">
      <alignment horizontal="left" vertical="top" wrapText="1"/>
    </xf>
    <xf numFmtId="0" fontId="20" fillId="2" borderId="43" xfId="0" applyFont="1" applyFill="1" applyBorder="1" applyAlignment="1">
      <alignment horizontal="left" vertical="top" wrapText="1"/>
    </xf>
    <xf numFmtId="0" fontId="20" fillId="2" borderId="60" xfId="0" applyFont="1" applyFill="1" applyBorder="1" applyAlignment="1" applyProtection="1">
      <alignment horizontal="center" vertical="center"/>
      <protection locked="0"/>
    </xf>
    <xf numFmtId="0" fontId="20" fillId="2" borderId="33" xfId="0" applyFont="1" applyFill="1" applyBorder="1" applyAlignment="1" applyProtection="1">
      <alignment horizontal="center" vertical="center"/>
      <protection locked="0"/>
    </xf>
    <xf numFmtId="0" fontId="20" fillId="2" borderId="63" xfId="0" applyFont="1" applyFill="1" applyBorder="1" applyAlignment="1" applyProtection="1">
      <alignment horizontal="center" vertical="center"/>
      <protection locked="0"/>
    </xf>
    <xf numFmtId="0" fontId="20" fillId="2" borderId="17" xfId="0" applyFont="1" applyFill="1" applyBorder="1" applyAlignment="1" applyProtection="1">
      <alignment horizontal="center" vertical="center"/>
      <protection locked="0"/>
    </xf>
    <xf numFmtId="0" fontId="20" fillId="2" borderId="12" xfId="0" applyFont="1" applyFill="1" applyBorder="1" applyAlignment="1" applyProtection="1">
      <alignment horizontal="center" vertical="center"/>
      <protection locked="0"/>
    </xf>
    <xf numFmtId="0" fontId="20" fillId="2" borderId="19" xfId="0" applyFont="1" applyFill="1" applyBorder="1" applyAlignment="1" applyProtection="1">
      <alignment horizontal="center" vertical="center"/>
      <protection locked="0"/>
    </xf>
    <xf numFmtId="0" fontId="18" fillId="0" borderId="22" xfId="0" applyFont="1" applyBorder="1" applyAlignment="1">
      <alignment horizontal="left" vertical="top" wrapText="1"/>
    </xf>
    <xf numFmtId="0" fontId="18" fillId="0" borderId="23" xfId="0" applyFont="1" applyBorder="1" applyAlignment="1">
      <alignment horizontal="left" vertical="top" wrapText="1"/>
    </xf>
    <xf numFmtId="0" fontId="18" fillId="0" borderId="24" xfId="0" applyFont="1" applyBorder="1" applyAlignment="1">
      <alignment horizontal="left" vertical="top" wrapText="1"/>
    </xf>
    <xf numFmtId="0" fontId="20" fillId="2" borderId="17" xfId="0" applyFont="1" applyFill="1" applyBorder="1" applyAlignment="1" applyProtection="1">
      <alignment horizontal="left" vertical="top" wrapText="1"/>
      <protection locked="0"/>
    </xf>
    <xf numFmtId="0" fontId="20" fillId="2" borderId="12" xfId="0" applyFont="1" applyFill="1" applyBorder="1" applyAlignment="1" applyProtection="1">
      <alignment horizontal="left" vertical="top"/>
      <protection locked="0"/>
    </xf>
    <xf numFmtId="0" fontId="20" fillId="2" borderId="19" xfId="0" applyFont="1" applyFill="1" applyBorder="1" applyAlignment="1" applyProtection="1">
      <alignment horizontal="left" vertical="top"/>
      <protection locked="0"/>
    </xf>
    <xf numFmtId="0" fontId="20" fillId="6" borderId="1" xfId="0" applyFont="1" applyFill="1" applyBorder="1" applyAlignment="1">
      <alignment horizontal="left" vertical="center" wrapText="1"/>
    </xf>
    <xf numFmtId="0" fontId="20" fillId="6" borderId="2" xfId="0" applyFont="1" applyFill="1" applyBorder="1" applyAlignment="1">
      <alignment horizontal="left" vertical="center" wrapText="1"/>
    </xf>
    <xf numFmtId="0" fontId="21" fillId="6" borderId="2" xfId="0" applyFont="1" applyFill="1" applyBorder="1" applyAlignment="1">
      <alignment horizontal="center" vertical="center" wrapText="1"/>
    </xf>
    <xf numFmtId="0" fontId="21" fillId="6" borderId="25" xfId="0" applyFont="1" applyFill="1" applyBorder="1" applyAlignment="1">
      <alignment horizontal="center" vertical="center" wrapText="1"/>
    </xf>
    <xf numFmtId="0" fontId="21" fillId="6" borderId="1" xfId="0" applyFont="1" applyFill="1" applyBorder="1" applyAlignment="1">
      <alignment horizontal="center" vertical="center" textRotation="90" wrapText="1"/>
    </xf>
    <xf numFmtId="0" fontId="21" fillId="6" borderId="2" xfId="0" applyFont="1" applyFill="1" applyBorder="1" applyAlignment="1">
      <alignment horizontal="center" vertical="center" textRotation="90" wrapText="1"/>
    </xf>
    <xf numFmtId="0" fontId="21" fillId="6" borderId="50" xfId="0" applyFont="1" applyFill="1" applyBorder="1" applyAlignment="1">
      <alignment horizontal="center" vertical="center" wrapText="1"/>
    </xf>
    <xf numFmtId="0" fontId="46" fillId="6" borderId="0" xfId="0" applyFont="1" applyFill="1" applyAlignment="1">
      <alignment horizontal="center" vertical="center"/>
    </xf>
    <xf numFmtId="0" fontId="19" fillId="2" borderId="0" xfId="0" applyFont="1" applyFill="1" applyAlignment="1">
      <alignment horizontal="justify" vertical="top" wrapText="1"/>
    </xf>
    <xf numFmtId="0" fontId="20" fillId="2" borderId="22" xfId="0" applyFont="1" applyFill="1" applyBorder="1" applyAlignment="1">
      <alignment horizontal="left" vertical="top" wrapText="1"/>
    </xf>
    <xf numFmtId="0" fontId="20" fillId="0" borderId="17"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0" fillId="2" borderId="21" xfId="0" applyFont="1" applyFill="1" applyBorder="1" applyAlignment="1">
      <alignment horizontal="left" vertical="top" wrapText="1"/>
    </xf>
    <xf numFmtId="0" fontId="20" fillId="2" borderId="146" xfId="0" applyFont="1" applyFill="1" applyBorder="1" applyAlignment="1">
      <alignment horizontal="left" vertical="top" wrapText="1"/>
    </xf>
    <xf numFmtId="0" fontId="20" fillId="2" borderId="160" xfId="0" applyFont="1" applyFill="1" applyBorder="1" applyAlignment="1" applyProtection="1">
      <alignment horizontal="left" vertical="top" wrapText="1"/>
      <protection locked="0"/>
    </xf>
    <xf numFmtId="0" fontId="20" fillId="2" borderId="23" xfId="0" applyFont="1" applyFill="1" applyBorder="1" applyAlignment="1" applyProtection="1">
      <alignment horizontal="left" vertical="top" wrapText="1"/>
      <protection locked="0"/>
    </xf>
    <xf numFmtId="0" fontId="20" fillId="2" borderId="24" xfId="0" applyFont="1" applyFill="1" applyBorder="1" applyAlignment="1" applyProtection="1">
      <alignment horizontal="left" vertical="top" wrapText="1"/>
      <protection locked="0"/>
    </xf>
    <xf numFmtId="0" fontId="20" fillId="0" borderId="65" xfId="0" applyFont="1" applyBorder="1" applyAlignment="1" applyProtection="1">
      <alignment horizontal="center" vertical="center"/>
      <protection locked="0"/>
    </xf>
    <xf numFmtId="0" fontId="20" fillId="0" borderId="90" xfId="0" applyFont="1" applyBorder="1" applyAlignment="1" applyProtection="1">
      <alignment horizontal="center" vertical="center"/>
      <protection locked="0"/>
    </xf>
    <xf numFmtId="0" fontId="20" fillId="0" borderId="94" xfId="0" applyFont="1" applyBorder="1" applyAlignment="1" applyProtection="1">
      <alignment horizontal="center" vertical="center"/>
      <protection locked="0"/>
    </xf>
    <xf numFmtId="0" fontId="23" fillId="6" borderId="1" xfId="0" applyFont="1" applyFill="1" applyBorder="1" applyAlignment="1">
      <alignment horizontal="left" vertical="center" wrapText="1"/>
    </xf>
    <xf numFmtId="0" fontId="23" fillId="6" borderId="2" xfId="0" applyFont="1" applyFill="1" applyBorder="1" applyAlignment="1">
      <alignment horizontal="left" vertical="center" wrapText="1"/>
    </xf>
    <xf numFmtId="0" fontId="22" fillId="6" borderId="2" xfId="0" applyFont="1" applyFill="1" applyBorder="1" applyAlignment="1">
      <alignment horizontal="center" vertical="center" wrapText="1"/>
    </xf>
    <xf numFmtId="0" fontId="22" fillId="6" borderId="25" xfId="0" applyFont="1" applyFill="1" applyBorder="1" applyAlignment="1">
      <alignment horizontal="center" vertical="center" wrapText="1"/>
    </xf>
    <xf numFmtId="0" fontId="22" fillId="6" borderId="26" xfId="0" applyFont="1" applyFill="1" applyBorder="1" applyAlignment="1">
      <alignment horizontal="center" vertical="center" wrapText="1"/>
    </xf>
    <xf numFmtId="0" fontId="22" fillId="6" borderId="1" xfId="0" applyFont="1" applyFill="1" applyBorder="1" applyAlignment="1" applyProtection="1">
      <alignment horizontal="center" vertical="center" textRotation="90" wrapText="1"/>
      <protection locked="0"/>
    </xf>
    <xf numFmtId="0" fontId="22" fillId="6" borderId="2" xfId="0" applyFont="1" applyFill="1" applyBorder="1" applyAlignment="1" applyProtection="1">
      <alignment horizontal="center" vertical="center" textRotation="90" wrapText="1"/>
      <protection locked="0"/>
    </xf>
    <xf numFmtId="0" fontId="22" fillId="6" borderId="1" xfId="0" applyFont="1" applyFill="1" applyBorder="1" applyAlignment="1" applyProtection="1">
      <alignment horizontal="center" vertical="center"/>
      <protection locked="0"/>
    </xf>
    <xf numFmtId="0" fontId="22" fillId="6" borderId="2" xfId="0" applyFont="1" applyFill="1" applyBorder="1" applyAlignment="1" applyProtection="1">
      <alignment horizontal="center" vertical="center"/>
      <protection locked="0"/>
    </xf>
    <xf numFmtId="0" fontId="22" fillId="6" borderId="1" xfId="0" applyFont="1" applyFill="1" applyBorder="1" applyAlignment="1" applyProtection="1">
      <alignment horizontal="left" vertical="center" wrapText="1"/>
      <protection locked="0"/>
    </xf>
    <xf numFmtId="0" fontId="22" fillId="6" borderId="55" xfId="0" applyFont="1" applyFill="1" applyBorder="1" applyAlignment="1" applyProtection="1">
      <alignment horizontal="left" vertical="center" wrapText="1"/>
      <protection locked="0"/>
    </xf>
    <xf numFmtId="0" fontId="14" fillId="19" borderId="1" xfId="0" applyFont="1" applyFill="1" applyBorder="1" applyAlignment="1" applyProtection="1">
      <alignment horizontal="center" vertical="center"/>
      <protection locked="0"/>
    </xf>
    <xf numFmtId="0" fontId="20" fillId="0" borderId="22" xfId="0" applyFont="1" applyBorder="1" applyAlignment="1">
      <alignment horizontal="left" vertical="top" wrapText="1"/>
    </xf>
    <xf numFmtId="0" fontId="20" fillId="0" borderId="23" xfId="0" applyFont="1" applyBorder="1" applyAlignment="1">
      <alignment horizontal="left" vertical="top" wrapText="1"/>
    </xf>
    <xf numFmtId="0" fontId="20" fillId="0" borderId="24" xfId="0" applyFont="1" applyBorder="1" applyAlignment="1">
      <alignment horizontal="left" vertical="top" wrapText="1"/>
    </xf>
    <xf numFmtId="0" fontId="14" fillId="19" borderId="1" xfId="0" applyFont="1" applyFill="1" applyBorder="1" applyAlignment="1">
      <alignment horizontal="center" vertical="center" wrapText="1"/>
    </xf>
    <xf numFmtId="0" fontId="20" fillId="2" borderId="158" xfId="0" applyFont="1" applyFill="1" applyBorder="1" applyAlignment="1" applyProtection="1">
      <alignment vertical="top" wrapText="1"/>
      <protection locked="0"/>
    </xf>
    <xf numFmtId="0" fontId="20" fillId="2" borderId="90" xfId="0" applyFont="1" applyFill="1" applyBorder="1" applyAlignment="1" applyProtection="1">
      <alignment vertical="top"/>
      <protection locked="0"/>
    </xf>
    <xf numFmtId="0" fontId="20" fillId="2" borderId="94" xfId="0" applyFont="1" applyFill="1" applyBorder="1" applyAlignment="1" applyProtection="1">
      <alignment vertical="top"/>
      <protection locked="0"/>
    </xf>
    <xf numFmtId="0" fontId="22" fillId="6" borderId="50" xfId="0" applyFont="1" applyFill="1" applyBorder="1" applyAlignment="1" applyProtection="1">
      <alignment horizontal="center" vertical="center" wrapText="1"/>
      <protection locked="0"/>
    </xf>
    <xf numFmtId="0" fontId="22" fillId="6" borderId="25" xfId="0" applyFont="1" applyFill="1" applyBorder="1" applyAlignment="1" applyProtection="1">
      <alignment horizontal="center" vertical="center" wrapText="1"/>
      <protection locked="0"/>
    </xf>
    <xf numFmtId="0" fontId="22" fillId="6" borderId="26" xfId="0" applyFont="1" applyFill="1" applyBorder="1" applyAlignment="1" applyProtection="1">
      <alignment horizontal="center" vertical="center" wrapText="1"/>
      <protection locked="0"/>
    </xf>
    <xf numFmtId="0" fontId="20" fillId="2" borderId="16" xfId="0" applyFont="1" applyFill="1" applyBorder="1" applyAlignment="1">
      <alignment vertical="top" wrapText="1"/>
    </xf>
    <xf numFmtId="0" fontId="20" fillId="2" borderId="14" xfId="0" applyFont="1" applyFill="1" applyBorder="1" applyAlignment="1">
      <alignment vertical="top" wrapText="1"/>
    </xf>
    <xf numFmtId="0" fontId="20" fillId="2" borderId="15" xfId="0" applyFont="1" applyFill="1" applyBorder="1" applyAlignment="1">
      <alignment vertical="top" wrapText="1"/>
    </xf>
    <xf numFmtId="0" fontId="20" fillId="2" borderId="12" xfId="0" applyFont="1" applyFill="1" applyBorder="1" applyAlignment="1" applyProtection="1">
      <alignment horizontal="left" vertical="top" wrapText="1"/>
      <protection locked="0"/>
    </xf>
    <xf numFmtId="0" fontId="20" fillId="2" borderId="19" xfId="0" applyFont="1" applyFill="1" applyBorder="1" applyAlignment="1" applyProtection="1">
      <alignment horizontal="left" vertical="top" wrapText="1"/>
      <protection locked="0"/>
    </xf>
    <xf numFmtId="0" fontId="22" fillId="6" borderId="2" xfId="0" applyFont="1" applyFill="1" applyBorder="1" applyAlignment="1" applyProtection="1">
      <alignment horizontal="left" vertical="center" wrapText="1"/>
      <protection locked="0"/>
    </xf>
    <xf numFmtId="0" fontId="22" fillId="6" borderId="2" xfId="0" applyFont="1" applyFill="1" applyBorder="1" applyAlignment="1" applyProtection="1">
      <alignment vertical="center" wrapText="1"/>
      <protection locked="0"/>
    </xf>
    <xf numFmtId="0" fontId="22" fillId="6" borderId="26" xfId="0" applyFont="1" applyFill="1" applyBorder="1" applyAlignment="1" applyProtection="1">
      <alignment vertical="center" wrapText="1"/>
      <protection locked="0"/>
    </xf>
    <xf numFmtId="0" fontId="22" fillId="6" borderId="80" xfId="0" applyFont="1" applyFill="1" applyBorder="1" applyAlignment="1" applyProtection="1">
      <alignment horizontal="center" vertical="center"/>
      <protection locked="0"/>
    </xf>
    <xf numFmtId="0" fontId="22" fillId="6" borderId="81" xfId="0" applyFont="1" applyFill="1" applyBorder="1" applyAlignment="1" applyProtection="1">
      <alignment horizontal="center" vertical="center"/>
      <protection locked="0"/>
    </xf>
    <xf numFmtId="0" fontId="22" fillId="6" borderId="82" xfId="0" applyFont="1" applyFill="1" applyBorder="1" applyAlignment="1" applyProtection="1">
      <alignment horizontal="center" vertical="center"/>
      <protection locked="0"/>
    </xf>
    <xf numFmtId="0" fontId="20" fillId="2" borderId="154" xfId="0" applyFont="1" applyFill="1" applyBorder="1" applyAlignment="1">
      <alignment horizontal="left" vertical="top" wrapText="1"/>
    </xf>
    <xf numFmtId="0" fontId="20" fillId="2" borderId="149" xfId="0" applyFont="1" applyFill="1" applyBorder="1" applyAlignment="1" applyProtection="1">
      <alignment horizontal="left" vertical="top"/>
      <protection locked="0"/>
    </xf>
    <xf numFmtId="0" fontId="20" fillId="2" borderId="149" xfId="0" applyFont="1" applyFill="1" applyBorder="1" applyAlignment="1" applyProtection="1">
      <alignment horizontal="center" vertical="center"/>
      <protection locked="0"/>
    </xf>
    <xf numFmtId="0" fontId="23" fillId="6" borderId="6" xfId="0" applyFont="1" applyFill="1" applyBorder="1" applyAlignment="1">
      <alignment horizontal="left" vertical="center" wrapText="1"/>
    </xf>
    <xf numFmtId="0" fontId="23" fillId="6" borderId="7" xfId="0" applyFont="1" applyFill="1" applyBorder="1" applyAlignment="1">
      <alignment horizontal="left" vertical="center" wrapText="1"/>
    </xf>
    <xf numFmtId="0" fontId="20" fillId="2" borderId="1" xfId="0" applyFont="1" applyFill="1" applyBorder="1" applyAlignment="1" applyProtection="1">
      <alignment horizontal="center" vertical="center" wrapText="1"/>
      <protection hidden="1"/>
    </xf>
    <xf numFmtId="0" fontId="21" fillId="2" borderId="22" xfId="0" applyFont="1" applyFill="1" applyBorder="1" applyAlignment="1" applyProtection="1">
      <alignment horizontal="center" vertical="center"/>
      <protection locked="0"/>
    </xf>
    <xf numFmtId="0" fontId="21" fillId="2" borderId="23" xfId="0" applyFont="1" applyFill="1" applyBorder="1" applyAlignment="1" applyProtection="1">
      <alignment horizontal="center" vertical="center"/>
      <protection locked="0"/>
    </xf>
    <xf numFmtId="0" fontId="21" fillId="2" borderId="24" xfId="0" applyFont="1" applyFill="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1" fillId="0" borderId="22" xfId="0" applyFont="1" applyBorder="1" applyAlignment="1" applyProtection="1">
      <alignment horizontal="center" vertical="center"/>
      <protection locked="0"/>
    </xf>
    <xf numFmtId="0" fontId="21" fillId="0" borderId="23" xfId="0" applyFont="1" applyBorder="1" applyAlignment="1" applyProtection="1">
      <alignment horizontal="center" vertical="center"/>
      <protection locked="0"/>
    </xf>
    <xf numFmtId="0" fontId="21" fillId="0" borderId="24" xfId="0" applyFont="1" applyBorder="1" applyAlignment="1" applyProtection="1">
      <alignment horizontal="center" vertical="center"/>
      <protection locked="0"/>
    </xf>
    <xf numFmtId="0" fontId="20" fillId="2" borderId="0" xfId="0" applyFont="1" applyFill="1" applyAlignment="1">
      <alignment horizontal="left" vertical="center" wrapText="1"/>
    </xf>
    <xf numFmtId="0" fontId="20" fillId="2" borderId="0" xfId="0" applyFont="1" applyFill="1" applyAlignment="1">
      <alignment horizontal="center"/>
    </xf>
    <xf numFmtId="164" fontId="20" fillId="2" borderId="0" xfId="0" applyNumberFormat="1" applyFont="1" applyFill="1" applyAlignment="1">
      <alignment horizontal="center"/>
    </xf>
    <xf numFmtId="0" fontId="21" fillId="6" borderId="1"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1" xfId="0" applyFont="1" applyFill="1" applyBorder="1" applyAlignment="1">
      <alignment horizontal="left" vertical="center" wrapText="1"/>
    </xf>
    <xf numFmtId="0" fontId="21" fillId="6" borderId="2" xfId="0" applyFont="1" applyFill="1" applyBorder="1" applyAlignment="1">
      <alignment horizontal="left" vertical="center" wrapText="1"/>
    </xf>
    <xf numFmtId="0" fontId="21" fillId="6" borderId="4" xfId="0" applyFont="1" applyFill="1" applyBorder="1" applyAlignment="1">
      <alignment horizontal="center" vertical="center"/>
    </xf>
    <xf numFmtId="0" fontId="21" fillId="6" borderId="5" xfId="0" applyFont="1" applyFill="1" applyBorder="1" applyAlignment="1">
      <alignment horizontal="center" vertical="center"/>
    </xf>
    <xf numFmtId="0" fontId="21" fillId="6" borderId="59" xfId="0" applyFont="1" applyFill="1" applyBorder="1" applyAlignment="1">
      <alignment horizontal="center" vertical="center"/>
    </xf>
    <xf numFmtId="0" fontId="21" fillId="6" borderId="2" xfId="0" applyFont="1" applyFill="1" applyBorder="1" applyAlignment="1">
      <alignment vertical="center" wrapText="1"/>
    </xf>
    <xf numFmtId="0" fontId="21" fillId="6" borderId="25" xfId="0" applyFont="1" applyFill="1" applyBorder="1" applyAlignment="1">
      <alignment vertical="center" wrapText="1"/>
    </xf>
    <xf numFmtId="0" fontId="14" fillId="19" borderId="1" xfId="0" applyFont="1" applyFill="1" applyBorder="1" applyAlignment="1">
      <alignment vertical="center" wrapText="1"/>
    </xf>
    <xf numFmtId="0" fontId="20" fillId="2" borderId="23" xfId="0" applyFont="1" applyFill="1" applyBorder="1" applyAlignment="1" applyProtection="1">
      <alignment vertical="top" wrapText="1"/>
      <protection locked="0"/>
    </xf>
    <xf numFmtId="0" fontId="20" fillId="2" borderId="24" xfId="0" applyFont="1" applyFill="1" applyBorder="1" applyAlignment="1" applyProtection="1">
      <alignment vertical="top" wrapText="1"/>
      <protection locked="0"/>
    </xf>
    <xf numFmtId="0" fontId="20" fillId="2" borderId="157" xfId="0" applyFont="1" applyFill="1" applyBorder="1" applyAlignment="1" applyProtection="1">
      <alignment horizontal="left" vertical="top" wrapText="1"/>
      <protection locked="0"/>
    </xf>
    <xf numFmtId="0" fontId="18" fillId="2" borderId="156" xfId="0" applyFont="1" applyFill="1" applyBorder="1" applyAlignment="1" applyProtection="1">
      <alignment horizontal="left" vertical="top" wrapText="1"/>
      <protection locked="0"/>
    </xf>
    <xf numFmtId="0" fontId="18" fillId="2" borderId="23" xfId="0" applyFont="1" applyFill="1" applyBorder="1" applyAlignment="1" applyProtection="1">
      <alignment vertical="top" wrapText="1"/>
      <protection locked="0"/>
    </xf>
    <xf numFmtId="0" fontId="18" fillId="2" borderId="24" xfId="0" applyFont="1" applyFill="1" applyBorder="1" applyAlignment="1" applyProtection="1">
      <alignment vertical="top" wrapText="1"/>
      <protection locked="0"/>
    </xf>
    <xf numFmtId="0" fontId="14" fillId="19" borderId="1" xfId="0" applyFont="1" applyFill="1" applyBorder="1" applyAlignment="1" applyProtection="1">
      <alignment horizontal="center" vertical="center" wrapText="1"/>
      <protection hidden="1"/>
    </xf>
    <xf numFmtId="0" fontId="20" fillId="2" borderId="76" xfId="0" applyFont="1" applyFill="1" applyBorder="1" applyAlignment="1" applyProtection="1">
      <alignment horizontal="center" vertical="center" wrapText="1"/>
      <protection hidden="1"/>
    </xf>
    <xf numFmtId="0" fontId="22" fillId="6" borderId="1" xfId="0" applyFont="1" applyFill="1" applyBorder="1" applyAlignment="1" applyProtection="1">
      <alignment horizontal="center" vertical="center" textRotation="90" wrapText="1"/>
      <protection hidden="1"/>
    </xf>
    <xf numFmtId="0" fontId="22" fillId="6" borderId="2" xfId="0" applyFont="1" applyFill="1" applyBorder="1" applyAlignment="1" applyProtection="1">
      <alignment horizontal="center" vertical="center" textRotation="90" wrapText="1"/>
      <protection hidden="1"/>
    </xf>
    <xf numFmtId="0" fontId="22" fillId="6" borderId="3" xfId="0" applyFont="1" applyFill="1" applyBorder="1" applyAlignment="1" applyProtection="1">
      <alignment horizontal="center" vertical="center" textRotation="90" wrapText="1"/>
      <protection hidden="1"/>
    </xf>
    <xf numFmtId="0" fontId="20" fillId="2" borderId="3" xfId="0" applyFont="1" applyFill="1" applyBorder="1" applyAlignment="1" applyProtection="1">
      <alignment horizontal="center" vertical="center" wrapText="1"/>
      <protection hidden="1"/>
    </xf>
    <xf numFmtId="0" fontId="20" fillId="19" borderId="1" xfId="0" applyFont="1" applyFill="1" applyBorder="1" applyAlignment="1">
      <alignment horizontal="left" vertical="top" wrapText="1"/>
    </xf>
    <xf numFmtId="0" fontId="22" fillId="6" borderId="1" xfId="0" applyFont="1" applyFill="1" applyBorder="1" applyAlignment="1">
      <alignment horizontal="left" vertical="center" wrapText="1"/>
    </xf>
    <xf numFmtId="0" fontId="22" fillId="6" borderId="2" xfId="0" applyFont="1" applyFill="1" applyBorder="1" applyAlignment="1">
      <alignment horizontal="left" vertical="center" wrapText="1"/>
    </xf>
    <xf numFmtId="0" fontId="20" fillId="0" borderId="16"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18" fillId="6" borderId="1" xfId="0" applyFont="1" applyFill="1" applyBorder="1" applyAlignment="1">
      <alignment horizontal="left" vertical="center" wrapText="1"/>
    </xf>
    <xf numFmtId="0" fontId="18" fillId="6" borderId="2" xfId="0" applyFont="1" applyFill="1" applyBorder="1" applyAlignment="1">
      <alignment horizontal="left" vertical="center" wrapText="1"/>
    </xf>
    <xf numFmtId="0" fontId="18" fillId="6" borderId="6" xfId="0" applyFont="1" applyFill="1" applyBorder="1" applyAlignment="1">
      <alignment horizontal="left" vertical="center" wrapText="1"/>
    </xf>
    <xf numFmtId="0" fontId="18" fillId="6" borderId="7" xfId="0" applyFont="1" applyFill="1" applyBorder="1" applyAlignment="1">
      <alignment horizontal="left" vertical="center" wrapText="1"/>
    </xf>
    <xf numFmtId="0" fontId="21" fillId="2" borderId="16" xfId="0" applyFont="1" applyFill="1" applyBorder="1" applyAlignment="1">
      <alignment horizontal="left" vertical="top" wrapText="1"/>
    </xf>
    <xf numFmtId="0" fontId="21" fillId="2" borderId="14" xfId="0" applyFont="1" applyFill="1" applyBorder="1" applyAlignment="1">
      <alignment horizontal="left" vertical="top" wrapText="1"/>
    </xf>
    <xf numFmtId="0" fontId="21" fillId="2" borderId="15" xfId="0" applyFont="1" applyFill="1" applyBorder="1" applyAlignment="1">
      <alignment horizontal="left" vertical="top" wrapText="1"/>
    </xf>
    <xf numFmtId="0" fontId="22" fillId="2" borderId="0" xfId="0" applyFont="1" applyFill="1" applyAlignment="1">
      <alignment horizontal="center" vertical="center" textRotation="90" wrapText="1"/>
    </xf>
    <xf numFmtId="0" fontId="23" fillId="2" borderId="0" xfId="0" applyFont="1" applyFill="1" applyAlignment="1" applyProtection="1">
      <alignment horizontal="center" vertical="center" wrapText="1"/>
      <protection hidden="1"/>
    </xf>
    <xf numFmtId="0" fontId="23" fillId="0" borderId="0" xfId="0" applyFont="1" applyAlignment="1" applyProtection="1">
      <alignment horizontal="center" vertical="center" wrapText="1"/>
      <protection hidden="1"/>
    </xf>
    <xf numFmtId="0" fontId="22" fillId="2" borderId="0" xfId="0" applyFont="1" applyFill="1" applyAlignment="1" applyProtection="1">
      <alignment horizontal="center" vertical="center" textRotation="90" wrapText="1"/>
      <protection hidden="1"/>
    </xf>
    <xf numFmtId="0" fontId="23" fillId="14" borderId="0" xfId="0" applyFont="1" applyFill="1" applyAlignment="1" applyProtection="1">
      <alignment horizontal="center" vertical="center" wrapText="1"/>
      <protection hidden="1"/>
    </xf>
    <xf numFmtId="0" fontId="22" fillId="14" borderId="0" xfId="0" applyFont="1" applyFill="1" applyAlignment="1">
      <alignment horizontal="center" vertical="center" textRotation="90" wrapText="1"/>
    </xf>
    <xf numFmtId="0" fontId="22" fillId="14" borderId="0" xfId="0" applyFont="1" applyFill="1" applyAlignment="1" applyProtection="1">
      <alignment horizontal="center" vertical="center" textRotation="90" wrapText="1"/>
      <protection hidden="1"/>
    </xf>
    <xf numFmtId="2" fontId="51" fillId="2" borderId="0" xfId="0" applyNumberFormat="1" applyFont="1" applyFill="1" applyAlignment="1">
      <alignment horizontal="center" vertical="center" wrapText="1"/>
    </xf>
    <xf numFmtId="2" fontId="52" fillId="2" borderId="0" xfId="0" applyNumberFormat="1" applyFont="1" applyFill="1" applyAlignment="1">
      <alignment horizontal="center" vertical="center" textRotation="90" wrapText="1"/>
    </xf>
    <xf numFmtId="165" fontId="51" fillId="2" borderId="0" xfId="0" applyNumberFormat="1" applyFont="1" applyFill="1" applyAlignment="1">
      <alignment horizontal="center" vertical="center" wrapText="1"/>
    </xf>
    <xf numFmtId="2" fontId="51" fillId="0" borderId="0" xfId="0" applyNumberFormat="1" applyFont="1" applyAlignment="1">
      <alignment horizontal="center" vertical="center" wrapText="1"/>
    </xf>
    <xf numFmtId="0" fontId="18" fillId="2" borderId="16" xfId="0" applyFont="1" applyFill="1" applyBorder="1" applyAlignment="1">
      <alignment horizontal="left" vertical="top" wrapText="1"/>
    </xf>
    <xf numFmtId="0" fontId="18" fillId="2" borderId="14" xfId="0" applyFont="1" applyFill="1" applyBorder="1" applyAlignment="1">
      <alignment horizontal="left" vertical="top" wrapText="1"/>
    </xf>
    <xf numFmtId="0" fontId="18" fillId="2" borderId="15" xfId="0" applyFont="1" applyFill="1" applyBorder="1" applyAlignment="1">
      <alignment horizontal="left" vertical="top" wrapText="1"/>
    </xf>
    <xf numFmtId="0" fontId="20" fillId="2" borderId="93" xfId="0" applyFont="1" applyFill="1" applyBorder="1" applyAlignment="1" applyProtection="1">
      <alignment horizontal="center" vertical="center" wrapText="1"/>
      <protection hidden="1"/>
    </xf>
    <xf numFmtId="0" fontId="20" fillId="2" borderId="90" xfId="0" applyFont="1" applyFill="1" applyBorder="1" applyAlignment="1" applyProtection="1">
      <alignment horizontal="center" vertical="center" wrapText="1"/>
      <protection hidden="1"/>
    </xf>
    <xf numFmtId="0" fontId="20" fillId="2" borderId="94" xfId="0" applyFont="1" applyFill="1" applyBorder="1" applyAlignment="1" applyProtection="1">
      <alignment horizontal="center" vertical="center" wrapText="1"/>
      <protection hidden="1"/>
    </xf>
    <xf numFmtId="0" fontId="20" fillId="2" borderId="2" xfId="0" applyFont="1" applyFill="1" applyBorder="1" applyAlignment="1" applyProtection="1">
      <alignment horizontal="center" vertical="center" wrapText="1"/>
      <protection hidden="1"/>
    </xf>
    <xf numFmtId="0" fontId="20" fillId="2" borderId="25" xfId="0" applyFont="1" applyFill="1" applyBorder="1" applyAlignment="1" applyProtection="1">
      <alignment horizontal="center" vertical="center" wrapText="1"/>
      <protection hidden="1"/>
    </xf>
    <xf numFmtId="0" fontId="20" fillId="2" borderId="26" xfId="0" applyFont="1" applyFill="1" applyBorder="1" applyAlignment="1" applyProtection="1">
      <alignment horizontal="center" vertical="center" wrapText="1"/>
      <protection hidden="1"/>
    </xf>
    <xf numFmtId="2" fontId="22" fillId="2" borderId="0" xfId="0" applyNumberFormat="1" applyFont="1" applyFill="1" applyAlignment="1" applyProtection="1">
      <alignment horizontal="center" vertical="center" textRotation="90" wrapText="1"/>
      <protection hidden="1"/>
    </xf>
    <xf numFmtId="2" fontId="23" fillId="2" borderId="0" xfId="0" applyNumberFormat="1" applyFont="1" applyFill="1" applyAlignment="1" applyProtection="1">
      <alignment horizontal="center" vertical="center" wrapText="1"/>
      <protection hidden="1"/>
    </xf>
    <xf numFmtId="2" fontId="22" fillId="2" borderId="0" xfId="0" applyNumberFormat="1" applyFont="1" applyFill="1" applyAlignment="1">
      <alignment horizontal="center" vertical="center" textRotation="90" wrapText="1"/>
    </xf>
    <xf numFmtId="165" fontId="23" fillId="0" borderId="0" xfId="0" applyNumberFormat="1" applyFont="1" applyAlignment="1" applyProtection="1">
      <alignment horizontal="center" vertical="center" wrapText="1"/>
      <protection hidden="1"/>
    </xf>
    <xf numFmtId="166" fontId="23" fillId="2" borderId="0" xfId="0" applyNumberFormat="1" applyFont="1" applyFill="1" applyAlignment="1" applyProtection="1">
      <alignment horizontal="center" vertical="center" wrapText="1"/>
      <protection hidden="1"/>
    </xf>
    <xf numFmtId="165" fontId="51" fillId="0" borderId="0" xfId="0" applyNumberFormat="1" applyFont="1" applyAlignment="1">
      <alignment horizontal="center" vertical="center" wrapText="1"/>
    </xf>
    <xf numFmtId="165" fontId="23" fillId="2" borderId="0" xfId="0" applyNumberFormat="1" applyFont="1" applyFill="1" applyAlignment="1" applyProtection="1">
      <alignment horizontal="center" vertical="center" wrapText="1"/>
      <protection hidden="1"/>
    </xf>
    <xf numFmtId="2" fontId="23" fillId="0" borderId="0" xfId="0" applyNumberFormat="1" applyFont="1" applyAlignment="1" applyProtection="1">
      <alignment horizontal="center" vertical="center" wrapText="1"/>
      <protection hidden="1"/>
    </xf>
    <xf numFmtId="0" fontId="22" fillId="2" borderId="2" xfId="0" applyFont="1" applyFill="1" applyBorder="1" applyAlignment="1" applyProtection="1">
      <alignment horizontal="left" vertical="center" wrapText="1"/>
      <protection locked="0"/>
    </xf>
    <xf numFmtId="0" fontId="22" fillId="2" borderId="26" xfId="0" applyFont="1" applyFill="1" applyBorder="1" applyAlignment="1" applyProtection="1">
      <alignment horizontal="left" vertical="center"/>
      <protection locked="0"/>
    </xf>
    <xf numFmtId="0" fontId="22" fillId="5" borderId="2" xfId="0" applyFont="1" applyFill="1" applyBorder="1" applyAlignment="1" applyProtection="1">
      <alignment horizontal="center" vertical="center" wrapText="1"/>
      <protection locked="0"/>
    </xf>
    <xf numFmtId="0" fontId="22" fillId="5" borderId="26" xfId="0" applyFont="1" applyFill="1" applyBorder="1" applyAlignment="1" applyProtection="1">
      <alignment horizontal="center" vertical="center"/>
      <protection locked="0"/>
    </xf>
    <xf numFmtId="0" fontId="20" fillId="2" borderId="91" xfId="0" applyFont="1" applyFill="1" applyBorder="1" applyAlignment="1" applyProtection="1">
      <alignment horizontal="left" vertical="top"/>
      <protection locked="0"/>
    </xf>
    <xf numFmtId="0" fontId="20" fillId="2" borderId="147" xfId="0" applyFont="1" applyFill="1" applyBorder="1" applyAlignment="1" applyProtection="1">
      <alignment horizontal="left" vertical="top"/>
      <protection locked="0"/>
    </xf>
    <xf numFmtId="0" fontId="20" fillId="2" borderId="162" xfId="0" applyFont="1" applyFill="1" applyBorder="1" applyAlignment="1" applyProtection="1">
      <alignment horizontal="left" vertical="top"/>
      <protection locked="0"/>
    </xf>
    <xf numFmtId="0" fontId="51" fillId="0" borderId="0" xfId="0" applyFont="1" applyAlignment="1">
      <alignment horizontal="center" vertical="center" wrapText="1"/>
    </xf>
    <xf numFmtId="0" fontId="52" fillId="0" borderId="0" xfId="0" applyFont="1" applyAlignment="1">
      <alignment horizontal="center" vertical="center" textRotation="90" wrapText="1"/>
    </xf>
    <xf numFmtId="2" fontId="52" fillId="0" borderId="0" xfId="0" applyNumberFormat="1" applyFont="1" applyAlignment="1">
      <alignment horizontal="center" vertical="center" textRotation="90" wrapText="1"/>
    </xf>
    <xf numFmtId="0" fontId="22" fillId="0" borderId="0" xfId="0" applyFont="1" applyAlignment="1" applyProtection="1">
      <alignment horizontal="center" vertical="center" textRotation="90" wrapText="1"/>
      <protection hidden="1"/>
    </xf>
    <xf numFmtId="0" fontId="22" fillId="0" borderId="0" xfId="0" applyFont="1" applyAlignment="1">
      <alignment horizontal="center" vertical="center" textRotation="90" wrapText="1"/>
    </xf>
    <xf numFmtId="0" fontId="20" fillId="9" borderId="16" xfId="0" applyFont="1" applyFill="1" applyBorder="1" applyAlignment="1">
      <alignment horizontal="left" vertical="top" wrapText="1"/>
    </xf>
    <xf numFmtId="0" fontId="20" fillId="9" borderId="14" xfId="0" applyFont="1" applyFill="1" applyBorder="1" applyAlignment="1">
      <alignment horizontal="left" vertical="top" wrapText="1"/>
    </xf>
    <xf numFmtId="0" fontId="20" fillId="9" borderId="146" xfId="0" applyFont="1" applyFill="1" applyBorder="1" applyAlignment="1">
      <alignment horizontal="left" vertical="top" wrapText="1"/>
    </xf>
    <xf numFmtId="0" fontId="20" fillId="9" borderId="15" xfId="0" applyFont="1" applyFill="1" applyBorder="1" applyAlignment="1">
      <alignment horizontal="left" vertical="top" wrapText="1"/>
    </xf>
    <xf numFmtId="0" fontId="20" fillId="2" borderId="151" xfId="0" applyFont="1" applyFill="1" applyBorder="1" applyAlignment="1" applyProtection="1">
      <alignment horizontal="center" vertical="center"/>
      <protection locked="0"/>
    </xf>
    <xf numFmtId="0" fontId="22" fillId="5" borderId="1" xfId="0" applyFont="1" applyFill="1" applyBorder="1" applyAlignment="1" applyProtection="1">
      <alignment horizontal="center" vertical="center" textRotation="90" wrapText="1"/>
      <protection locked="0"/>
    </xf>
    <xf numFmtId="0" fontId="22" fillId="5" borderId="2" xfId="0" applyFont="1" applyFill="1" applyBorder="1" applyAlignment="1" applyProtection="1">
      <alignment horizontal="center" vertical="center" textRotation="90" wrapText="1"/>
      <protection locked="0"/>
    </xf>
    <xf numFmtId="0" fontId="18" fillId="9" borderId="16" xfId="0" applyFont="1" applyFill="1" applyBorder="1" applyAlignment="1">
      <alignment horizontal="left" vertical="top" wrapText="1"/>
    </xf>
    <xf numFmtId="0" fontId="18" fillId="9" borderId="14" xfId="0" applyFont="1" applyFill="1" applyBorder="1" applyAlignment="1">
      <alignment horizontal="left" vertical="top" wrapText="1"/>
    </xf>
    <xf numFmtId="0" fontId="18" fillId="9" borderId="146" xfId="0" applyFont="1" applyFill="1" applyBorder="1" applyAlignment="1">
      <alignment horizontal="left" vertical="top" wrapText="1"/>
    </xf>
    <xf numFmtId="0" fontId="18" fillId="9" borderId="15" xfId="0" applyFont="1" applyFill="1" applyBorder="1" applyAlignment="1">
      <alignment horizontal="left" vertical="top" wrapText="1"/>
    </xf>
    <xf numFmtId="0" fontId="18" fillId="2" borderId="22" xfId="0" quotePrefix="1" applyFont="1" applyFill="1" applyBorder="1" applyAlignment="1">
      <alignment horizontal="left" vertical="top" wrapText="1"/>
    </xf>
    <xf numFmtId="0" fontId="22" fillId="5" borderId="25" xfId="0" applyFont="1" applyFill="1" applyBorder="1" applyAlignment="1" applyProtection="1">
      <alignment horizontal="center" vertical="center" wrapText="1"/>
      <protection locked="0"/>
    </xf>
    <xf numFmtId="0" fontId="22" fillId="5" borderId="26" xfId="0" applyFont="1" applyFill="1" applyBorder="1" applyAlignment="1" applyProtection="1">
      <alignment horizontal="center" vertical="center" wrapText="1"/>
      <protection locked="0"/>
    </xf>
    <xf numFmtId="0" fontId="22" fillId="5" borderId="1" xfId="0" applyFont="1" applyFill="1" applyBorder="1" applyAlignment="1" applyProtection="1">
      <alignment horizontal="center" vertical="center"/>
      <protection locked="0"/>
    </xf>
    <xf numFmtId="0" fontId="22" fillId="5" borderId="2" xfId="0" applyFont="1" applyFill="1" applyBorder="1" applyAlignment="1" applyProtection="1">
      <alignment horizontal="center" vertical="center"/>
      <protection locked="0"/>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62" fillId="5" borderId="1" xfId="0" applyFont="1" applyFill="1" applyBorder="1" applyAlignment="1">
      <alignment horizontal="left" vertical="top" wrapText="1"/>
    </xf>
    <xf numFmtId="0" fontId="23" fillId="5" borderId="1" xfId="0" applyFont="1" applyFill="1" applyBorder="1" applyAlignment="1">
      <alignment horizontal="left" vertical="top" wrapText="1"/>
    </xf>
    <xf numFmtId="0" fontId="23" fillId="5" borderId="2" xfId="0" applyFont="1" applyFill="1" applyBorder="1" applyAlignment="1">
      <alignment horizontal="left" vertical="top" wrapText="1"/>
    </xf>
    <xf numFmtId="0" fontId="22" fillId="5" borderId="1" xfId="0" applyFont="1" applyFill="1" applyBorder="1" applyAlignment="1">
      <alignment horizontal="left" vertical="center" wrapText="1"/>
    </xf>
    <xf numFmtId="0" fontId="23" fillId="5" borderId="1" xfId="0" applyFont="1" applyFill="1" applyBorder="1" applyAlignment="1">
      <alignment horizontal="left" vertical="center" wrapText="1"/>
    </xf>
    <xf numFmtId="0" fontId="23" fillId="5" borderId="2" xfId="0" applyFont="1" applyFill="1" applyBorder="1" applyAlignment="1">
      <alignment horizontal="left" vertical="center" wrapText="1"/>
    </xf>
    <xf numFmtId="0" fontId="22" fillId="5" borderId="2"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0" fillId="2" borderId="149" xfId="0" applyFont="1" applyFill="1" applyBorder="1" applyAlignment="1" applyProtection="1">
      <alignment horizontal="left" vertical="top" wrapText="1"/>
      <protection locked="0"/>
    </xf>
    <xf numFmtId="0" fontId="22" fillId="2" borderId="2" xfId="0" applyFont="1" applyFill="1" applyBorder="1" applyAlignment="1" applyProtection="1">
      <alignment horizontal="center" vertical="center" wrapText="1"/>
      <protection locked="0"/>
    </xf>
    <xf numFmtId="0" fontId="22" fillId="2" borderId="26" xfId="0" applyFont="1" applyFill="1" applyBorder="1" applyAlignment="1" applyProtection="1">
      <alignment horizontal="center" vertical="center"/>
      <protection locked="0"/>
    </xf>
    <xf numFmtId="0" fontId="22" fillId="2" borderId="4" xfId="0" applyFont="1" applyFill="1" applyBorder="1" applyAlignment="1" applyProtection="1">
      <alignment horizontal="center" vertical="center"/>
      <protection locked="0"/>
    </xf>
    <xf numFmtId="0" fontId="22" fillId="2" borderId="155" xfId="0" applyFont="1" applyFill="1" applyBorder="1" applyAlignment="1" applyProtection="1">
      <alignment horizontal="center" vertical="center"/>
      <protection locked="0"/>
    </xf>
    <xf numFmtId="0" fontId="22" fillId="2" borderId="5" xfId="0" applyFont="1" applyFill="1" applyBorder="1" applyAlignment="1" applyProtection="1">
      <alignment horizontal="center" vertical="center"/>
      <protection locked="0"/>
    </xf>
    <xf numFmtId="0" fontId="22" fillId="2" borderId="1" xfId="0" applyFont="1" applyFill="1" applyBorder="1" applyAlignment="1" applyProtection="1">
      <alignment horizontal="center" vertical="center"/>
      <protection locked="0"/>
    </xf>
    <xf numFmtId="0" fontId="22" fillId="2" borderId="2" xfId="0" applyFont="1" applyFill="1" applyBorder="1" applyAlignment="1" applyProtection="1">
      <alignment horizontal="center" vertical="center"/>
      <protection locked="0"/>
    </xf>
    <xf numFmtId="0" fontId="21" fillId="2" borderId="12" xfId="0" applyFont="1" applyFill="1" applyBorder="1" applyAlignment="1" applyProtection="1">
      <alignment horizontal="left" vertical="top"/>
      <protection locked="0"/>
    </xf>
    <xf numFmtId="0" fontId="21" fillId="2" borderId="149" xfId="0" applyFont="1" applyFill="1" applyBorder="1" applyAlignment="1" applyProtection="1">
      <alignment horizontal="left" vertical="top"/>
      <protection locked="0"/>
    </xf>
    <xf numFmtId="0" fontId="21" fillId="2" borderId="19" xfId="0" applyFont="1" applyFill="1" applyBorder="1" applyAlignment="1" applyProtection="1">
      <alignment horizontal="left" vertical="top"/>
      <protection locked="0"/>
    </xf>
    <xf numFmtId="0" fontId="22" fillId="5" borderId="4" xfId="0" applyFont="1" applyFill="1" applyBorder="1" applyAlignment="1" applyProtection="1">
      <alignment horizontal="center" vertical="center"/>
      <protection locked="0"/>
    </xf>
    <xf numFmtId="0" fontId="22" fillId="5" borderId="5" xfId="0" applyFont="1" applyFill="1" applyBorder="1" applyAlignment="1" applyProtection="1">
      <alignment horizontal="center" vertical="center"/>
      <protection locked="0"/>
    </xf>
    <xf numFmtId="0" fontId="22" fillId="5" borderId="155" xfId="0" applyFont="1" applyFill="1" applyBorder="1" applyAlignment="1" applyProtection="1">
      <alignment horizontal="center" vertical="center"/>
      <protection locked="0"/>
    </xf>
    <xf numFmtId="0" fontId="21" fillId="2" borderId="23" xfId="0" applyFont="1" applyFill="1" applyBorder="1" applyAlignment="1" applyProtection="1">
      <alignment horizontal="left" vertical="top"/>
      <protection locked="0"/>
    </xf>
    <xf numFmtId="0" fontId="21" fillId="2" borderId="167" xfId="0" applyFont="1" applyFill="1" applyBorder="1" applyAlignment="1" applyProtection="1">
      <alignment horizontal="left" vertical="top"/>
      <protection locked="0"/>
    </xf>
    <xf numFmtId="0" fontId="22" fillId="5" borderId="1" xfId="0" applyFont="1" applyFill="1" applyBorder="1" applyAlignment="1">
      <alignment horizontal="center" vertical="center" textRotation="90" wrapText="1"/>
    </xf>
    <xf numFmtId="0" fontId="22" fillId="5" borderId="2" xfId="0" applyFont="1" applyFill="1" applyBorder="1" applyAlignment="1">
      <alignment horizontal="center" vertical="center" textRotation="90" wrapText="1"/>
    </xf>
    <xf numFmtId="0" fontId="22" fillId="5" borderId="26" xfId="0" applyFont="1" applyFill="1" applyBorder="1" applyAlignment="1">
      <alignment horizontal="center" vertical="center"/>
    </xf>
    <xf numFmtId="0" fontId="22" fillId="5" borderId="0" xfId="0" applyFont="1" applyFill="1" applyAlignment="1">
      <alignment horizontal="center" vertical="center"/>
    </xf>
    <xf numFmtId="0" fontId="22" fillId="5" borderId="1" xfId="0" applyFont="1" applyFill="1" applyBorder="1" applyAlignment="1" applyProtection="1">
      <alignment horizontal="center" vertical="center" textRotation="90" wrapText="1"/>
      <protection hidden="1"/>
    </xf>
    <xf numFmtId="0" fontId="22" fillId="5" borderId="2" xfId="0" applyFont="1" applyFill="1" applyBorder="1" applyAlignment="1" applyProtection="1">
      <alignment horizontal="center" vertical="center" textRotation="90" wrapText="1"/>
      <protection hidden="1"/>
    </xf>
    <xf numFmtId="0" fontId="22" fillId="5" borderId="4" xfId="0" applyFont="1" applyFill="1" applyBorder="1" applyAlignment="1">
      <alignment horizontal="center" vertical="center"/>
    </xf>
    <xf numFmtId="0" fontId="22" fillId="5" borderId="5" xfId="0" applyFont="1" applyFill="1" applyBorder="1" applyAlignment="1">
      <alignment horizontal="center" vertical="center"/>
    </xf>
    <xf numFmtId="0" fontId="20" fillId="9" borderId="73" xfId="0" applyFont="1" applyFill="1" applyBorder="1" applyAlignment="1">
      <alignment horizontal="left" vertical="top" wrapText="1"/>
    </xf>
    <xf numFmtId="0" fontId="20" fillId="9" borderId="74" xfId="0" applyFont="1" applyFill="1" applyBorder="1" applyAlignment="1">
      <alignment horizontal="left" vertical="top" wrapText="1"/>
    </xf>
    <xf numFmtId="0" fontId="20" fillId="9" borderId="75" xfId="0" applyFont="1" applyFill="1" applyBorder="1" applyAlignment="1">
      <alignment horizontal="left" vertical="top" wrapText="1"/>
    </xf>
    <xf numFmtId="2" fontId="22" fillId="0" borderId="0" xfId="0" applyNumberFormat="1" applyFont="1" applyAlignment="1">
      <alignment horizontal="center" vertical="center" textRotation="90" wrapText="1"/>
    </xf>
    <xf numFmtId="2" fontId="22" fillId="0" borderId="0" xfId="0" applyNumberFormat="1" applyFont="1" applyAlignment="1" applyProtection="1">
      <alignment horizontal="center" vertical="center" textRotation="90" wrapText="1"/>
      <protection hidden="1"/>
    </xf>
    <xf numFmtId="0" fontId="24" fillId="5" borderId="1" xfId="0" applyFont="1" applyFill="1" applyBorder="1" applyAlignment="1">
      <alignment horizontal="left" vertical="top" wrapText="1"/>
    </xf>
    <xf numFmtId="0" fontId="22" fillId="5" borderId="1" xfId="0" applyFont="1" applyFill="1" applyBorder="1" applyAlignment="1">
      <alignment horizontal="left" vertical="top" wrapText="1"/>
    </xf>
    <xf numFmtId="0" fontId="20" fillId="9" borderId="41" xfId="0" applyFont="1" applyFill="1" applyBorder="1" applyAlignment="1">
      <alignment horizontal="left" vertical="top" wrapText="1"/>
    </xf>
    <xf numFmtId="0" fontId="20" fillId="9" borderId="42" xfId="0" applyFont="1" applyFill="1" applyBorder="1" applyAlignment="1">
      <alignment horizontal="left" vertical="top" wrapText="1"/>
    </xf>
    <xf numFmtId="0" fontId="20" fillId="9" borderId="43" xfId="0" applyFont="1" applyFill="1" applyBorder="1" applyAlignment="1">
      <alignment horizontal="left" vertical="top" wrapText="1"/>
    </xf>
    <xf numFmtId="168" fontId="23" fillId="0" borderId="0" xfId="0" applyNumberFormat="1" applyFont="1" applyAlignment="1" applyProtection="1">
      <alignment horizontal="center" vertical="center" wrapText="1"/>
      <protection hidden="1"/>
    </xf>
    <xf numFmtId="0" fontId="22" fillId="0" borderId="105" xfId="0" applyFont="1" applyBorder="1" applyAlignment="1" applyProtection="1">
      <alignment horizontal="center" vertical="center" textRotation="90" wrapText="1"/>
      <protection hidden="1"/>
    </xf>
    <xf numFmtId="0" fontId="18" fillId="2" borderId="21" xfId="0" applyFont="1" applyFill="1" applyBorder="1" applyAlignment="1">
      <alignment horizontal="left" vertical="top" wrapText="1"/>
    </xf>
    <xf numFmtId="0" fontId="20" fillId="2" borderId="92" xfId="0" applyFont="1" applyFill="1" applyBorder="1" applyAlignment="1" applyProtection="1">
      <alignment horizontal="left" vertical="top" wrapText="1"/>
      <protection locked="0"/>
    </xf>
    <xf numFmtId="0" fontId="20" fillId="2" borderId="92" xfId="0" applyFont="1" applyFill="1" applyBorder="1" applyAlignment="1" applyProtection="1">
      <alignment horizontal="center" vertical="center"/>
      <protection locked="0"/>
    </xf>
    <xf numFmtId="0" fontId="20" fillId="2" borderId="115" xfId="0" applyFont="1" applyFill="1" applyBorder="1" applyAlignment="1" applyProtection="1">
      <alignment horizontal="center" vertical="center"/>
      <protection locked="0"/>
    </xf>
    <xf numFmtId="0" fontId="22" fillId="3" borderId="138" xfId="0" applyFont="1" applyFill="1" applyBorder="1" applyAlignment="1">
      <alignment horizontal="left" vertical="top" wrapText="1"/>
    </xf>
    <xf numFmtId="0" fontId="22" fillId="3" borderId="7" xfId="0" applyFont="1" applyFill="1" applyBorder="1" applyAlignment="1">
      <alignment horizontal="left" vertical="top" wrapText="1"/>
    </xf>
    <xf numFmtId="0" fontId="22" fillId="3" borderId="139" xfId="0" applyFont="1" applyFill="1" applyBorder="1" applyAlignment="1">
      <alignment horizontal="left" vertical="top" wrapText="1"/>
    </xf>
    <xf numFmtId="0" fontId="22" fillId="3" borderId="50" xfId="0" applyFont="1" applyFill="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50" xfId="0" applyFont="1" applyFill="1" applyBorder="1" applyAlignment="1" applyProtection="1">
      <alignment horizontal="center" vertical="center" wrapText="1"/>
      <protection locked="0"/>
    </xf>
    <xf numFmtId="0" fontId="22" fillId="3" borderId="25" xfId="0" applyFont="1" applyFill="1" applyBorder="1" applyAlignment="1" applyProtection="1">
      <alignment horizontal="center" vertical="center" wrapText="1"/>
      <protection locked="0"/>
    </xf>
    <xf numFmtId="0" fontId="22" fillId="3" borderId="26" xfId="0" applyFont="1" applyFill="1" applyBorder="1" applyAlignment="1" applyProtection="1">
      <alignment horizontal="center" vertical="center" wrapText="1"/>
      <protection locked="0"/>
    </xf>
    <xf numFmtId="0" fontId="22" fillId="3" borderId="50" xfId="0" applyFont="1" applyFill="1" applyBorder="1" applyAlignment="1" applyProtection="1">
      <alignment horizontal="center" vertical="center" textRotation="90" wrapText="1"/>
      <protection locked="0"/>
    </xf>
    <xf numFmtId="0" fontId="22" fillId="3" borderId="25" xfId="0" applyFont="1" applyFill="1" applyBorder="1" applyAlignment="1" applyProtection="1">
      <alignment horizontal="center" vertical="center" textRotation="90" wrapText="1"/>
      <protection locked="0"/>
    </xf>
    <xf numFmtId="0" fontId="22" fillId="3" borderId="26" xfId="0" applyFont="1" applyFill="1" applyBorder="1" applyAlignment="1" applyProtection="1">
      <alignment horizontal="center" vertical="center" textRotation="90" wrapText="1"/>
      <protection locked="0"/>
    </xf>
    <xf numFmtId="0" fontId="22" fillId="3" borderId="80" xfId="0" applyFont="1" applyFill="1" applyBorder="1" applyAlignment="1" applyProtection="1">
      <alignment horizontal="center" vertical="center"/>
      <protection locked="0"/>
    </xf>
    <xf numFmtId="0" fontId="22" fillId="3" borderId="81" xfId="0" applyFont="1" applyFill="1" applyBorder="1" applyAlignment="1" applyProtection="1">
      <alignment horizontal="center" vertical="center"/>
      <protection locked="0"/>
    </xf>
    <xf numFmtId="0" fontId="22" fillId="3" borderId="82" xfId="0" applyFont="1" applyFill="1" applyBorder="1" applyAlignment="1" applyProtection="1">
      <alignment horizontal="center" vertical="center"/>
      <protection locked="0"/>
    </xf>
    <xf numFmtId="0" fontId="22" fillId="3" borderId="2" xfId="0" applyFont="1" applyFill="1" applyBorder="1" applyAlignment="1" applyProtection="1">
      <alignment horizontal="center" vertical="center"/>
      <protection locked="0"/>
    </xf>
    <xf numFmtId="0" fontId="22" fillId="3" borderId="26" xfId="0" applyFont="1" applyFill="1" applyBorder="1" applyAlignment="1" applyProtection="1">
      <alignment horizontal="center" vertical="center"/>
      <protection locked="0"/>
    </xf>
    <xf numFmtId="0" fontId="22" fillId="3" borderId="2" xfId="0" applyFont="1" applyFill="1" applyBorder="1" applyAlignment="1" applyProtection="1">
      <alignment vertical="top" wrapText="1"/>
      <protection locked="0"/>
    </xf>
    <xf numFmtId="0" fontId="22" fillId="3" borderId="26" xfId="0" applyFont="1" applyFill="1" applyBorder="1" applyAlignment="1" applyProtection="1">
      <alignment vertical="top" wrapText="1"/>
      <protection locked="0"/>
    </xf>
    <xf numFmtId="0" fontId="18" fillId="2" borderId="146" xfId="0" applyFont="1" applyFill="1" applyBorder="1" applyAlignment="1">
      <alignment horizontal="left" vertical="top" wrapText="1"/>
    </xf>
    <xf numFmtId="0" fontId="18" fillId="2" borderId="41" xfId="0" applyFont="1" applyFill="1" applyBorder="1" applyAlignment="1">
      <alignment horizontal="left" vertical="top" wrapText="1"/>
    </xf>
    <xf numFmtId="0" fontId="18" fillId="2" borderId="42" xfId="0" applyFont="1" applyFill="1" applyBorder="1" applyAlignment="1">
      <alignment horizontal="left" vertical="top" wrapText="1"/>
    </xf>
    <xf numFmtId="0" fontId="18" fillId="2" borderId="43" xfId="0" applyFont="1" applyFill="1" applyBorder="1" applyAlignment="1">
      <alignment horizontal="left" vertical="top" wrapText="1"/>
    </xf>
    <xf numFmtId="0" fontId="22" fillId="3" borderId="2" xfId="0" applyFont="1" applyFill="1" applyBorder="1" applyAlignment="1">
      <alignment horizontal="center" vertical="center" wrapText="1"/>
    </xf>
    <xf numFmtId="0" fontId="22" fillId="3" borderId="1"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3" fillId="3" borderId="2" xfId="0" applyFont="1" applyFill="1" applyBorder="1" applyAlignment="1">
      <alignment horizontal="left" vertical="center" wrapText="1"/>
    </xf>
    <xf numFmtId="0" fontId="22" fillId="3" borderId="56" xfId="0" applyFont="1" applyFill="1" applyBorder="1" applyAlignment="1" applyProtection="1">
      <alignment horizontal="center" vertical="center" wrapText="1"/>
      <protection locked="0"/>
    </xf>
    <xf numFmtId="0" fontId="22" fillId="3" borderId="1" xfId="0" applyFont="1" applyFill="1" applyBorder="1" applyAlignment="1" applyProtection="1">
      <alignment horizontal="center" vertical="center" wrapText="1"/>
      <protection locked="0"/>
    </xf>
    <xf numFmtId="0" fontId="22" fillId="3" borderId="55" xfId="0" applyFont="1" applyFill="1" applyBorder="1" applyAlignment="1" applyProtection="1">
      <alignment horizontal="center" vertical="center" wrapText="1"/>
      <protection locked="0"/>
    </xf>
    <xf numFmtId="0" fontId="22" fillId="3" borderId="56"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3" borderId="55" xfId="0" applyFont="1" applyFill="1" applyBorder="1" applyAlignment="1">
      <alignment horizontal="center" vertical="center" wrapText="1"/>
    </xf>
    <xf numFmtId="0" fontId="22" fillId="3" borderId="1" xfId="0" applyFont="1" applyFill="1" applyBorder="1" applyAlignment="1" applyProtection="1">
      <alignment horizontal="center" vertical="center" textRotation="90" wrapText="1"/>
      <protection locked="0"/>
    </xf>
    <xf numFmtId="0" fontId="22" fillId="3" borderId="2" xfId="0" applyFont="1" applyFill="1" applyBorder="1" applyAlignment="1" applyProtection="1">
      <alignment horizontal="center" vertical="center" textRotation="90" wrapText="1"/>
      <protection locked="0"/>
    </xf>
    <xf numFmtId="0" fontId="22" fillId="3" borderId="1" xfId="0" applyFont="1" applyFill="1" applyBorder="1" applyAlignment="1" applyProtection="1">
      <alignment horizontal="center" vertical="center"/>
      <protection locked="0"/>
    </xf>
    <xf numFmtId="0" fontId="22" fillId="3" borderId="4" xfId="0" applyFont="1" applyFill="1" applyBorder="1" applyAlignment="1" applyProtection="1">
      <alignment horizontal="center" vertical="center"/>
      <protection locked="0"/>
    </xf>
    <xf numFmtId="0" fontId="22" fillId="3" borderId="155" xfId="0" applyFont="1" applyFill="1" applyBorder="1" applyAlignment="1" applyProtection="1">
      <alignment horizontal="center" vertical="center"/>
      <protection locked="0"/>
    </xf>
    <xf numFmtId="0" fontId="22" fillId="3" borderId="5" xfId="0" applyFont="1" applyFill="1" applyBorder="1" applyAlignment="1" applyProtection="1">
      <alignment horizontal="center" vertical="center"/>
      <protection locked="0"/>
    </xf>
    <xf numFmtId="0" fontId="22" fillId="3" borderId="26" xfId="0" applyFont="1" applyFill="1" applyBorder="1" applyAlignment="1" applyProtection="1">
      <alignment vertical="top"/>
      <protection locked="0"/>
    </xf>
    <xf numFmtId="0" fontId="22" fillId="3" borderId="55" xfId="0" applyFont="1" applyFill="1" applyBorder="1" applyAlignment="1">
      <alignment horizontal="center" vertical="center"/>
    </xf>
    <xf numFmtId="0" fontId="22" fillId="3" borderId="2" xfId="0" applyFont="1" applyFill="1" applyBorder="1" applyAlignment="1" applyProtection="1">
      <alignment horizontal="center" vertical="center" wrapText="1"/>
      <protection locked="0"/>
    </xf>
    <xf numFmtId="0" fontId="22" fillId="3" borderId="0" xfId="0" applyFont="1" applyFill="1" applyAlignment="1">
      <alignment horizontal="center" vertical="center"/>
    </xf>
    <xf numFmtId="0" fontId="22" fillId="3" borderId="1" xfId="0" applyFont="1" applyFill="1" applyBorder="1" applyAlignment="1" applyProtection="1">
      <alignment horizontal="center" vertical="center" textRotation="90" wrapText="1"/>
      <protection hidden="1"/>
    </xf>
    <xf numFmtId="0" fontId="22" fillId="3" borderId="2" xfId="0" applyFont="1" applyFill="1" applyBorder="1" applyAlignment="1" applyProtection="1">
      <alignment horizontal="center" vertical="center" textRotation="90" wrapText="1"/>
      <protection hidden="1"/>
    </xf>
    <xf numFmtId="0" fontId="22" fillId="3" borderId="118" xfId="0" applyFont="1" applyFill="1" applyBorder="1" applyAlignment="1">
      <alignment horizontal="center" vertical="center" textRotation="90" wrapText="1"/>
    </xf>
    <xf numFmtId="0" fontId="22" fillId="3" borderId="120" xfId="0" applyFont="1" applyFill="1" applyBorder="1" applyAlignment="1">
      <alignment horizontal="center" vertical="center" textRotation="90" wrapText="1"/>
    </xf>
    <xf numFmtId="0" fontId="22" fillId="3" borderId="122" xfId="0" applyFont="1" applyFill="1" applyBorder="1" applyAlignment="1">
      <alignment horizontal="center" vertical="center" textRotation="90" wrapText="1"/>
    </xf>
    <xf numFmtId="0" fontId="22" fillId="3" borderId="140" xfId="0" applyFont="1" applyFill="1" applyBorder="1" applyAlignment="1" applyProtection="1">
      <alignment horizontal="center" vertical="center" textRotation="90" wrapText="1"/>
      <protection hidden="1"/>
    </xf>
    <xf numFmtId="0" fontId="22" fillId="3" borderId="141" xfId="0" applyFont="1" applyFill="1" applyBorder="1" applyAlignment="1" applyProtection="1">
      <alignment horizontal="center" vertical="center" textRotation="90" wrapText="1"/>
      <protection hidden="1"/>
    </xf>
    <xf numFmtId="0" fontId="22" fillId="3" borderId="142" xfId="0" applyFont="1" applyFill="1" applyBorder="1" applyAlignment="1" applyProtection="1">
      <alignment horizontal="center" vertical="center" textRotation="90" wrapText="1"/>
      <protection hidden="1"/>
    </xf>
    <xf numFmtId="0" fontId="22" fillId="3" borderId="1" xfId="0" applyFont="1" applyFill="1" applyBorder="1" applyAlignment="1">
      <alignment horizontal="center" vertical="center"/>
    </xf>
    <xf numFmtId="0" fontId="22" fillId="3" borderId="56" xfId="0" applyFont="1" applyFill="1" applyBorder="1" applyAlignment="1">
      <alignment horizontal="center" vertical="center" textRotation="90" wrapText="1"/>
    </xf>
    <xf numFmtId="0" fontId="22" fillId="3" borderId="1" xfId="0" applyFont="1" applyFill="1" applyBorder="1" applyAlignment="1">
      <alignment horizontal="center" vertical="center" textRotation="90" wrapText="1"/>
    </xf>
    <xf numFmtId="0" fontId="22" fillId="3" borderId="55" xfId="0" applyFont="1" applyFill="1" applyBorder="1" applyAlignment="1">
      <alignment horizontal="center" vertical="center" textRotation="90" wrapText="1"/>
    </xf>
    <xf numFmtId="0" fontId="22" fillId="3" borderId="117" xfId="0" applyFont="1" applyFill="1" applyBorder="1" applyAlignment="1">
      <alignment horizontal="left" vertical="top" wrapText="1"/>
    </xf>
    <xf numFmtId="0" fontId="23" fillId="3" borderId="119" xfId="0" applyFont="1" applyFill="1" applyBorder="1" applyAlignment="1">
      <alignment horizontal="left" vertical="top" wrapText="1"/>
    </xf>
    <xf numFmtId="0" fontId="23" fillId="3" borderId="121" xfId="0" applyFont="1" applyFill="1" applyBorder="1" applyAlignment="1">
      <alignment horizontal="left" vertical="top" wrapText="1"/>
    </xf>
    <xf numFmtId="0" fontId="22" fillId="3" borderId="1" xfId="0" applyFont="1" applyFill="1" applyBorder="1" applyAlignment="1">
      <alignment vertical="top" wrapText="1"/>
    </xf>
    <xf numFmtId="0" fontId="22" fillId="3" borderId="55" xfId="0" applyFont="1" applyFill="1" applyBorder="1" applyAlignment="1">
      <alignment vertical="top"/>
    </xf>
    <xf numFmtId="0" fontId="22" fillId="3" borderId="56" xfId="0" applyFont="1" applyFill="1" applyBorder="1" applyAlignment="1">
      <alignment horizontal="center" vertical="center"/>
    </xf>
    <xf numFmtId="0" fontId="20" fillId="0" borderId="146" xfId="0" applyFont="1" applyBorder="1" applyAlignment="1">
      <alignment horizontal="left" vertical="top" wrapText="1"/>
    </xf>
    <xf numFmtId="0" fontId="22" fillId="3" borderId="4"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16" xfId="0" applyFont="1" applyFill="1" applyBorder="1" applyAlignment="1">
      <alignment horizontal="center" vertical="center" wrapText="1"/>
    </xf>
    <xf numFmtId="0" fontId="20" fillId="0" borderId="21" xfId="0" applyFont="1" applyBorder="1" applyAlignment="1">
      <alignment horizontal="left" vertical="top" wrapText="1"/>
    </xf>
    <xf numFmtId="0" fontId="22" fillId="3" borderId="140" xfId="0" applyFont="1" applyFill="1" applyBorder="1" applyAlignment="1">
      <alignment vertical="center" wrapText="1"/>
    </xf>
    <xf numFmtId="0" fontId="22" fillId="3" borderId="141" xfId="0" applyFont="1" applyFill="1" applyBorder="1" applyAlignment="1">
      <alignment vertical="center" wrapText="1"/>
    </xf>
    <xf numFmtId="0" fontId="22" fillId="3" borderId="142" xfId="0" applyFont="1" applyFill="1" applyBorder="1" applyAlignment="1">
      <alignment vertical="center" wrapText="1"/>
    </xf>
    <xf numFmtId="0" fontId="20" fillId="0" borderId="135" xfId="0" applyFont="1" applyBorder="1" applyAlignment="1">
      <alignment horizontal="center" vertical="center" wrapText="1"/>
    </xf>
    <xf numFmtId="0" fontId="20" fillId="0" borderId="136" xfId="0" applyFont="1" applyBorder="1" applyAlignment="1">
      <alignment horizontal="center" vertical="center" wrapText="1"/>
    </xf>
    <xf numFmtId="0" fontId="20" fillId="0" borderId="153" xfId="0" applyFont="1" applyBorder="1" applyAlignment="1">
      <alignment horizontal="center" vertical="center" wrapText="1"/>
    </xf>
    <xf numFmtId="0" fontId="20" fillId="0" borderId="16"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137" xfId="0" applyFont="1" applyBorder="1" applyAlignment="1">
      <alignment horizontal="center" vertical="center" wrapText="1"/>
    </xf>
    <xf numFmtId="0" fontId="22" fillId="3" borderId="138"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39" xfId="0" applyFont="1" applyFill="1" applyBorder="1" applyAlignment="1">
      <alignment horizontal="left" vertical="center" wrapText="1"/>
    </xf>
    <xf numFmtId="0" fontId="20" fillId="0" borderId="146" xfId="0" applyFont="1" applyBorder="1" applyAlignment="1">
      <alignment horizontal="left" vertical="center" wrapText="1"/>
    </xf>
    <xf numFmtId="0" fontId="20" fillId="0" borderId="150" xfId="0" applyFont="1" applyBorder="1" applyAlignment="1">
      <alignment horizontal="center" vertical="center" wrapText="1"/>
    </xf>
    <xf numFmtId="0" fontId="20" fillId="2" borderId="156" xfId="0" applyFont="1" applyFill="1" applyBorder="1" applyAlignment="1" applyProtection="1">
      <alignment horizontal="left" vertical="top" wrapText="1"/>
      <protection locked="0"/>
    </xf>
    <xf numFmtId="0" fontId="22" fillId="7" borderId="27" xfId="0" applyFont="1" applyFill="1" applyBorder="1" applyAlignment="1" applyProtection="1">
      <alignment horizontal="center" vertical="center" wrapText="1"/>
      <protection locked="0"/>
    </xf>
    <xf numFmtId="0" fontId="21" fillId="2" borderId="23" xfId="0" applyFont="1" applyFill="1" applyBorder="1" applyAlignment="1" applyProtection="1">
      <alignment horizontal="left" vertical="top" wrapText="1"/>
      <protection locked="0"/>
    </xf>
    <xf numFmtId="0" fontId="21" fillId="2" borderId="24" xfId="0" applyFont="1" applyFill="1" applyBorder="1" applyAlignment="1" applyProtection="1">
      <alignment horizontal="left" vertical="top" wrapText="1"/>
      <protection locked="0"/>
    </xf>
    <xf numFmtId="0" fontId="18" fillId="2" borderId="156" xfId="0" applyFont="1" applyFill="1" applyBorder="1" applyAlignment="1" applyProtection="1">
      <alignment horizontal="left" vertical="top"/>
      <protection locked="0"/>
    </xf>
    <xf numFmtId="0" fontId="18" fillId="2" borderId="161" xfId="0" applyFont="1" applyFill="1" applyBorder="1" applyAlignment="1" applyProtection="1">
      <alignment horizontal="left" vertical="top"/>
      <protection locked="0"/>
    </xf>
    <xf numFmtId="0" fontId="22" fillId="0" borderId="106" xfId="0" applyFont="1" applyBorder="1" applyAlignment="1">
      <alignment horizontal="left" vertical="center" wrapText="1"/>
    </xf>
    <xf numFmtId="0" fontId="61" fillId="7" borderId="57" xfId="0" applyFont="1" applyFill="1" applyBorder="1" applyAlignment="1">
      <alignment horizontal="left" vertical="top" wrapText="1"/>
    </xf>
    <xf numFmtId="0" fontId="22" fillId="7" borderId="27" xfId="0" applyFont="1" applyFill="1" applyBorder="1" applyAlignment="1">
      <alignment horizontal="left" vertical="top" wrapText="1"/>
    </xf>
    <xf numFmtId="0" fontId="20" fillId="2" borderId="50" xfId="0" applyFont="1" applyFill="1" applyBorder="1" applyAlignment="1">
      <alignment horizontal="justify" vertical="top" wrapText="1"/>
    </xf>
    <xf numFmtId="0" fontId="20" fillId="2" borderId="25" xfId="0" applyFont="1" applyFill="1" applyBorder="1" applyAlignment="1">
      <alignment horizontal="justify" vertical="top" wrapText="1"/>
    </xf>
    <xf numFmtId="0" fontId="20" fillId="2" borderId="26" xfId="0" applyFont="1" applyFill="1" applyBorder="1" applyAlignment="1">
      <alignment horizontal="justify" vertical="top" wrapText="1"/>
    </xf>
    <xf numFmtId="0" fontId="22" fillId="7" borderId="27" xfId="0" applyFont="1" applyFill="1" applyBorder="1" applyAlignment="1">
      <alignment horizontal="center" vertical="center" wrapText="1"/>
    </xf>
    <xf numFmtId="0" fontId="22" fillId="7" borderId="51" xfId="0" applyFont="1" applyFill="1" applyBorder="1" applyAlignment="1" applyProtection="1">
      <alignment horizontal="center" vertical="center" wrapText="1"/>
      <protection locked="0"/>
    </xf>
    <xf numFmtId="0" fontId="22" fillId="7" borderId="52" xfId="0" applyFont="1" applyFill="1" applyBorder="1" applyAlignment="1" applyProtection="1">
      <alignment horizontal="center" vertical="center" wrapText="1"/>
      <protection locked="0"/>
    </xf>
    <xf numFmtId="0" fontId="22" fillId="7" borderId="53" xfId="0" applyFont="1" applyFill="1" applyBorder="1" applyAlignment="1" applyProtection="1">
      <alignment horizontal="center" vertical="center" wrapText="1"/>
      <protection locked="0"/>
    </xf>
    <xf numFmtId="0" fontId="22" fillId="7" borderId="27" xfId="0" applyFont="1" applyFill="1" applyBorder="1" applyAlignment="1" applyProtection="1">
      <alignment horizontal="center" vertical="center" textRotation="90" wrapText="1"/>
      <protection locked="0"/>
    </xf>
    <xf numFmtId="0" fontId="24" fillId="7" borderId="57" xfId="0" applyFont="1" applyFill="1" applyBorder="1" applyAlignment="1">
      <alignment horizontal="left" vertical="top" wrapText="1"/>
    </xf>
    <xf numFmtId="0" fontId="20" fillId="2" borderId="1" xfId="0" applyFont="1" applyFill="1" applyBorder="1" applyAlignment="1">
      <alignment horizontal="justify" vertical="top" wrapText="1"/>
    </xf>
    <xf numFmtId="0" fontId="20" fillId="2" borderId="55" xfId="0" applyFont="1" applyFill="1" applyBorder="1" applyAlignment="1">
      <alignment horizontal="justify" vertical="top" wrapText="1"/>
    </xf>
    <xf numFmtId="0" fontId="22" fillId="7" borderId="27" xfId="0" applyFont="1" applyFill="1" applyBorder="1" applyAlignment="1">
      <alignment horizontal="center" vertical="center" textRotation="90" wrapText="1"/>
    </xf>
    <xf numFmtId="0" fontId="71" fillId="2" borderId="17" xfId="0" applyFont="1" applyFill="1" applyBorder="1" applyAlignment="1" applyProtection="1">
      <alignment horizontal="center" vertical="center"/>
      <protection locked="0"/>
    </xf>
    <xf numFmtId="0" fontId="71" fillId="2" borderId="12" xfId="0" applyFont="1" applyFill="1" applyBorder="1" applyAlignment="1" applyProtection="1">
      <alignment horizontal="center" vertical="center"/>
      <protection locked="0"/>
    </xf>
    <xf numFmtId="0" fontId="71" fillId="2" borderId="19" xfId="0" applyFont="1" applyFill="1" applyBorder="1" applyAlignment="1" applyProtection="1">
      <alignment horizontal="center" vertical="center"/>
      <protection locked="0"/>
    </xf>
    <xf numFmtId="0" fontId="18" fillId="2" borderId="50" xfId="0" applyFont="1" applyFill="1" applyBorder="1" applyAlignment="1">
      <alignment horizontal="justify" vertical="top" wrapText="1"/>
    </xf>
    <xf numFmtId="0" fontId="18" fillId="2" borderId="25" xfId="0" applyFont="1" applyFill="1" applyBorder="1" applyAlignment="1">
      <alignment horizontal="justify" vertical="top" wrapText="1"/>
    </xf>
    <xf numFmtId="0" fontId="18" fillId="2" borderId="26" xfId="0" applyFont="1" applyFill="1" applyBorder="1" applyAlignment="1">
      <alignment horizontal="justify" vertical="top" wrapText="1"/>
    </xf>
    <xf numFmtId="0" fontId="20" fillId="2" borderId="2" xfId="0" applyFont="1" applyFill="1" applyBorder="1" applyAlignment="1">
      <alignment horizontal="left" vertical="top" wrapText="1"/>
    </xf>
    <xf numFmtId="0" fontId="20" fillId="2" borderId="25" xfId="0" applyFont="1" applyFill="1" applyBorder="1" applyAlignment="1">
      <alignment horizontal="left" vertical="top" wrapText="1"/>
    </xf>
    <xf numFmtId="0" fontId="20" fillId="2" borderId="26" xfId="0" applyFont="1" applyFill="1" applyBorder="1" applyAlignment="1">
      <alignment horizontal="left" vertical="top" wrapText="1"/>
    </xf>
    <xf numFmtId="0" fontId="22" fillId="7" borderId="51" xfId="0" applyFont="1" applyFill="1" applyBorder="1" applyAlignment="1">
      <alignment horizontal="center" vertical="center" wrapText="1"/>
    </xf>
    <xf numFmtId="0" fontId="22" fillId="7" borderId="52" xfId="0" applyFont="1" applyFill="1" applyBorder="1" applyAlignment="1">
      <alignment horizontal="center" vertical="center" wrapText="1"/>
    </xf>
    <xf numFmtId="0" fontId="22" fillId="7" borderId="53" xfId="0" applyFont="1" applyFill="1" applyBorder="1" applyAlignment="1">
      <alignment horizontal="center" vertical="center" wrapText="1"/>
    </xf>
    <xf numFmtId="0" fontId="20" fillId="2" borderId="1" xfId="0" applyFont="1" applyFill="1" applyBorder="1" applyAlignment="1">
      <alignment horizontal="left" vertical="top" wrapText="1"/>
    </xf>
    <xf numFmtId="0" fontId="22" fillId="7" borderId="27" xfId="0" applyFont="1" applyFill="1" applyBorder="1" applyAlignment="1">
      <alignment horizontal="center" vertical="center"/>
    </xf>
    <xf numFmtId="0" fontId="22" fillId="7" borderId="27" xfId="0" applyFont="1" applyFill="1" applyBorder="1" applyAlignment="1" applyProtection="1">
      <alignment horizontal="center" vertical="center"/>
      <protection locked="0"/>
    </xf>
    <xf numFmtId="0" fontId="22" fillId="7" borderId="57" xfId="0" applyFont="1" applyFill="1" applyBorder="1" applyAlignment="1" applyProtection="1">
      <alignment horizontal="center" vertical="center"/>
      <protection locked="0"/>
    </xf>
    <xf numFmtId="0" fontId="20" fillId="2" borderId="56" xfId="0" applyFont="1" applyFill="1" applyBorder="1" applyAlignment="1">
      <alignment horizontal="justify" vertical="top" wrapText="1"/>
    </xf>
    <xf numFmtId="0" fontId="20" fillId="2" borderId="3" xfId="0" applyFont="1" applyFill="1" applyBorder="1" applyAlignment="1">
      <alignment horizontal="justify" vertical="top" wrapText="1"/>
    </xf>
    <xf numFmtId="0" fontId="20" fillId="2" borderId="2" xfId="0" applyFont="1" applyFill="1" applyBorder="1" applyAlignment="1">
      <alignment horizontal="justify" vertical="top" wrapText="1"/>
    </xf>
    <xf numFmtId="0" fontId="22" fillId="7" borderId="78" xfId="0" applyFont="1" applyFill="1" applyBorder="1" applyAlignment="1" applyProtection="1">
      <alignment horizontal="center" vertical="center" textRotation="90" wrapText="1"/>
      <protection hidden="1"/>
    </xf>
    <xf numFmtId="0" fontId="22" fillId="7" borderId="79" xfId="0" applyFont="1" applyFill="1" applyBorder="1" applyAlignment="1" applyProtection="1">
      <alignment horizontal="center" vertical="center" textRotation="90" wrapText="1"/>
      <protection hidden="1"/>
    </xf>
    <xf numFmtId="0" fontId="22" fillId="7" borderId="78" xfId="0" applyFont="1" applyFill="1" applyBorder="1" applyAlignment="1">
      <alignment horizontal="center" vertical="center" textRotation="90" wrapText="1"/>
    </xf>
    <xf numFmtId="0" fontId="22" fillId="7" borderId="79" xfId="0" applyFont="1" applyFill="1" applyBorder="1" applyAlignment="1">
      <alignment horizontal="center" vertical="center" textRotation="90" wrapText="1"/>
    </xf>
    <xf numFmtId="0" fontId="22" fillId="7" borderId="0" xfId="0" applyFont="1" applyFill="1" applyAlignment="1">
      <alignment horizontal="center" vertical="center"/>
    </xf>
    <xf numFmtId="0" fontId="24" fillId="7" borderId="27" xfId="0" applyFont="1" applyFill="1" applyBorder="1" applyAlignment="1">
      <alignment horizontal="left" vertical="top" wrapText="1"/>
    </xf>
    <xf numFmtId="0" fontId="20" fillId="2" borderId="54" xfId="0" applyFont="1" applyFill="1" applyBorder="1" applyAlignment="1">
      <alignment horizontal="justify" vertical="top" wrapText="1"/>
    </xf>
    <xf numFmtId="0" fontId="20" fillId="0" borderId="16"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167" fontId="23" fillId="0" borderId="0" xfId="0" applyNumberFormat="1" applyFont="1" applyAlignment="1" applyProtection="1">
      <alignment horizontal="center" vertical="center" wrapText="1"/>
      <protection hidden="1"/>
    </xf>
    <xf numFmtId="0" fontId="21" fillId="2" borderId="156" xfId="0" applyFont="1" applyFill="1" applyBorder="1" applyAlignment="1" applyProtection="1">
      <alignment horizontal="left" vertical="top" wrapText="1"/>
      <protection locked="0"/>
    </xf>
    <xf numFmtId="0" fontId="72" fillId="2" borderId="23" xfId="0" applyFont="1" applyFill="1" applyBorder="1" applyAlignment="1" applyProtection="1">
      <alignment horizontal="left" vertical="top" wrapText="1"/>
      <protection locked="0"/>
    </xf>
    <xf numFmtId="0" fontId="72" fillId="2" borderId="24" xfId="0" applyFont="1" applyFill="1" applyBorder="1" applyAlignment="1" applyProtection="1">
      <alignment horizontal="left" vertical="top" wrapText="1"/>
      <protection locked="0"/>
    </xf>
    <xf numFmtId="167" fontId="23" fillId="2" borderId="0" xfId="0" applyNumberFormat="1" applyFont="1" applyFill="1" applyAlignment="1" applyProtection="1">
      <alignment horizontal="center" vertical="center" wrapText="1"/>
      <protection hidden="1"/>
    </xf>
    <xf numFmtId="167" fontId="22" fillId="0" borderId="0" xfId="0" applyNumberFormat="1" applyFont="1" applyAlignment="1">
      <alignment horizontal="center" vertical="center" textRotation="90" wrapText="1"/>
    </xf>
    <xf numFmtId="167" fontId="22" fillId="0" borderId="0" xfId="0" applyNumberFormat="1" applyFont="1" applyAlignment="1" applyProtection="1">
      <alignment horizontal="center" vertical="center" textRotation="90" wrapText="1"/>
      <protection hidden="1"/>
    </xf>
    <xf numFmtId="0" fontId="18" fillId="2" borderId="41" xfId="0" quotePrefix="1" applyFont="1" applyFill="1" applyBorder="1" applyAlignment="1">
      <alignment vertical="top" wrapText="1"/>
    </xf>
    <xf numFmtId="0" fontId="18" fillId="2" borderId="42" xfId="0" applyFont="1" applyFill="1" applyBorder="1" applyAlignment="1">
      <alignment vertical="top" wrapText="1"/>
    </xf>
    <xf numFmtId="0" fontId="18" fillId="2" borderId="43" xfId="0" applyFont="1" applyFill="1" applyBorder="1" applyAlignment="1">
      <alignment vertical="top" wrapText="1"/>
    </xf>
    <xf numFmtId="0" fontId="23" fillId="8" borderId="27" xfId="0" applyFont="1" applyFill="1" applyBorder="1" applyAlignment="1">
      <alignment horizontal="left" vertical="center" wrapText="1"/>
    </xf>
    <xf numFmtId="0" fontId="22" fillId="8" borderId="27" xfId="0" applyFont="1" applyFill="1" applyBorder="1" applyAlignment="1" applyProtection="1">
      <alignment horizontal="center" vertical="center" textRotation="90" wrapText="1"/>
      <protection locked="0"/>
    </xf>
    <xf numFmtId="0" fontId="22" fillId="8" borderId="51" xfId="0" applyFont="1" applyFill="1" applyBorder="1" applyAlignment="1" applyProtection="1">
      <alignment horizontal="center" vertical="center" wrapText="1"/>
      <protection locked="0"/>
    </xf>
    <xf numFmtId="0" fontId="22" fillId="8" borderId="52" xfId="0" applyFont="1" applyFill="1" applyBorder="1" applyAlignment="1" applyProtection="1">
      <alignment horizontal="center" vertical="center" wrapText="1"/>
      <protection locked="0"/>
    </xf>
    <xf numFmtId="0" fontId="22" fillId="8" borderId="53" xfId="0" applyFont="1" applyFill="1" applyBorder="1" applyAlignment="1" applyProtection="1">
      <alignment horizontal="center" vertical="center" wrapText="1"/>
      <protection locked="0"/>
    </xf>
    <xf numFmtId="0" fontId="22" fillId="8" borderId="27" xfId="0" applyFont="1" applyFill="1" applyBorder="1" applyAlignment="1">
      <alignment horizontal="center" vertical="center" wrapText="1"/>
    </xf>
    <xf numFmtId="0" fontId="22" fillId="8" borderId="27" xfId="0" applyFont="1" applyFill="1" applyBorder="1" applyAlignment="1">
      <alignment horizontal="center" vertical="center"/>
    </xf>
    <xf numFmtId="0" fontId="22" fillId="8" borderId="27" xfId="0" applyFont="1" applyFill="1" applyBorder="1" applyAlignment="1" applyProtection="1">
      <alignment horizontal="center" vertical="center"/>
      <protection locked="0"/>
    </xf>
    <xf numFmtId="0" fontId="22" fillId="8" borderId="57" xfId="0" applyFont="1" applyFill="1" applyBorder="1" applyAlignment="1" applyProtection="1">
      <alignment horizontal="center" vertical="center"/>
      <protection locked="0"/>
    </xf>
    <xf numFmtId="0" fontId="22" fillId="8" borderId="51" xfId="0" applyFont="1" applyFill="1" applyBorder="1" applyAlignment="1">
      <alignment horizontal="center" vertical="center"/>
    </xf>
    <xf numFmtId="0" fontId="22" fillId="8" borderId="0" xfId="0" applyFont="1" applyFill="1" applyAlignment="1">
      <alignment horizontal="center" vertical="center"/>
    </xf>
    <xf numFmtId="0" fontId="18" fillId="0" borderId="76" xfId="0" applyFont="1" applyBorder="1" applyAlignment="1" applyProtection="1">
      <alignment horizontal="center" vertical="center" wrapText="1"/>
      <protection hidden="1"/>
    </xf>
    <xf numFmtId="0" fontId="18" fillId="0" borderId="13" xfId="0" applyFont="1" applyBorder="1" applyAlignment="1" applyProtection="1">
      <alignment horizontal="center" vertical="center" wrapText="1"/>
      <protection hidden="1"/>
    </xf>
    <xf numFmtId="0" fontId="18" fillId="0" borderId="77" xfId="0" applyFont="1" applyBorder="1" applyAlignment="1" applyProtection="1">
      <alignment horizontal="center" vertical="center" wrapText="1"/>
      <protection hidden="1"/>
    </xf>
    <xf numFmtId="0" fontId="22" fillId="8" borderId="27" xfId="0" applyFont="1" applyFill="1" applyBorder="1" applyAlignment="1">
      <alignment horizontal="center" vertical="center" textRotation="90" wrapText="1"/>
    </xf>
    <xf numFmtId="0" fontId="22" fillId="8" borderId="51" xfId="0" applyFont="1" applyFill="1" applyBorder="1" applyAlignment="1">
      <alignment horizontal="center" vertical="center" wrapText="1"/>
    </xf>
    <xf numFmtId="0" fontId="22" fillId="8" borderId="52" xfId="0" applyFont="1" applyFill="1" applyBorder="1" applyAlignment="1">
      <alignment horizontal="center" vertical="center" wrapText="1"/>
    </xf>
    <xf numFmtId="0" fontId="22" fillId="8" borderId="53" xfId="0" applyFont="1" applyFill="1" applyBorder="1" applyAlignment="1">
      <alignment horizontal="center" vertical="center" wrapText="1"/>
    </xf>
    <xf numFmtId="0" fontId="22" fillId="8" borderId="27" xfId="0" applyFont="1" applyFill="1" applyBorder="1" applyAlignment="1">
      <alignment horizontal="left" vertical="center" wrapText="1"/>
    </xf>
    <xf numFmtId="0" fontId="22" fillId="8" borderId="78" xfId="0" applyFont="1" applyFill="1" applyBorder="1" applyAlignment="1" applyProtection="1">
      <alignment horizontal="center" vertical="center" textRotation="90" wrapText="1"/>
      <protection hidden="1"/>
    </xf>
    <xf numFmtId="0" fontId="22" fillId="8" borderId="79" xfId="0" applyFont="1" applyFill="1" applyBorder="1" applyAlignment="1" applyProtection="1">
      <alignment horizontal="center" vertical="center" textRotation="90" wrapText="1"/>
      <protection hidden="1"/>
    </xf>
    <xf numFmtId="0" fontId="22" fillId="8" borderId="78" xfId="0" applyFont="1" applyFill="1" applyBorder="1" applyAlignment="1">
      <alignment horizontal="center" vertical="center" textRotation="90" wrapText="1"/>
    </xf>
    <xf numFmtId="0" fontId="22" fillId="8" borderId="79" xfId="0" applyFont="1" applyFill="1" applyBorder="1" applyAlignment="1">
      <alignment horizontal="center" vertical="center" textRotation="90" wrapText="1"/>
    </xf>
    <xf numFmtId="0" fontId="20" fillId="2" borderId="9" xfId="0" applyFont="1" applyFill="1" applyBorder="1" applyAlignment="1" applyProtection="1">
      <alignment horizontal="center" vertical="center"/>
      <protection locked="0"/>
    </xf>
    <xf numFmtId="0" fontId="20" fillId="2" borderId="169" xfId="0" applyFont="1" applyFill="1" applyBorder="1" applyAlignment="1" applyProtection="1">
      <alignment horizontal="center" vertical="center"/>
      <protection locked="0"/>
    </xf>
    <xf numFmtId="0" fontId="20" fillId="2" borderId="16" xfId="0" applyFont="1" applyFill="1" applyBorder="1" applyAlignment="1">
      <alignment horizontal="left" vertical="center" wrapText="1"/>
    </xf>
    <xf numFmtId="0" fontId="20" fillId="2" borderId="14" xfId="0" applyFont="1" applyFill="1" applyBorder="1" applyAlignment="1">
      <alignment horizontal="left" vertical="center" wrapText="1"/>
    </xf>
    <xf numFmtId="0" fontId="20" fillId="2" borderId="146"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20" fillId="2" borderId="135" xfId="0" applyFont="1" applyFill="1" applyBorder="1" applyAlignment="1">
      <alignment horizontal="center" vertical="center" wrapText="1"/>
    </xf>
    <xf numFmtId="0" fontId="20" fillId="2" borderId="136" xfId="0" applyFont="1" applyFill="1" applyBorder="1" applyAlignment="1">
      <alignment horizontal="center" vertical="center" wrapText="1"/>
    </xf>
    <xf numFmtId="0" fontId="20" fillId="2" borderId="150" xfId="0" applyFont="1" applyFill="1" applyBorder="1" applyAlignment="1">
      <alignment horizontal="center" vertical="center" wrapText="1"/>
    </xf>
    <xf numFmtId="0" fontId="20" fillId="2" borderId="137" xfId="0" applyFont="1" applyFill="1" applyBorder="1" applyAlignment="1">
      <alignment horizontal="center" vertical="center" wrapText="1"/>
    </xf>
    <xf numFmtId="0" fontId="10" fillId="0" borderId="58" xfId="3" applyFont="1" applyBorder="1" applyAlignment="1">
      <alignment horizontal="justify" vertical="center" wrapText="1"/>
    </xf>
    <xf numFmtId="0" fontId="14" fillId="13" borderId="126" xfId="3" applyFont="1" applyFill="1" applyBorder="1" applyAlignment="1">
      <alignment horizontal="center" vertical="center" wrapText="1"/>
    </xf>
    <xf numFmtId="0" fontId="14" fillId="13" borderId="127" xfId="3" applyFont="1" applyFill="1" applyBorder="1" applyAlignment="1">
      <alignment horizontal="center" vertical="center"/>
    </xf>
    <xf numFmtId="0" fontId="10" fillId="0" borderId="127" xfId="3" applyFont="1" applyBorder="1" applyAlignment="1">
      <alignment horizontal="justify" vertical="center" wrapText="1"/>
    </xf>
    <xf numFmtId="0" fontId="31" fillId="18" borderId="73" xfId="3" applyFont="1" applyFill="1" applyBorder="1" applyAlignment="1">
      <alignment horizontal="center" vertical="center" wrapText="1"/>
    </xf>
    <xf numFmtId="0" fontId="31" fillId="18" borderId="75" xfId="3" applyFont="1" applyFill="1" applyBorder="1" applyAlignment="1">
      <alignment horizontal="center" vertical="center" wrapText="1"/>
    </xf>
    <xf numFmtId="0" fontId="14" fillId="14" borderId="124" xfId="3" applyFont="1" applyFill="1" applyBorder="1" applyAlignment="1">
      <alignment horizontal="center" vertical="center" wrapText="1"/>
    </xf>
    <xf numFmtId="0" fontId="14" fillId="14" borderId="58" xfId="3" applyFont="1" applyFill="1" applyBorder="1" applyAlignment="1">
      <alignment horizontal="center" vertical="center"/>
    </xf>
    <xf numFmtId="0" fontId="31" fillId="3" borderId="17" xfId="3" applyFont="1" applyFill="1" applyBorder="1" applyAlignment="1">
      <alignment horizontal="center" vertical="center" wrapText="1"/>
    </xf>
    <xf numFmtId="0" fontId="31" fillId="3" borderId="24" xfId="3" applyFont="1" applyFill="1" applyBorder="1" applyAlignment="1">
      <alignment horizontal="center" vertical="center" wrapText="1"/>
    </xf>
    <xf numFmtId="0" fontId="10" fillId="0" borderId="128" xfId="3" applyFont="1" applyBorder="1" applyAlignment="1">
      <alignment horizontal="justify" vertical="center" wrapText="1"/>
    </xf>
    <xf numFmtId="0" fontId="10" fillId="0" borderId="125" xfId="3" applyFont="1" applyBorder="1" applyAlignment="1">
      <alignment horizontal="justify" vertical="center" wrapText="1"/>
    </xf>
    <xf numFmtId="0" fontId="30" fillId="2" borderId="0" xfId="0" applyFont="1" applyFill="1" applyAlignment="1" applyProtection="1">
      <alignment horizontal="left" vertical="center" wrapText="1"/>
      <protection locked="0"/>
    </xf>
    <xf numFmtId="0" fontId="31" fillId="3" borderId="16" xfId="3" applyFont="1" applyFill="1" applyBorder="1" applyAlignment="1">
      <alignment horizontal="center" vertical="center" wrapText="1"/>
    </xf>
    <xf numFmtId="0" fontId="31" fillId="3" borderId="15" xfId="3" applyFont="1" applyFill="1" applyBorder="1" applyAlignment="1">
      <alignment horizontal="center" vertical="center" wrapText="1"/>
    </xf>
    <xf numFmtId="0" fontId="31" fillId="3" borderId="60" xfId="3" applyFont="1" applyFill="1" applyBorder="1" applyAlignment="1">
      <alignment horizontal="center" vertical="center" wrapText="1"/>
    </xf>
    <xf numFmtId="0" fontId="31" fillId="3" borderId="61" xfId="3" applyFont="1" applyFill="1" applyBorder="1" applyAlignment="1">
      <alignment horizontal="center" vertical="center" wrapText="1"/>
    </xf>
    <xf numFmtId="0" fontId="31" fillId="3" borderId="62" xfId="3" applyFont="1" applyFill="1" applyBorder="1" applyAlignment="1">
      <alignment horizontal="center" vertical="center" wrapText="1"/>
    </xf>
    <xf numFmtId="0" fontId="31" fillId="3" borderId="22" xfId="3" applyFont="1" applyFill="1" applyBorder="1" applyAlignment="1">
      <alignment horizontal="center" vertical="center" wrapText="1"/>
    </xf>
    <xf numFmtId="0" fontId="31" fillId="3" borderId="18" xfId="3" applyFont="1" applyFill="1" applyBorder="1" applyAlignment="1">
      <alignment horizontal="center" vertical="center" wrapText="1"/>
    </xf>
    <xf numFmtId="0" fontId="31" fillId="3" borderId="20" xfId="3" applyFont="1" applyFill="1" applyBorder="1" applyAlignment="1">
      <alignment horizontal="center" vertical="center" wrapText="1"/>
    </xf>
    <xf numFmtId="0" fontId="14" fillId="15" borderId="124" xfId="3" applyFont="1" applyFill="1" applyBorder="1" applyAlignment="1">
      <alignment horizontal="center" vertical="center"/>
    </xf>
    <xf numFmtId="0" fontId="14" fillId="15" borderId="58" xfId="3" applyFont="1" applyFill="1" applyBorder="1" applyAlignment="1">
      <alignment horizontal="center" vertical="center"/>
    </xf>
    <xf numFmtId="0" fontId="45" fillId="3" borderId="84" xfId="0" applyFont="1" applyFill="1" applyBorder="1" applyAlignment="1">
      <alignment horizontal="center" vertical="center"/>
    </xf>
    <xf numFmtId="0" fontId="45" fillId="3" borderId="85" xfId="0" applyFont="1" applyFill="1" applyBorder="1" applyAlignment="1">
      <alignment horizontal="center" vertical="center"/>
    </xf>
    <xf numFmtId="0" fontId="45" fillId="3" borderId="86" xfId="0" applyFont="1" applyFill="1" applyBorder="1" applyAlignment="1">
      <alignment horizontal="center" vertical="center"/>
    </xf>
    <xf numFmtId="0" fontId="32" fillId="3" borderId="132" xfId="3" applyFont="1" applyFill="1" applyBorder="1" applyAlignment="1">
      <alignment horizontal="center" vertical="center" wrapText="1"/>
    </xf>
    <xf numFmtId="0" fontId="32" fillId="3" borderId="133" xfId="3" applyFont="1" applyFill="1" applyBorder="1" applyAlignment="1">
      <alignment horizontal="center" vertical="center" wrapText="1"/>
    </xf>
    <xf numFmtId="0" fontId="14" fillId="16" borderId="129" xfId="3" applyFont="1" applyFill="1" applyBorder="1" applyAlignment="1">
      <alignment horizontal="center" vertical="center"/>
    </xf>
    <xf numFmtId="0" fontId="14" fillId="16" borderId="130" xfId="3" applyFont="1" applyFill="1" applyBorder="1" applyAlignment="1">
      <alignment horizontal="center" vertical="center"/>
    </xf>
    <xf numFmtId="0" fontId="10" fillId="0" borderId="130" xfId="3" applyFont="1" applyBorder="1" applyAlignment="1">
      <alignment horizontal="justify" vertical="center" wrapText="1"/>
    </xf>
    <xf numFmtId="0" fontId="32" fillId="3" borderId="134" xfId="3" applyFont="1" applyFill="1" applyBorder="1" applyAlignment="1">
      <alignment horizontal="center" vertical="center" wrapText="1"/>
    </xf>
    <xf numFmtId="0" fontId="10" fillId="0" borderId="131" xfId="3" applyFont="1" applyBorder="1" applyAlignment="1">
      <alignment horizontal="justify" vertical="center" wrapText="1"/>
    </xf>
    <xf numFmtId="9" fontId="40" fillId="2" borderId="2" xfId="3" applyNumberFormat="1" applyFont="1" applyFill="1" applyBorder="1" applyAlignment="1" applyProtection="1">
      <alignment horizontal="center" vertical="center"/>
      <protection hidden="1"/>
    </xf>
    <xf numFmtId="9" fontId="40" fillId="2" borderId="25" xfId="3" applyNumberFormat="1" applyFont="1" applyFill="1" applyBorder="1" applyAlignment="1" applyProtection="1">
      <alignment horizontal="center" vertical="center"/>
      <protection hidden="1"/>
    </xf>
    <xf numFmtId="9" fontId="40" fillId="2" borderId="1" xfId="3" applyNumberFormat="1" applyFont="1" applyFill="1" applyBorder="1" applyAlignment="1" applyProtection="1">
      <alignment horizontal="center" vertical="center"/>
      <protection hidden="1"/>
    </xf>
    <xf numFmtId="0" fontId="32" fillId="18" borderId="80" xfId="3" applyFont="1" applyFill="1" applyBorder="1" applyAlignment="1">
      <alignment horizontal="center" vertical="center"/>
    </xf>
    <xf numFmtId="0" fontId="32" fillId="18" borderId="81" xfId="3" applyFont="1" applyFill="1" applyBorder="1" applyAlignment="1">
      <alignment horizontal="center" vertical="center"/>
    </xf>
    <xf numFmtId="0" fontId="32" fillId="18" borderId="104" xfId="3" applyFont="1" applyFill="1" applyBorder="1" applyAlignment="1">
      <alignment horizontal="center" vertical="center"/>
    </xf>
    <xf numFmtId="0" fontId="31" fillId="18" borderId="112" xfId="3" applyFont="1" applyFill="1" applyBorder="1" applyAlignment="1">
      <alignment horizontal="center" vertical="center" wrapText="1"/>
    </xf>
    <xf numFmtId="0" fontId="31" fillId="18" borderId="109" xfId="3" applyFont="1" applyFill="1" applyBorder="1" applyAlignment="1">
      <alignment horizontal="center" vertical="center" wrapText="1"/>
    </xf>
    <xf numFmtId="9" fontId="40" fillId="2" borderId="50" xfId="3" applyNumberFormat="1" applyFont="1" applyFill="1" applyBorder="1" applyAlignment="1" applyProtection="1">
      <alignment horizontal="center" vertical="center"/>
      <protection hidden="1"/>
    </xf>
    <xf numFmtId="9" fontId="40" fillId="2" borderId="3" xfId="3" applyNumberFormat="1" applyFont="1" applyFill="1" applyBorder="1" applyAlignment="1" applyProtection="1">
      <alignment horizontal="center" vertical="center"/>
      <protection hidden="1"/>
    </xf>
    <xf numFmtId="49" fontId="48" fillId="2" borderId="1" xfId="0" applyNumberFormat="1" applyFont="1" applyFill="1" applyBorder="1" applyAlignment="1">
      <alignment horizontal="left" vertical="center" wrapText="1"/>
    </xf>
    <xf numFmtId="49" fontId="63" fillId="2" borderId="1" xfId="0" applyNumberFormat="1" applyFont="1" applyFill="1" applyBorder="1" applyAlignment="1" applyProtection="1">
      <alignment horizontal="left" vertical="top" wrapText="1"/>
      <protection locked="0"/>
    </xf>
    <xf numFmtId="49" fontId="60" fillId="2" borderId="1" xfId="0" applyNumberFormat="1" applyFont="1" applyFill="1" applyBorder="1" applyAlignment="1" applyProtection="1">
      <alignment horizontal="left" vertical="top" wrapText="1"/>
      <protection locked="0"/>
    </xf>
    <xf numFmtId="0" fontId="45" fillId="3" borderId="2" xfId="0" applyFont="1" applyFill="1" applyBorder="1" applyAlignment="1">
      <alignment horizontal="center" vertical="center" wrapText="1"/>
    </xf>
    <xf numFmtId="0" fontId="45" fillId="3" borderId="3" xfId="0" applyFont="1" applyFill="1" applyBorder="1" applyAlignment="1">
      <alignment horizontal="center" vertical="center" wrapText="1"/>
    </xf>
    <xf numFmtId="0" fontId="59" fillId="2" borderId="1" xfId="0" applyFont="1" applyFill="1" applyBorder="1" applyAlignment="1" applyProtection="1">
      <alignment horizontal="center"/>
      <protection locked="0"/>
    </xf>
    <xf numFmtId="0" fontId="20" fillId="2" borderId="1" xfId="0" applyFont="1" applyFill="1" applyBorder="1" applyAlignment="1" applyProtection="1">
      <alignment horizontal="center"/>
      <protection locked="0"/>
    </xf>
    <xf numFmtId="164" fontId="59" fillId="2" borderId="4" xfId="0" applyNumberFormat="1" applyFont="1" applyFill="1" applyBorder="1" applyAlignment="1" applyProtection="1">
      <alignment horizontal="center"/>
      <protection locked="0"/>
    </xf>
    <xf numFmtId="164" fontId="59" fillId="2" borderId="5" xfId="0" applyNumberFormat="1" applyFont="1" applyFill="1" applyBorder="1" applyAlignment="1" applyProtection="1">
      <alignment horizontal="center"/>
      <protection locked="0"/>
    </xf>
    <xf numFmtId="164" fontId="59" fillId="2" borderId="59" xfId="0" applyNumberFormat="1" applyFont="1" applyFill="1" applyBorder="1" applyAlignment="1" applyProtection="1">
      <alignment horizontal="center"/>
      <protection locked="0"/>
    </xf>
    <xf numFmtId="0" fontId="20" fillId="2" borderId="157" xfId="0" applyFont="1" applyFill="1" applyBorder="1" applyAlignment="1" applyProtection="1">
      <alignment vertical="top" wrapText="1"/>
      <protection locked="0"/>
    </xf>
    <xf numFmtId="0" fontId="20" fillId="2" borderId="156" xfId="0" applyFont="1" applyFill="1" applyBorder="1" applyAlignment="1" applyProtection="1">
      <alignment vertical="top" wrapText="1"/>
      <protection locked="0"/>
    </xf>
    <xf numFmtId="0" fontId="20" fillId="2" borderId="161" xfId="0" applyFont="1" applyFill="1" applyBorder="1" applyAlignment="1" applyProtection="1">
      <alignment vertical="top" wrapText="1"/>
      <protection locked="0"/>
    </xf>
    <xf numFmtId="0" fontId="64" fillId="2" borderId="22" xfId="0" applyFont="1" applyFill="1" applyBorder="1" applyAlignment="1" applyProtection="1">
      <alignment vertical="top" wrapText="1"/>
      <protection locked="0"/>
    </xf>
    <xf numFmtId="0" fontId="21" fillId="2" borderId="156" xfId="0" applyFont="1" applyFill="1" applyBorder="1" applyAlignment="1" applyProtection="1">
      <alignment vertical="top"/>
      <protection locked="0"/>
    </xf>
    <xf numFmtId="0" fontId="21" fillId="2" borderId="161" xfId="0" applyFont="1" applyFill="1" applyBorder="1" applyAlignment="1" applyProtection="1">
      <alignment vertical="top"/>
      <protection locked="0"/>
    </xf>
    <xf numFmtId="0" fontId="18" fillId="2" borderId="157" xfId="0" applyFont="1" applyFill="1" applyBorder="1" applyAlignment="1" applyProtection="1">
      <alignment vertical="top" wrapText="1"/>
      <protection locked="0"/>
    </xf>
    <xf numFmtId="0" fontId="18" fillId="2" borderId="156" xfId="0" applyFont="1" applyFill="1" applyBorder="1" applyAlignment="1" applyProtection="1">
      <alignment vertical="top"/>
      <protection locked="0"/>
    </xf>
  </cellXfs>
  <cellStyles count="8">
    <cellStyle name="Hipervínculo" xfId="2" builtinId="8"/>
    <cellStyle name="Hyperlink" xfId="7" xr:uid="{01B0375D-872A-4BAC-A31A-1B663C83562C}"/>
    <cellStyle name="Normal" xfId="0" builtinId="0"/>
    <cellStyle name="Normal - Style1 2" xfId="4" xr:uid="{00000000-0005-0000-0000-000002000000}"/>
    <cellStyle name="Normal 2" xfId="3" xr:uid="{00000000-0005-0000-0000-000003000000}"/>
    <cellStyle name="Normal 2 2" xfId="5" xr:uid="{00000000-0005-0000-0000-000004000000}"/>
    <cellStyle name="Porcentaje" xfId="6" builtinId="5"/>
    <cellStyle name="table_head1" xfId="1" xr:uid="{00000000-0005-0000-0000-000006000000}"/>
  </cellStyles>
  <dxfs count="80">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00B0F0"/>
        </patternFill>
      </fill>
    </dxf>
    <dxf>
      <fill>
        <patternFill>
          <bgColor rgb="FF00B050"/>
        </patternFill>
      </fill>
    </dxf>
    <dxf>
      <fill>
        <patternFill>
          <bgColor rgb="FF92D050"/>
        </patternFill>
      </fill>
    </dxf>
    <dxf>
      <fill>
        <patternFill>
          <bgColor rgb="FF92D050"/>
        </patternFill>
      </fill>
    </dxf>
    <dxf>
      <fill>
        <patternFill>
          <bgColor rgb="FF00B050"/>
        </patternFill>
      </fill>
    </dxf>
    <dxf>
      <fill>
        <patternFill>
          <bgColor rgb="FF00B0F0"/>
        </patternFill>
      </fill>
    </dxf>
    <dxf>
      <fill>
        <patternFill>
          <bgColor rgb="FFFFFF00"/>
        </patternFill>
      </fill>
    </dxf>
    <dxf>
      <fill>
        <patternFill>
          <bgColor rgb="FFFF0000"/>
        </patternFill>
      </fill>
    </dxf>
    <dxf>
      <font>
        <color rgb="FF9C0006"/>
      </font>
    </dxf>
    <dxf>
      <font>
        <color rgb="FF9C6500"/>
      </font>
      <fill>
        <patternFill>
          <bgColor rgb="FFFFEB9C"/>
        </patternFill>
      </fill>
    </dxf>
  </dxfs>
  <tableStyles count="0" defaultTableStyle="TableStyleMedium9" defaultPivotStyle="PivotStyleLight16"/>
  <colors>
    <mruColors>
      <color rgb="FF2E3917"/>
      <color rgb="FF83A343"/>
      <color rgb="FFFF9900"/>
      <color rgb="FFF7C435"/>
      <color rgb="FFFFCC00"/>
      <color rgb="FF262F13"/>
      <color rgb="FFF9D367"/>
      <color rgb="FF0035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26" Type="http://schemas.openxmlformats.org/officeDocument/2006/relationships/externalLink" Target="externalLinks/externalLink14.xml"/><Relationship Id="rId39" Type="http://schemas.openxmlformats.org/officeDocument/2006/relationships/customXml" Target="../customXml/item1.xml"/><Relationship Id="rId21" Type="http://schemas.openxmlformats.org/officeDocument/2006/relationships/externalLink" Target="externalLinks/externalLink9.xml"/><Relationship Id="rId34" Type="http://schemas.openxmlformats.org/officeDocument/2006/relationships/externalLink" Target="externalLinks/externalLink2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externalLink" Target="externalLinks/externalLink8.xml"/><Relationship Id="rId29" Type="http://schemas.openxmlformats.org/officeDocument/2006/relationships/externalLink" Target="externalLinks/externalLink17.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2.xml"/><Relationship Id="rId32" Type="http://schemas.openxmlformats.org/officeDocument/2006/relationships/externalLink" Target="externalLinks/externalLink20.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externalLink" Target="externalLinks/externalLink11.xml"/><Relationship Id="rId28" Type="http://schemas.openxmlformats.org/officeDocument/2006/relationships/externalLink" Target="externalLinks/externalLink1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7.xml"/><Relationship Id="rId31" Type="http://schemas.openxmlformats.org/officeDocument/2006/relationships/externalLink" Target="externalLinks/externalLink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externalLink" Target="externalLinks/externalLink10.xml"/><Relationship Id="rId27" Type="http://schemas.openxmlformats.org/officeDocument/2006/relationships/externalLink" Target="externalLinks/externalLink15.xml"/><Relationship Id="rId30" Type="http://schemas.openxmlformats.org/officeDocument/2006/relationships/externalLink" Target="externalLinks/externalLink18.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externalLink" Target="externalLinks/externalLink13.xml"/><Relationship Id="rId33" Type="http://schemas.openxmlformats.org/officeDocument/2006/relationships/externalLink" Target="externalLinks/externalLink21.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4</xdr:col>
      <xdr:colOff>3076718</xdr:colOff>
      <xdr:row>12</xdr:row>
      <xdr:rowOff>68708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184538" y="0"/>
          <a:ext cx="3883542" cy="22198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1685925</xdr:colOff>
      <xdr:row>0</xdr:row>
      <xdr:rowOff>0</xdr:rowOff>
    </xdr:from>
    <xdr:to>
      <xdr:col>3</xdr:col>
      <xdr:colOff>5703692</xdr:colOff>
      <xdr:row>7</xdr:row>
      <xdr:rowOff>182916</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a:blip xmlns:r="http://schemas.openxmlformats.org/officeDocument/2006/relationships" r:embed="rId1"/>
        <a:stretch>
          <a:fillRect/>
        </a:stretch>
      </xdr:blipFill>
      <xdr:spPr>
        <a:xfrm>
          <a:off x="7534275" y="0"/>
          <a:ext cx="3958421" cy="21863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2809875</xdr:colOff>
      <xdr:row>0</xdr:row>
      <xdr:rowOff>47625</xdr:rowOff>
    </xdr:from>
    <xdr:to>
      <xdr:col>6</xdr:col>
      <xdr:colOff>3987461</xdr:colOff>
      <xdr:row>7</xdr:row>
      <xdr:rowOff>236891</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a:stretch>
          <a:fillRect/>
        </a:stretch>
      </xdr:blipFill>
      <xdr:spPr>
        <a:xfrm>
          <a:off x="5819775" y="47625"/>
          <a:ext cx="3958421" cy="21863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640773</xdr:colOff>
      <xdr:row>0</xdr:row>
      <xdr:rowOff>43296</xdr:rowOff>
    </xdr:from>
    <xdr:to>
      <xdr:col>8</xdr:col>
      <xdr:colOff>366586</xdr:colOff>
      <xdr:row>5</xdr:row>
      <xdr:rowOff>369473</xdr:rowOff>
    </xdr:to>
    <xdr:pic>
      <xdr:nvPicPr>
        <xdr:cNvPr id="7" name="Imagen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5870864" y="43296"/>
          <a:ext cx="3957459" cy="2357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152400</xdr:colOff>
      <xdr:row>0</xdr:row>
      <xdr:rowOff>0</xdr:rowOff>
    </xdr:from>
    <xdr:to>
      <xdr:col>6</xdr:col>
      <xdr:colOff>4238622</xdr:colOff>
      <xdr:row>7</xdr:row>
      <xdr:rowOff>149531</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6000750" y="0"/>
          <a:ext cx="3957459" cy="21497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23812</xdr:colOff>
      <xdr:row>6</xdr:row>
      <xdr:rowOff>106850</xdr:rowOff>
    </xdr:from>
    <xdr:to>
      <xdr:col>7</xdr:col>
      <xdr:colOff>217714</xdr:colOff>
      <xdr:row>14</xdr:row>
      <xdr:rowOff>95250</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459241" y="2270386"/>
          <a:ext cx="4357687" cy="245129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1494063</xdr:colOff>
      <xdr:row>5</xdr:row>
      <xdr:rowOff>202100</xdr:rowOff>
    </xdr:from>
    <xdr:to>
      <xdr:col>14</xdr:col>
      <xdr:colOff>591396</xdr:colOff>
      <xdr:row>13</xdr:row>
      <xdr:rowOff>75454</xdr:rowOff>
    </xdr:to>
    <xdr:pic>
      <xdr:nvPicPr>
        <xdr:cNvPr id="2" name="Imagen 1">
          <a:extLst>
            <a:ext uri="{FF2B5EF4-FFF2-40B4-BE49-F238E27FC236}">
              <a16:creationId xmlns:a16="http://schemas.microsoft.com/office/drawing/2014/main" id="{6027865B-3907-4F74-A69B-D853CD0A0087}"/>
            </a:ext>
          </a:extLst>
        </xdr:cNvPr>
        <xdr:cNvPicPr>
          <a:picLocks noChangeAspect="1"/>
        </xdr:cNvPicPr>
      </xdr:nvPicPr>
      <xdr:blipFill>
        <a:blip xmlns:r="http://schemas.openxmlformats.org/officeDocument/2006/relationships" r:embed="rId1"/>
        <a:stretch>
          <a:fillRect/>
        </a:stretch>
      </xdr:blipFill>
      <xdr:spPr>
        <a:xfrm>
          <a:off x="1957613" y="2113450"/>
          <a:ext cx="4813921" cy="23752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IS%20DOCUMENTOS\ANALISIS%20DIF%20-ACT-TI-AXI\AJUSTES%20POR%20INFLACION\A%20X%20I%202003\NUEVO%20CALCULO%20AXI%202003\ARCHVOS%201920\REMODELACIONES%2009%20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aespdc.sharepoint.com/E/Shared/Collections/AMIT/Eswaran_Files/DLF/Julie/wizmon.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Trabajo%20-%20Agustin\EXCEL\AVAL\Aval2009\Mar09\CONSOL\VeR%20Consolida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Documents%20and%20Settings\Administrador\Mis%20documentos\Mis%20documentos\AVAL2002\Mis%20documentos\1998\1998inicial\consol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ma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uaespdc.sharepoint.com/Mis%20documentos/CONSOLIDACION%20ATH/JUNIO%202011/CONSOLIDACION%20PARA%20AVAL_ANUALIZADO/ATH_Estados%20Financieros%20Junio%20201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uaespdc.sharepoint.com/Archivos%20comunes/2005/Reserva/Cargar%20Reporte%20de%20Mor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uaespdc.sharepoint.com/Mis%20Documentos/Marielos/Estad&#237;sticas/2005/Nueva%20Estadistica/Nueva%20Estadistica/52.Dias%20de%20atraso%20(Outstand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uaespdc.sharepoint.com/E/tmp/97pbth.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Trabajo%20-%20Agust&#237;n\EXCEL\PATRIM\PATEC%202005\Fusion\oficialoc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uaespdc.sharepoint.com/DOCUME~1/ljlopez/CONFIG~1/Temp/notesE1EF34/Otros%20Anexos/Gastos%20Regionales,%20Setiembre%202011.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uaespdc.sharepoint.com/DOCUME~1/ECESPE~1/CONFIG~1/Temp/notesFFF692/Otros%20Anexos/Gastos%20Regionales,%20Diciembre%202011.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uaespdc.sharepoint.com/Users/Evalbuena/AppData/Local/Microsoft/Windows/Temporary%20Internet%20Files/Content.Outlook/SVA60ZPR/Consolidado%20Diciembre%20%202011%20Banking%20Gaap%20Grupo%20Aval-120411.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uaespdc.sharepoint.com/Users/Jcruz/Desktop/COnsolidacion/Informacion-Julio2011/Recibidos/Bogota/ECP/Real/CONSOLREAL.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uaespdc.sharepoint.com/DOCUME~1/ECESPE~1/CONFIG~1/Temp/notesFFF692/PUC_1112%20v5.9.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uaespdc.sharepoint.com/E/Documents/Brand%20X/JT8D/200/Meridiana/VB%20LLP%20Model%20V3%20Meridiana.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uaespdc.sharepoint.com/Users/Jcruz/Desktop/COnsolidacion/Informacion-Julio2011/Recibidos/Bogota/ECP/Financiero/Consol/CONSOLFINA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https://uaespdc.sharepoint.com/Grupo_Aval/USGAAP/BANKING/1106/Entregado/Guia%203%20Historica%20a%20Junio%202011%20-%20Agosto%2020%202011%20-%20110922.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uaespdc.sharepoint.com/Mis%20Documentos/GRUPO%20AVAL/Banking%20Junio%202011/Julio-Banking%20Junio%2020110813/Banking%20Junio%202011/Consolidacion%20Entidades%20Aval%20SEC%20Banking%20Gaap%20a%20Junio%20de%202011-2011101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uaespdc.sharepoint.com/ESTADOS%20FINANCIEROS%202002/Salvador/Set/SALV-Mktshare-Emisor%20SET-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uaespdc.sharepoint.com/DOCUME~1/ljlopez/CONFIG~1/Temp/notesE1EF34/Leasing%20Bogot&#225;,%20PUC%20Marzo%202011%20Final%20sin%20detalles.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uaespdc.sharepoint.com/E/DOCUME~1/malas/CONFIG~1/Temp/notesE1EF34/Presupuesto%202007%20(Consult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DATOS (2)"/>
      <sheetName val="INTERFAZ"/>
      <sheetName val="BDATOS"/>
      <sheetName val="2"/>
      <sheetName val="Entidad - Proceso"/>
      <sheetName val="Datos"/>
      <sheetName val="Parametros"/>
      <sheetName val="Dat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sheetName val="#2006"/>
      <sheetName val="#2005"/>
      <sheetName val="#2004"/>
      <sheetName val="#2003"/>
      <sheetName val="#2002"/>
      <sheetName val="WIZ"/>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 CONSOLIDADO"/>
      <sheetName val="381-ME Corporacion "/>
      <sheetName val="381-ML Corporacion"/>
      <sheetName val="381-UVR Corporacion"/>
      <sheetName val="382-CC Corporacion"/>
      <sheetName val="383-ME Corporacion"/>
      <sheetName val="383-ML Corporacion"/>
      <sheetName val="383-UVR Corporacion"/>
      <sheetName val="384-Acciones Corporacion"/>
      <sheetName val="385-TC Corporacion"/>
      <sheetName val="381-TI Casa de Bolsa"/>
      <sheetName val="383-TI Casa de Bolsa"/>
      <sheetName val="384-Acciones Casa de Bolsa"/>
      <sheetName val="435-Fiduciaria"/>
      <sheetName val="436-Fiduciaria"/>
      <sheetName val="437-Fiduciaria"/>
      <sheetName val="439-Fiduciaria"/>
      <sheetName val="440-Fiduciaria"/>
      <sheetName val="381-ME Leasing"/>
      <sheetName val="381-ML Leasing"/>
      <sheetName val="381-UVR Leasing"/>
      <sheetName val="382-CC Leasing"/>
      <sheetName val="383-ME Leasing"/>
      <sheetName val="383-ML Leasing"/>
      <sheetName val="383-UVR Leasing"/>
      <sheetName val="384-Acciones Leasing"/>
      <sheetName val="385-TC Leasing"/>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JUSTES STELLA"/>
      <sheetName val="B.BTA.S.VALORES"/>
      <sheetName val="ahorramas 31-12-98 bce"/>
      <sheetName val="ahorramas 31-12-98 p-g"/>
      <sheetName val="AJUSTE-PYG-VILLAS"/>
      <sheetName val="CAL.INT.MIN.ARREGLO-OCC."/>
      <sheetName val="ARREGLOVILLASAHORRAMAS"/>
      <sheetName val="ARREGLO INT.MIN."/>
      <sheetName val="SABANAS"/>
      <sheetName val="usgaap"/>
      <sheetName val="ajustes us-gaap"/>
      <sheetName val="conciliación  utilidad"/>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dito"/>
      <sheetName val="oficial"/>
    </sheetNames>
    <sheetDataSet>
      <sheetData sheetId="0" refreshError="1"/>
      <sheetData sheetId="1">
        <row r="1">
          <cell r="A1" t="str">
            <v>SALNI1</v>
          </cell>
          <cell r="B1" t="str">
            <v>CLINOM</v>
          </cell>
          <cell r="C1" t="str">
            <v>SALC01</v>
          </cell>
          <cell r="D1" t="str">
            <v>SALSA7</v>
          </cell>
          <cell r="E1" t="str">
            <v>SALDE6</v>
          </cell>
          <cell r="F1" t="str">
            <v>SALCR6</v>
          </cell>
          <cell r="G1" t="str">
            <v>SALDO16</v>
          </cell>
          <cell r="H1">
            <v>-459925449.5</v>
          </cell>
        </row>
        <row r="2">
          <cell r="A2">
            <v>8903990034</v>
          </cell>
          <cell r="B2" t="str">
            <v>EMPRESAS MUNICIPALES DE CALI - EMCALI E.I.C.E.</v>
          </cell>
          <cell r="C2">
            <v>14952701</v>
          </cell>
          <cell r="D2">
            <v>-15847134727</v>
          </cell>
          <cell r="E2">
            <v>0</v>
          </cell>
          <cell r="F2">
            <v>0</v>
          </cell>
          <cell r="G2">
            <v>0</v>
          </cell>
          <cell r="H2">
            <v>-15847134727</v>
          </cell>
        </row>
        <row r="3">
          <cell r="A3">
            <v>8903990113</v>
          </cell>
          <cell r="B3" t="str">
            <v>TESORERIA MUNICIPAL DE CALI</v>
          </cell>
          <cell r="C3">
            <v>14952001</v>
          </cell>
          <cell r="D3">
            <v>-4904354703.5</v>
          </cell>
          <cell r="E3">
            <v>0</v>
          </cell>
          <cell r="F3">
            <v>0</v>
          </cell>
          <cell r="G3">
            <v>0</v>
          </cell>
          <cell r="H3">
            <v>-4904354703.5</v>
          </cell>
        </row>
        <row r="4">
          <cell r="A4">
            <v>8903990034</v>
          </cell>
          <cell r="B4" t="str">
            <v>EMPRESAS MUNICIPALES DE CALI - EMCALI E.I.C.E.</v>
          </cell>
          <cell r="C4">
            <v>14952501</v>
          </cell>
          <cell r="D4">
            <v>-2371666204</v>
          </cell>
          <cell r="E4">
            <v>0</v>
          </cell>
          <cell r="F4">
            <v>0</v>
          </cell>
          <cell r="G4">
            <v>0</v>
          </cell>
          <cell r="H4">
            <v>-2371666204</v>
          </cell>
        </row>
        <row r="5">
          <cell r="A5">
            <v>8901020181</v>
          </cell>
          <cell r="B5" t="str">
            <v>DISTRITO DE BARRANQUILLA</v>
          </cell>
          <cell r="C5">
            <v>14952001</v>
          </cell>
          <cell r="D5">
            <v>-1643309997</v>
          </cell>
          <cell r="E5">
            <v>0</v>
          </cell>
          <cell r="F5">
            <v>0</v>
          </cell>
          <cell r="G5">
            <v>0</v>
          </cell>
          <cell r="H5">
            <v>-1643309997</v>
          </cell>
        </row>
        <row r="6">
          <cell r="A6">
            <v>8903990113</v>
          </cell>
          <cell r="B6" t="str">
            <v>TESORERIA MUNICIPAL DE CALI</v>
          </cell>
          <cell r="C6">
            <v>14952201</v>
          </cell>
          <cell r="D6">
            <v>-1332424547</v>
          </cell>
          <cell r="E6">
            <v>0</v>
          </cell>
          <cell r="F6">
            <v>0</v>
          </cell>
          <cell r="G6">
            <v>0</v>
          </cell>
          <cell r="H6">
            <v>-1332424547</v>
          </cell>
        </row>
        <row r="7">
          <cell r="A7">
            <v>8915800168</v>
          </cell>
          <cell r="B7" t="str">
            <v>DEPARTAMENTO DEL CAUCA</v>
          </cell>
          <cell r="C7">
            <v>14951501</v>
          </cell>
          <cell r="D7">
            <v>-1194627647.9200001</v>
          </cell>
          <cell r="E7">
            <v>0</v>
          </cell>
          <cell r="F7">
            <v>0</v>
          </cell>
          <cell r="G7">
            <v>0</v>
          </cell>
          <cell r="H7">
            <v>-1194627647.9200001</v>
          </cell>
        </row>
        <row r="8">
          <cell r="A8">
            <v>8909801121</v>
          </cell>
          <cell r="B8" t="str">
            <v>MUNICIPIO DE BELLO</v>
          </cell>
          <cell r="C8">
            <v>14952501</v>
          </cell>
          <cell r="D8">
            <v>-726164715.63</v>
          </cell>
          <cell r="E8">
            <v>194867496.88</v>
          </cell>
          <cell r="F8">
            <v>0</v>
          </cell>
          <cell r="G8">
            <v>0</v>
          </cell>
          <cell r="H8">
            <v>-531297218.75</v>
          </cell>
        </row>
        <row r="9">
          <cell r="A9">
            <v>8901020031</v>
          </cell>
          <cell r="B9" t="str">
            <v>EMPRESA DISTRITAL DE TELECOMUNICACIONES DE BQUILLA S.A E.S.P</v>
          </cell>
          <cell r="C9">
            <v>14952209</v>
          </cell>
          <cell r="D9">
            <v>-422500000</v>
          </cell>
          <cell r="E9">
            <v>0</v>
          </cell>
          <cell r="F9">
            <v>0</v>
          </cell>
          <cell r="G9">
            <v>0</v>
          </cell>
          <cell r="H9">
            <v>-422500000</v>
          </cell>
        </row>
        <row r="10">
          <cell r="A10">
            <v>8904801844</v>
          </cell>
          <cell r="B10" t="str">
            <v>DISTRITO TURISTICO Y CULTURAL DE C/GENA.</v>
          </cell>
          <cell r="C10">
            <v>14952501</v>
          </cell>
          <cell r="D10">
            <v>-244439543.56999999</v>
          </cell>
          <cell r="E10">
            <v>0</v>
          </cell>
          <cell r="F10">
            <v>0</v>
          </cell>
          <cell r="G10">
            <v>0</v>
          </cell>
          <cell r="H10">
            <v>-244439543.56999999</v>
          </cell>
        </row>
        <row r="11">
          <cell r="A11">
            <v>8901020031</v>
          </cell>
          <cell r="B11" t="str">
            <v>EMPRESA DISTRITAL DE TELECOMUNICACIONES DE BQUILLA S.A E.S.P</v>
          </cell>
          <cell r="C11">
            <v>14952001</v>
          </cell>
          <cell r="D11">
            <v>-183630917</v>
          </cell>
          <cell r="E11">
            <v>0</v>
          </cell>
          <cell r="F11">
            <v>0</v>
          </cell>
          <cell r="G11">
            <v>0</v>
          </cell>
          <cell r="H11">
            <v>-183630917</v>
          </cell>
        </row>
        <row r="12">
          <cell r="A12">
            <v>8915800064</v>
          </cell>
          <cell r="B12" t="str">
            <v>MUNICIPIO DE POPAYAN</v>
          </cell>
          <cell r="C12">
            <v>14952001</v>
          </cell>
          <cell r="D12">
            <v>-142924190</v>
          </cell>
          <cell r="E12">
            <v>0</v>
          </cell>
          <cell r="F12">
            <v>0</v>
          </cell>
          <cell r="G12">
            <v>0</v>
          </cell>
          <cell r="H12">
            <v>-142924190</v>
          </cell>
        </row>
        <row r="13">
          <cell r="A13">
            <v>8901020031</v>
          </cell>
          <cell r="B13" t="str">
            <v>EMPRESA DISTRITAL DE TELECOMUNICACIONES DE BQUILLA S.A E.S.P</v>
          </cell>
          <cell r="C13">
            <v>14952201</v>
          </cell>
          <cell r="D13">
            <v>-141370429</v>
          </cell>
          <cell r="E13">
            <v>0</v>
          </cell>
          <cell r="F13">
            <v>0</v>
          </cell>
          <cell r="G13">
            <v>0</v>
          </cell>
          <cell r="H13">
            <v>-141370429</v>
          </cell>
        </row>
        <row r="14">
          <cell r="A14">
            <v>8903990453</v>
          </cell>
          <cell r="B14" t="str">
            <v>MUNICIPIO DE BUENAVENTURA</v>
          </cell>
          <cell r="C14">
            <v>14951701</v>
          </cell>
          <cell r="D14">
            <v>-127194000</v>
          </cell>
          <cell r="E14">
            <v>0</v>
          </cell>
          <cell r="F14">
            <v>0</v>
          </cell>
          <cell r="G14">
            <v>0</v>
          </cell>
          <cell r="H14">
            <v>-127194000</v>
          </cell>
        </row>
        <row r="15">
          <cell r="A15">
            <v>8901020061</v>
          </cell>
          <cell r="B15" t="str">
            <v>DEPARTAMENTO DEL ATLANTICO</v>
          </cell>
          <cell r="C15">
            <v>14952001</v>
          </cell>
          <cell r="D15">
            <v>-115986106.5</v>
          </cell>
          <cell r="E15">
            <v>0</v>
          </cell>
          <cell r="F15">
            <v>0</v>
          </cell>
          <cell r="G15">
            <v>0</v>
          </cell>
          <cell r="H15">
            <v>-115986106.5</v>
          </cell>
        </row>
        <row r="16">
          <cell r="A16">
            <v>8904800591</v>
          </cell>
          <cell r="B16" t="str">
            <v>DEPARTAMENTO DE BOLIVAR</v>
          </cell>
          <cell r="C16">
            <v>14951501</v>
          </cell>
          <cell r="D16">
            <v>-110843373.61</v>
          </cell>
          <cell r="E16">
            <v>0</v>
          </cell>
          <cell r="F16">
            <v>0</v>
          </cell>
          <cell r="G16">
            <v>0</v>
          </cell>
          <cell r="H16">
            <v>-110843373.61</v>
          </cell>
        </row>
        <row r="17">
          <cell r="A17">
            <v>8919004932</v>
          </cell>
          <cell r="B17" t="str">
            <v>MUNICIPIO DE CARTAGO</v>
          </cell>
          <cell r="C17">
            <v>14952201</v>
          </cell>
          <cell r="D17">
            <v>-58979170.600000001</v>
          </cell>
          <cell r="E17">
            <v>0</v>
          </cell>
          <cell r="F17">
            <v>0</v>
          </cell>
          <cell r="G17">
            <v>0</v>
          </cell>
          <cell r="H17">
            <v>-58979170.600000001</v>
          </cell>
        </row>
        <row r="18">
          <cell r="A18">
            <v>8913800073</v>
          </cell>
          <cell r="B18" t="str">
            <v>TESORERIA MUNICIPAL DE PALMIRA</v>
          </cell>
          <cell r="C18">
            <v>14952001</v>
          </cell>
          <cell r="D18">
            <v>-45846284</v>
          </cell>
          <cell r="E18">
            <v>0</v>
          </cell>
          <cell r="F18">
            <v>0</v>
          </cell>
          <cell r="G18">
            <v>0</v>
          </cell>
          <cell r="H18">
            <v>-45846284</v>
          </cell>
        </row>
        <row r="19">
          <cell r="A19">
            <v>8001039331</v>
          </cell>
          <cell r="B19" t="str">
            <v>DEPARTAMENTO DEL VALLE DEL CAUCA</v>
          </cell>
          <cell r="C19">
            <v>14951001</v>
          </cell>
          <cell r="D19">
            <v>-39939811.229999997</v>
          </cell>
          <cell r="E19">
            <v>0</v>
          </cell>
          <cell r="F19">
            <v>0</v>
          </cell>
          <cell r="G19">
            <v>0</v>
          </cell>
          <cell r="H19">
            <v>-39939811.229999997</v>
          </cell>
        </row>
        <row r="20">
          <cell r="A20">
            <v>8913800073</v>
          </cell>
          <cell r="B20" t="str">
            <v>TESORERIA MUNICIPAL DE PALMIRA</v>
          </cell>
          <cell r="C20">
            <v>14952201</v>
          </cell>
          <cell r="D20">
            <v>-36927493</v>
          </cell>
          <cell r="E20">
            <v>0</v>
          </cell>
          <cell r="F20">
            <v>0</v>
          </cell>
          <cell r="G20">
            <v>0</v>
          </cell>
          <cell r="H20">
            <v>-36927493</v>
          </cell>
        </row>
        <row r="21">
          <cell r="A21">
            <v>8919004932</v>
          </cell>
          <cell r="B21" t="str">
            <v>MUNICIPIO DE CARTAGO</v>
          </cell>
          <cell r="C21">
            <v>14952001</v>
          </cell>
          <cell r="D21">
            <v>-15083329.4</v>
          </cell>
          <cell r="E21">
            <v>0</v>
          </cell>
          <cell r="F21">
            <v>0</v>
          </cell>
          <cell r="G21">
            <v>0</v>
          </cell>
          <cell r="H21">
            <v>-15083329.4</v>
          </cell>
        </row>
        <row r="22">
          <cell r="A22">
            <v>8903990453</v>
          </cell>
          <cell r="B22" t="str">
            <v>MUNICIPIO DE BUENAVENTURA</v>
          </cell>
          <cell r="C22">
            <v>14951501</v>
          </cell>
          <cell r="D22">
            <v>-11875000</v>
          </cell>
          <cell r="E22">
            <v>0</v>
          </cell>
          <cell r="F22">
            <v>0</v>
          </cell>
          <cell r="G22">
            <v>0</v>
          </cell>
          <cell r="H22">
            <v>-11875000</v>
          </cell>
        </row>
        <row r="23">
          <cell r="A23">
            <v>8904801844</v>
          </cell>
          <cell r="B23" t="str">
            <v>DISTRITO TURISTICO Y CULTURAL DE C/GENA.</v>
          </cell>
          <cell r="C23">
            <v>14952701</v>
          </cell>
          <cell r="D23">
            <v>0</v>
          </cell>
          <cell r="E23">
            <v>0</v>
          </cell>
          <cell r="F23">
            <v>6010808.8300000001</v>
          </cell>
          <cell r="G23">
            <v>0</v>
          </cell>
          <cell r="H23">
            <v>-6010808.8300000001</v>
          </cell>
        </row>
        <row r="24">
          <cell r="A24">
            <v>8999990260</v>
          </cell>
          <cell r="B24" t="str">
            <v>CAJA DE PREVISION SOCIAL DE COMUNICACIONES CAPRECOM</v>
          </cell>
          <cell r="C24">
            <v>14951013</v>
          </cell>
          <cell r="D24">
            <v>-1066666.6599999999</v>
          </cell>
          <cell r="E24">
            <v>66666.67</v>
          </cell>
          <cell r="F24">
            <v>0</v>
          </cell>
          <cell r="G24">
            <v>0</v>
          </cell>
          <cell r="H24">
            <v>-999999.99</v>
          </cell>
        </row>
        <row r="25">
          <cell r="A25">
            <v>8918004981</v>
          </cell>
          <cell r="B25" t="str">
            <v>FONDO NACIONAL DE PENSIONES ENTIDAD TERRITORIAL DEPT.BOYACA</v>
          </cell>
          <cell r="C25">
            <v>14593004</v>
          </cell>
          <cell r="D25">
            <v>14700000</v>
          </cell>
          <cell r="E25">
            <v>0</v>
          </cell>
          <cell r="F25">
            <v>0</v>
          </cell>
          <cell r="G25">
            <v>14700000</v>
          </cell>
          <cell r="H25">
            <v>0</v>
          </cell>
        </row>
        <row r="26">
          <cell r="A26">
            <v>8002158072</v>
          </cell>
          <cell r="B26" t="str">
            <v>INSTITUTO NACIONAL DE VIAS</v>
          </cell>
          <cell r="C26">
            <v>14664302</v>
          </cell>
          <cell r="D26">
            <v>0</v>
          </cell>
          <cell r="E26">
            <v>5929984.25</v>
          </cell>
          <cell r="F26">
            <v>26055854</v>
          </cell>
          <cell r="G26">
            <v>-20125869.75</v>
          </cell>
          <cell r="H26">
            <v>0</v>
          </cell>
        </row>
        <row r="27">
          <cell r="A27">
            <v>8901020031</v>
          </cell>
          <cell r="B27" t="str">
            <v>EMPRESA DISTRITAL DE TELECOMUNICACIONES DE BQUILLA S.A E.S.P</v>
          </cell>
          <cell r="C27">
            <v>14691503</v>
          </cell>
          <cell r="D27">
            <v>52000000</v>
          </cell>
          <cell r="E27">
            <v>0</v>
          </cell>
          <cell r="F27">
            <v>0</v>
          </cell>
          <cell r="G27">
            <v>52000000</v>
          </cell>
          <cell r="H27">
            <v>0</v>
          </cell>
        </row>
        <row r="28">
          <cell r="A28">
            <v>8903990453</v>
          </cell>
          <cell r="B28" t="str">
            <v>MUNICIPIO DE BUENAVENTURA</v>
          </cell>
          <cell r="C28">
            <v>14681503</v>
          </cell>
          <cell r="D28">
            <v>127194000</v>
          </cell>
          <cell r="E28">
            <v>0</v>
          </cell>
          <cell r="F28">
            <v>0</v>
          </cell>
          <cell r="G28">
            <v>127194000</v>
          </cell>
          <cell r="H28">
            <v>0</v>
          </cell>
        </row>
        <row r="29">
          <cell r="A29">
            <v>8001170117</v>
          </cell>
          <cell r="B29" t="str">
            <v>INSTITUTO DE VALORIZACION MUNICIPAL DE PASTO</v>
          </cell>
          <cell r="C29">
            <v>14593004</v>
          </cell>
          <cell r="D29">
            <v>170046542</v>
          </cell>
          <cell r="E29">
            <v>0</v>
          </cell>
          <cell r="F29">
            <v>42511634</v>
          </cell>
          <cell r="G29">
            <v>127534908</v>
          </cell>
          <cell r="H29">
            <v>0</v>
          </cell>
        </row>
        <row r="30">
          <cell r="A30">
            <v>8912800003</v>
          </cell>
          <cell r="B30" t="str">
            <v>MUNICIPIO DE PASTO</v>
          </cell>
          <cell r="C30">
            <v>14591501</v>
          </cell>
          <cell r="D30">
            <v>134999999</v>
          </cell>
          <cell r="E30">
            <v>0</v>
          </cell>
          <cell r="F30">
            <v>0</v>
          </cell>
          <cell r="G30">
            <v>134999999</v>
          </cell>
          <cell r="H30">
            <v>0</v>
          </cell>
        </row>
        <row r="31">
          <cell r="A31">
            <v>8919004932</v>
          </cell>
          <cell r="B31" t="str">
            <v>MUNICIPIO DE CARTAGO</v>
          </cell>
          <cell r="C31">
            <v>14631501</v>
          </cell>
          <cell r="D31">
            <v>138976326.25999999</v>
          </cell>
          <cell r="E31">
            <v>0</v>
          </cell>
          <cell r="F31">
            <v>0</v>
          </cell>
          <cell r="G31">
            <v>138976326.25999999</v>
          </cell>
          <cell r="H31">
            <v>0</v>
          </cell>
        </row>
        <row r="32">
          <cell r="A32">
            <v>8909812075</v>
          </cell>
          <cell r="B32" t="str">
            <v>MUNICIPIO DE LA CEJA</v>
          </cell>
          <cell r="C32">
            <v>14593004</v>
          </cell>
          <cell r="D32">
            <v>164815000</v>
          </cell>
          <cell r="E32">
            <v>0</v>
          </cell>
          <cell r="F32">
            <v>0</v>
          </cell>
          <cell r="G32">
            <v>164815000</v>
          </cell>
          <cell r="H32">
            <v>0</v>
          </cell>
        </row>
        <row r="33">
          <cell r="A33">
            <v>8909073172</v>
          </cell>
          <cell r="B33" t="str">
            <v>MUNICIPIO DE RIONEGRO</v>
          </cell>
          <cell r="C33">
            <v>14591501</v>
          </cell>
          <cell r="D33">
            <v>182491386</v>
          </cell>
          <cell r="E33">
            <v>0</v>
          </cell>
          <cell r="F33">
            <v>5201005</v>
          </cell>
          <cell r="G33">
            <v>177290381</v>
          </cell>
          <cell r="H33">
            <v>0</v>
          </cell>
        </row>
        <row r="34">
          <cell r="A34">
            <v>8902051768</v>
          </cell>
          <cell r="B34" t="str">
            <v>MUNICIPIO DE FLORIDABLANCA</v>
          </cell>
          <cell r="C34">
            <v>14591501</v>
          </cell>
          <cell r="D34">
            <v>190000000</v>
          </cell>
          <cell r="E34">
            <v>0</v>
          </cell>
          <cell r="F34">
            <v>0</v>
          </cell>
          <cell r="G34">
            <v>190000000</v>
          </cell>
          <cell r="H34">
            <v>0</v>
          </cell>
        </row>
        <row r="35">
          <cell r="A35">
            <v>8909002860</v>
          </cell>
          <cell r="B35" t="str">
            <v>DEPARTAMENTO DE ANTIOQUIA</v>
          </cell>
          <cell r="C35">
            <v>14591501</v>
          </cell>
          <cell r="D35">
            <v>214583338</v>
          </cell>
          <cell r="E35">
            <v>0</v>
          </cell>
          <cell r="F35">
            <v>0</v>
          </cell>
          <cell r="G35">
            <v>214583338</v>
          </cell>
          <cell r="H35">
            <v>0</v>
          </cell>
        </row>
        <row r="36">
          <cell r="A36">
            <v>8913800335</v>
          </cell>
          <cell r="B36" t="str">
            <v>MUNICIPIO DE BUGA</v>
          </cell>
          <cell r="C36">
            <v>14601501</v>
          </cell>
          <cell r="D36">
            <v>250000000</v>
          </cell>
          <cell r="E36">
            <v>0</v>
          </cell>
          <cell r="F36">
            <v>0</v>
          </cell>
          <cell r="G36">
            <v>250000000</v>
          </cell>
          <cell r="H36">
            <v>0</v>
          </cell>
        </row>
        <row r="37">
          <cell r="A37">
            <v>8909073172</v>
          </cell>
          <cell r="B37" t="str">
            <v>MUNICIPIO DE RIONEGRO</v>
          </cell>
          <cell r="C37">
            <v>14621501</v>
          </cell>
          <cell r="D37">
            <v>273737080</v>
          </cell>
          <cell r="E37">
            <v>0</v>
          </cell>
          <cell r="F37">
            <v>7801507</v>
          </cell>
          <cell r="G37">
            <v>265935573</v>
          </cell>
          <cell r="H37">
            <v>0</v>
          </cell>
        </row>
        <row r="38">
          <cell r="A38">
            <v>8150006994</v>
          </cell>
          <cell r="B38" t="str">
            <v>ACUAVIVA S.A. E.S.P.</v>
          </cell>
          <cell r="C38">
            <v>14594305</v>
          </cell>
          <cell r="D38">
            <v>300000000</v>
          </cell>
          <cell r="E38">
            <v>0</v>
          </cell>
          <cell r="F38">
            <v>0</v>
          </cell>
          <cell r="G38">
            <v>300000000</v>
          </cell>
          <cell r="H38">
            <v>0</v>
          </cell>
        </row>
        <row r="39">
          <cell r="A39">
            <v>8909034624</v>
          </cell>
          <cell r="B39" t="str">
            <v>EMPRESA ANTIOQUE#A DE ENERGIA S.A. E.S.P.</v>
          </cell>
          <cell r="C39">
            <v>14593002</v>
          </cell>
          <cell r="D39">
            <v>333333200</v>
          </cell>
          <cell r="E39">
            <v>0</v>
          </cell>
          <cell r="F39">
            <v>0</v>
          </cell>
          <cell r="G39">
            <v>333333200</v>
          </cell>
          <cell r="H39">
            <v>0</v>
          </cell>
        </row>
        <row r="40">
          <cell r="A40">
            <v>8909073172</v>
          </cell>
          <cell r="B40" t="str">
            <v>MUNICIPIO DE RIONEGRO</v>
          </cell>
          <cell r="C40">
            <v>14593004</v>
          </cell>
          <cell r="D40">
            <v>378637059</v>
          </cell>
          <cell r="E40">
            <v>0</v>
          </cell>
          <cell r="F40">
            <v>10791156</v>
          </cell>
          <cell r="G40">
            <v>367845903</v>
          </cell>
          <cell r="H40">
            <v>0</v>
          </cell>
        </row>
        <row r="41">
          <cell r="A41">
            <v>8901020031</v>
          </cell>
          <cell r="B41" t="str">
            <v>EMPRESA DISTRITAL DE TELECOMUNICACIONES DE BQUILLA S.A E.S.P</v>
          </cell>
          <cell r="C41">
            <v>14631503</v>
          </cell>
          <cell r="D41">
            <v>414371775</v>
          </cell>
          <cell r="E41">
            <v>0</v>
          </cell>
          <cell r="F41">
            <v>0</v>
          </cell>
          <cell r="G41">
            <v>414371775</v>
          </cell>
          <cell r="H41">
            <v>0</v>
          </cell>
        </row>
        <row r="42">
          <cell r="A42">
            <v>8000967341</v>
          </cell>
          <cell r="B42" t="str">
            <v>MUNICIPIO DE MONTERIA</v>
          </cell>
          <cell r="C42">
            <v>14621501</v>
          </cell>
          <cell r="D42">
            <v>447649997</v>
          </cell>
          <cell r="E42">
            <v>0</v>
          </cell>
          <cell r="F42">
            <v>0</v>
          </cell>
          <cell r="G42">
            <v>447649997</v>
          </cell>
          <cell r="H42">
            <v>0</v>
          </cell>
        </row>
        <row r="43">
          <cell r="A43">
            <v>8919004552</v>
          </cell>
          <cell r="B43" t="str">
            <v>EMPRESAS MUNICIPALES DE CARTAGO</v>
          </cell>
          <cell r="C43">
            <v>14593004</v>
          </cell>
          <cell r="D43">
            <v>499826771.60000002</v>
          </cell>
          <cell r="E43">
            <v>0</v>
          </cell>
          <cell r="F43">
            <v>3733308.95</v>
          </cell>
          <cell r="G43">
            <v>496093462.64999998</v>
          </cell>
          <cell r="H43">
            <v>0</v>
          </cell>
        </row>
        <row r="44">
          <cell r="A44">
            <v>8909073172</v>
          </cell>
          <cell r="B44" t="str">
            <v>MUNICIPIO DE RIONEGRO</v>
          </cell>
          <cell r="C44">
            <v>14623004</v>
          </cell>
          <cell r="D44">
            <v>567955589</v>
          </cell>
          <cell r="E44">
            <v>0</v>
          </cell>
          <cell r="F44">
            <v>16186734</v>
          </cell>
          <cell r="G44">
            <v>551768855</v>
          </cell>
          <cell r="H44">
            <v>0</v>
          </cell>
        </row>
        <row r="45">
          <cell r="A45">
            <v>8999990260</v>
          </cell>
          <cell r="B45" t="str">
            <v>CAJA DE PREVISION SOCIAL DE COMUNICACIONES CAPRECOM</v>
          </cell>
          <cell r="C45">
            <v>14604305</v>
          </cell>
          <cell r="D45">
            <v>666666667</v>
          </cell>
          <cell r="E45">
            <v>0</v>
          </cell>
          <cell r="F45">
            <v>41666667</v>
          </cell>
          <cell r="G45">
            <v>625000000</v>
          </cell>
          <cell r="H45">
            <v>0</v>
          </cell>
        </row>
        <row r="46">
          <cell r="A46">
            <v>8901020061</v>
          </cell>
          <cell r="B46" t="str">
            <v>DEPARTAMENTO DEL ATLANTICO</v>
          </cell>
          <cell r="C46">
            <v>14591501</v>
          </cell>
          <cell r="D46">
            <v>646098518</v>
          </cell>
          <cell r="E46">
            <v>0</v>
          </cell>
          <cell r="F46">
            <v>0</v>
          </cell>
          <cell r="G46">
            <v>646098518</v>
          </cell>
          <cell r="H46">
            <v>0</v>
          </cell>
        </row>
        <row r="47">
          <cell r="A47">
            <v>8917800094</v>
          </cell>
          <cell r="B47" t="str">
            <v>DISTRITO TURISTICO CULTURAL E HISTORICO</v>
          </cell>
          <cell r="C47">
            <v>14591501</v>
          </cell>
          <cell r="D47">
            <v>657965344.62</v>
          </cell>
          <cell r="E47">
            <v>0</v>
          </cell>
          <cell r="F47">
            <v>0</v>
          </cell>
          <cell r="G47">
            <v>657965344.62</v>
          </cell>
          <cell r="H47">
            <v>0</v>
          </cell>
        </row>
        <row r="48">
          <cell r="A48">
            <v>8902012301</v>
          </cell>
          <cell r="B48" t="str">
            <v>ELECTRIFICADORA DE SANTANDER S.A. E.S.P.</v>
          </cell>
          <cell r="C48">
            <v>14594305</v>
          </cell>
          <cell r="D48">
            <v>735000000</v>
          </cell>
          <cell r="E48">
            <v>0</v>
          </cell>
          <cell r="F48">
            <v>35000000</v>
          </cell>
          <cell r="G48">
            <v>700000000</v>
          </cell>
          <cell r="H48">
            <v>0</v>
          </cell>
        </row>
        <row r="49">
          <cell r="A49">
            <v>8002158072</v>
          </cell>
          <cell r="B49" t="str">
            <v>INSTITUTO NACIONAL DE VIAS</v>
          </cell>
          <cell r="C49">
            <v>14664301</v>
          </cell>
          <cell r="D49">
            <v>0</v>
          </cell>
          <cell r="E49">
            <v>737577031.75</v>
          </cell>
          <cell r="F49">
            <v>0</v>
          </cell>
          <cell r="G49">
            <v>737577031.75</v>
          </cell>
          <cell r="H49">
            <v>0</v>
          </cell>
        </row>
        <row r="50">
          <cell r="A50">
            <v>8901020061</v>
          </cell>
          <cell r="B50" t="str">
            <v>DEPARTAMENTO DEL ATLANTICO</v>
          </cell>
          <cell r="C50">
            <v>14631501</v>
          </cell>
          <cell r="D50">
            <v>773240710</v>
          </cell>
          <cell r="E50">
            <v>0</v>
          </cell>
          <cell r="F50">
            <v>0</v>
          </cell>
          <cell r="G50">
            <v>773240710</v>
          </cell>
          <cell r="H50">
            <v>0</v>
          </cell>
        </row>
        <row r="51">
          <cell r="A51">
            <v>8904801844</v>
          </cell>
          <cell r="B51" t="str">
            <v>DISTRITO TURISTICO Y CULTURAL DE C/GENA.</v>
          </cell>
          <cell r="C51">
            <v>14591501</v>
          </cell>
          <cell r="D51">
            <v>810916339</v>
          </cell>
          <cell r="E51">
            <v>0</v>
          </cell>
          <cell r="F51">
            <v>19371531.920000002</v>
          </cell>
          <cell r="G51">
            <v>791544807.08000004</v>
          </cell>
          <cell r="H51">
            <v>0</v>
          </cell>
        </row>
        <row r="52">
          <cell r="A52">
            <v>8001039331</v>
          </cell>
          <cell r="B52" t="str">
            <v>DEPARTAMENTO DEL VALLE DEL CAUCA</v>
          </cell>
          <cell r="C52">
            <v>14591501</v>
          </cell>
          <cell r="D52">
            <v>828897243</v>
          </cell>
          <cell r="E52">
            <v>0</v>
          </cell>
          <cell r="F52">
            <v>0</v>
          </cell>
          <cell r="G52">
            <v>828897243</v>
          </cell>
          <cell r="H52">
            <v>0</v>
          </cell>
        </row>
        <row r="53">
          <cell r="A53">
            <v>8904801844</v>
          </cell>
          <cell r="B53" t="str">
            <v>DISTRITO TURISTICO Y CULTURAL DE C/GENA.</v>
          </cell>
          <cell r="C53">
            <v>14651501</v>
          </cell>
          <cell r="D53">
            <v>834834508</v>
          </cell>
          <cell r="E53">
            <v>0</v>
          </cell>
          <cell r="F53">
            <v>0</v>
          </cell>
          <cell r="G53">
            <v>834834508</v>
          </cell>
          <cell r="H53">
            <v>0</v>
          </cell>
        </row>
        <row r="54">
          <cell r="A54">
            <v>8901020031</v>
          </cell>
          <cell r="B54" t="str">
            <v>EMPRESA DISTRITAL DE TELECOMUNICACIONES DE BQUILLA S.A E.S.P</v>
          </cell>
          <cell r="C54">
            <v>14633004</v>
          </cell>
          <cell r="D54">
            <v>845000000</v>
          </cell>
          <cell r="E54">
            <v>0</v>
          </cell>
          <cell r="F54">
            <v>0</v>
          </cell>
          <cell r="G54">
            <v>845000000</v>
          </cell>
          <cell r="H54">
            <v>0</v>
          </cell>
        </row>
        <row r="55">
          <cell r="A55">
            <v>8110086846</v>
          </cell>
          <cell r="B55" t="str">
            <v>AGUAS DE RIONEGRO S.A. E.S.P.</v>
          </cell>
          <cell r="C55">
            <v>14593004</v>
          </cell>
          <cell r="D55">
            <v>950000000</v>
          </cell>
          <cell r="E55">
            <v>0</v>
          </cell>
          <cell r="F55">
            <v>17500000</v>
          </cell>
          <cell r="G55">
            <v>932500000</v>
          </cell>
          <cell r="H55">
            <v>0</v>
          </cell>
        </row>
        <row r="56">
          <cell r="A56">
            <v>8903990453</v>
          </cell>
          <cell r="B56" t="str">
            <v>MUNICIPIO DE BUENAVENTURA</v>
          </cell>
          <cell r="C56">
            <v>14621501</v>
          </cell>
          <cell r="D56">
            <v>1015461958.0599999</v>
          </cell>
          <cell r="E56">
            <v>0</v>
          </cell>
          <cell r="F56">
            <v>0</v>
          </cell>
          <cell r="G56">
            <v>1015461958.0599999</v>
          </cell>
          <cell r="H56">
            <v>0</v>
          </cell>
        </row>
        <row r="57">
          <cell r="A57">
            <v>8913800073</v>
          </cell>
          <cell r="B57" t="str">
            <v>TESORERIA MUNICIPAL DE PALMIRA</v>
          </cell>
          <cell r="C57">
            <v>14591501</v>
          </cell>
          <cell r="D57">
            <v>1015788107</v>
          </cell>
          <cell r="E57">
            <v>0</v>
          </cell>
          <cell r="F57">
            <v>0</v>
          </cell>
          <cell r="G57">
            <v>1015788107</v>
          </cell>
          <cell r="H57">
            <v>0</v>
          </cell>
        </row>
        <row r="58">
          <cell r="A58">
            <v>8913800073</v>
          </cell>
          <cell r="B58" t="str">
            <v>TESORERIA MUNICIPAL DE PALMIRA</v>
          </cell>
          <cell r="C58">
            <v>14631501</v>
          </cell>
          <cell r="D58">
            <v>1032958418</v>
          </cell>
          <cell r="E58">
            <v>0</v>
          </cell>
          <cell r="F58">
            <v>0</v>
          </cell>
          <cell r="G58">
            <v>1032958418</v>
          </cell>
          <cell r="H58">
            <v>0</v>
          </cell>
        </row>
        <row r="59">
          <cell r="A59">
            <v>8904800591</v>
          </cell>
          <cell r="B59" t="str">
            <v>DEPARTAMENTO DE BOLIVAR</v>
          </cell>
          <cell r="C59">
            <v>14621503</v>
          </cell>
          <cell r="D59">
            <v>1034534953.02</v>
          </cell>
          <cell r="E59">
            <v>0</v>
          </cell>
          <cell r="F59">
            <v>0</v>
          </cell>
          <cell r="G59">
            <v>1034534953.02</v>
          </cell>
          <cell r="H59">
            <v>0</v>
          </cell>
        </row>
        <row r="60">
          <cell r="A60">
            <v>8150006994</v>
          </cell>
          <cell r="B60" t="str">
            <v>ACUAVIVA S.A. E.S.P.</v>
          </cell>
          <cell r="C60">
            <v>14591501</v>
          </cell>
          <cell r="D60">
            <v>1050000000</v>
          </cell>
          <cell r="E60">
            <v>0</v>
          </cell>
          <cell r="F60">
            <v>0</v>
          </cell>
          <cell r="G60">
            <v>1050000000</v>
          </cell>
          <cell r="H60">
            <v>0</v>
          </cell>
        </row>
        <row r="61">
          <cell r="A61">
            <v>8909052111</v>
          </cell>
          <cell r="B61" t="str">
            <v>MUNICIPIO DE MEDELLIN</v>
          </cell>
          <cell r="C61">
            <v>14594305</v>
          </cell>
          <cell r="D61">
            <v>1109125000</v>
          </cell>
          <cell r="E61">
            <v>0</v>
          </cell>
          <cell r="F61">
            <v>0</v>
          </cell>
          <cell r="G61">
            <v>1109125000</v>
          </cell>
          <cell r="H61">
            <v>0</v>
          </cell>
        </row>
        <row r="62">
          <cell r="A62">
            <v>8909073172</v>
          </cell>
          <cell r="B62" t="str">
            <v>MUNICIPIO DE RIONEGRO</v>
          </cell>
          <cell r="C62">
            <v>14663004</v>
          </cell>
          <cell r="D62">
            <v>1115536400</v>
          </cell>
          <cell r="E62">
            <v>0</v>
          </cell>
          <cell r="F62">
            <v>0</v>
          </cell>
          <cell r="G62">
            <v>1115536400</v>
          </cell>
          <cell r="H62">
            <v>0</v>
          </cell>
        </row>
        <row r="63">
          <cell r="A63">
            <v>8000967341</v>
          </cell>
          <cell r="B63" t="str">
            <v>MUNICIPIO DE MONTERIA</v>
          </cell>
          <cell r="C63">
            <v>14623004</v>
          </cell>
          <cell r="D63">
            <v>1220103581</v>
          </cell>
          <cell r="E63">
            <v>0</v>
          </cell>
          <cell r="F63">
            <v>0</v>
          </cell>
          <cell r="G63">
            <v>1220103581</v>
          </cell>
          <cell r="H63">
            <v>0</v>
          </cell>
        </row>
        <row r="64">
          <cell r="A64">
            <v>8915800064</v>
          </cell>
          <cell r="B64" t="str">
            <v>MUNICIPIO DE POPAYAN</v>
          </cell>
          <cell r="C64">
            <v>14631501</v>
          </cell>
          <cell r="D64">
            <v>1435145365</v>
          </cell>
          <cell r="E64">
            <v>0</v>
          </cell>
          <cell r="F64">
            <v>0</v>
          </cell>
          <cell r="G64">
            <v>1435145365</v>
          </cell>
          <cell r="H64">
            <v>0</v>
          </cell>
        </row>
        <row r="65">
          <cell r="A65">
            <v>8902012356</v>
          </cell>
          <cell r="B65" t="str">
            <v>TESORERIA GENERAL DEL DEPARTAMENTO DE SANTANDER</v>
          </cell>
          <cell r="C65">
            <v>14591501</v>
          </cell>
          <cell r="D65">
            <v>2011370469.9000001</v>
          </cell>
          <cell r="E65">
            <v>0</v>
          </cell>
          <cell r="F65">
            <v>0</v>
          </cell>
          <cell r="G65">
            <v>2011370469.9000001</v>
          </cell>
          <cell r="H65">
            <v>0</v>
          </cell>
        </row>
        <row r="66">
          <cell r="A66">
            <v>8909034624</v>
          </cell>
          <cell r="B66" t="str">
            <v>EMPRESA ANTIOQUE#A DE ENERGIA S.A. E.S.P.</v>
          </cell>
          <cell r="C66">
            <v>14594305</v>
          </cell>
          <cell r="D66">
            <v>2100000000</v>
          </cell>
          <cell r="E66">
            <v>0</v>
          </cell>
          <cell r="F66">
            <v>0</v>
          </cell>
          <cell r="G66">
            <v>2100000000</v>
          </cell>
          <cell r="H66">
            <v>0</v>
          </cell>
        </row>
        <row r="67">
          <cell r="A67">
            <v>8909801121</v>
          </cell>
          <cell r="B67" t="str">
            <v>MUNICIPIO DE BELLO</v>
          </cell>
          <cell r="C67">
            <v>14651501</v>
          </cell>
          <cell r="D67">
            <v>2125188875</v>
          </cell>
          <cell r="E67">
            <v>0</v>
          </cell>
          <cell r="F67">
            <v>0</v>
          </cell>
          <cell r="G67">
            <v>2125188875</v>
          </cell>
          <cell r="H67">
            <v>0</v>
          </cell>
        </row>
        <row r="68">
          <cell r="A68">
            <v>8915800064</v>
          </cell>
          <cell r="B68" t="str">
            <v>MUNICIPIO DE POPAYAN</v>
          </cell>
          <cell r="C68">
            <v>14591501</v>
          </cell>
          <cell r="D68">
            <v>2145121181.4400001</v>
          </cell>
          <cell r="E68">
            <v>0</v>
          </cell>
          <cell r="F68">
            <v>0</v>
          </cell>
          <cell r="G68">
            <v>2145121181.4400001</v>
          </cell>
          <cell r="H68">
            <v>0</v>
          </cell>
        </row>
        <row r="69">
          <cell r="A69">
            <v>8903990034</v>
          </cell>
          <cell r="B69" t="str">
            <v>EMPRESAS MUNICIPALES DE CALI - EMCALI E.I.C.E.</v>
          </cell>
          <cell r="C69">
            <v>14701501</v>
          </cell>
          <cell r="D69">
            <v>2371666204</v>
          </cell>
          <cell r="E69">
            <v>0</v>
          </cell>
          <cell r="F69">
            <v>0</v>
          </cell>
          <cell r="G69">
            <v>2371666204</v>
          </cell>
          <cell r="H69">
            <v>0</v>
          </cell>
        </row>
        <row r="70">
          <cell r="A70">
            <v>8915800168</v>
          </cell>
          <cell r="B70" t="str">
            <v>DEPARTAMENTO DEL CAUCA</v>
          </cell>
          <cell r="C70">
            <v>14591501</v>
          </cell>
          <cell r="D70">
            <v>2740069268</v>
          </cell>
          <cell r="E70">
            <v>0</v>
          </cell>
          <cell r="F70">
            <v>0</v>
          </cell>
          <cell r="G70">
            <v>2740069268</v>
          </cell>
          <cell r="H70">
            <v>0</v>
          </cell>
        </row>
        <row r="71">
          <cell r="A71">
            <v>8902012356</v>
          </cell>
          <cell r="B71" t="str">
            <v>TESORERIA GENERAL DEL DEPARTAMENTO DE SANTANDER</v>
          </cell>
          <cell r="C71">
            <v>14601501</v>
          </cell>
          <cell r="D71">
            <v>3175681606.6599998</v>
          </cell>
          <cell r="E71">
            <v>0</v>
          </cell>
          <cell r="F71">
            <v>0</v>
          </cell>
          <cell r="G71">
            <v>3175681606.6599998</v>
          </cell>
          <cell r="H71">
            <v>0</v>
          </cell>
        </row>
        <row r="72">
          <cell r="A72">
            <v>8901020181</v>
          </cell>
          <cell r="B72" t="str">
            <v>DISTRITO DE BARRANQUILLA</v>
          </cell>
          <cell r="C72">
            <v>14631501</v>
          </cell>
          <cell r="D72">
            <v>3286619994</v>
          </cell>
          <cell r="E72">
            <v>0</v>
          </cell>
          <cell r="F72">
            <v>0</v>
          </cell>
          <cell r="G72">
            <v>3286619994</v>
          </cell>
          <cell r="H72">
            <v>0</v>
          </cell>
        </row>
        <row r="73">
          <cell r="A73">
            <v>8903990303</v>
          </cell>
          <cell r="B73" t="str">
            <v>EMSIRVA E.S.P.</v>
          </cell>
          <cell r="C73">
            <v>14601501</v>
          </cell>
          <cell r="D73">
            <v>3366320000</v>
          </cell>
          <cell r="E73">
            <v>0</v>
          </cell>
          <cell r="F73">
            <v>0</v>
          </cell>
          <cell r="G73">
            <v>3366320000</v>
          </cell>
          <cell r="H73">
            <v>0</v>
          </cell>
        </row>
        <row r="74">
          <cell r="A74">
            <v>8901020181</v>
          </cell>
          <cell r="B74" t="str">
            <v>DISTRITO DE BARRANQUILLA</v>
          </cell>
          <cell r="C74">
            <v>14591501</v>
          </cell>
          <cell r="D74">
            <v>3811561849</v>
          </cell>
          <cell r="E74">
            <v>145110042</v>
          </cell>
          <cell r="F74">
            <v>8574696</v>
          </cell>
          <cell r="G74">
            <v>3948097195</v>
          </cell>
          <cell r="H74">
            <v>0</v>
          </cell>
        </row>
        <row r="75">
          <cell r="A75">
            <v>8915800168</v>
          </cell>
          <cell r="B75" t="str">
            <v>DEPARTAMENTO DEL CAUCA</v>
          </cell>
          <cell r="C75">
            <v>14621501</v>
          </cell>
          <cell r="D75">
            <v>4161294304.9200001</v>
          </cell>
          <cell r="E75">
            <v>0</v>
          </cell>
          <cell r="F75">
            <v>0</v>
          </cell>
          <cell r="G75">
            <v>4161294304.9200001</v>
          </cell>
          <cell r="H75">
            <v>0</v>
          </cell>
        </row>
        <row r="76">
          <cell r="A76">
            <v>8001039331</v>
          </cell>
          <cell r="B76" t="str">
            <v>DEPARTAMENTO DEL VALLE DEL CAUCA</v>
          </cell>
          <cell r="C76">
            <v>14603004</v>
          </cell>
          <cell r="D76">
            <v>7903242000</v>
          </cell>
          <cell r="E76">
            <v>0</v>
          </cell>
          <cell r="F76">
            <v>0</v>
          </cell>
          <cell r="G76">
            <v>7903242000</v>
          </cell>
          <cell r="H76">
            <v>0</v>
          </cell>
        </row>
        <row r="77">
          <cell r="A77">
            <v>8001039331</v>
          </cell>
          <cell r="B77" t="str">
            <v>DEPARTAMENTO DEL VALLE DEL CAUCA</v>
          </cell>
          <cell r="C77">
            <v>14601501</v>
          </cell>
          <cell r="D77">
            <v>9868451207.2700005</v>
          </cell>
          <cell r="E77">
            <v>0</v>
          </cell>
          <cell r="F77">
            <v>0</v>
          </cell>
          <cell r="G77">
            <v>9868451207.2700005</v>
          </cell>
          <cell r="H77">
            <v>0</v>
          </cell>
        </row>
        <row r="78">
          <cell r="A78">
            <v>8999990619</v>
          </cell>
          <cell r="B78" t="str">
            <v>DIRECCION DISTRITAL DE TESORERIA</v>
          </cell>
          <cell r="C78">
            <v>14591501</v>
          </cell>
          <cell r="D78">
            <v>10000000000</v>
          </cell>
          <cell r="E78">
            <v>0</v>
          </cell>
          <cell r="F78">
            <v>0</v>
          </cell>
          <cell r="G78">
            <v>10000000000</v>
          </cell>
          <cell r="H78">
            <v>0</v>
          </cell>
        </row>
        <row r="79">
          <cell r="A79">
            <v>8903990113</v>
          </cell>
          <cell r="B79" t="str">
            <v>TESORERIA MUNICIPAL DE CALI</v>
          </cell>
          <cell r="C79">
            <v>14591501</v>
          </cell>
          <cell r="D79">
            <v>81173599295.079987</v>
          </cell>
          <cell r="E79">
            <v>25225320029.540001</v>
          </cell>
          <cell r="F79">
            <v>17813301177.670002</v>
          </cell>
          <cell r="G79">
            <v>119280657883.73</v>
          </cell>
          <cell r="H79">
            <v>-30695039736.779999</v>
          </cell>
        </row>
        <row r="80">
          <cell r="A80">
            <v>8903990113</v>
          </cell>
          <cell r="B80" t="str">
            <v>TESORERIA MUNICIPAL DE CALI</v>
          </cell>
          <cell r="C80">
            <v>14631501</v>
          </cell>
          <cell r="D80">
            <v>11537119797</v>
          </cell>
          <cell r="E80">
            <v>0</v>
          </cell>
          <cell r="F80">
            <v>0</v>
          </cell>
          <cell r="G80">
            <v>11537119797</v>
          </cell>
          <cell r="H80">
            <v>0</v>
          </cell>
        </row>
        <row r="81">
          <cell r="A81">
            <v>8999990619</v>
          </cell>
          <cell r="B81" t="str">
            <v>DIRECCION DISTRITAL DE TESORERIA</v>
          </cell>
          <cell r="C81">
            <v>14661501</v>
          </cell>
          <cell r="D81">
            <v>13247921344</v>
          </cell>
          <cell r="E81">
            <v>0</v>
          </cell>
          <cell r="F81">
            <v>0</v>
          </cell>
          <cell r="G81">
            <v>13247921344</v>
          </cell>
          <cell r="H81">
            <v>0</v>
          </cell>
        </row>
        <row r="82">
          <cell r="A82">
            <v>8903990034</v>
          </cell>
          <cell r="B82" t="str">
            <v>EMPRESAS MUNICIPALES DE CALI - EMCALI E.I.C.E.</v>
          </cell>
          <cell r="C82">
            <v>14701503</v>
          </cell>
          <cell r="D82">
            <v>15847134727</v>
          </cell>
          <cell r="E82">
            <v>0</v>
          </cell>
          <cell r="F82">
            <v>0</v>
          </cell>
          <cell r="G82">
            <v>15847134727</v>
          </cell>
          <cell r="H82">
            <v>0</v>
          </cell>
        </row>
        <row r="84">
          <cell r="D84">
            <v>103849204771.12999</v>
          </cell>
          <cell r="E84">
            <v>1083551221.55</v>
          </cell>
          <cell r="F84">
            <v>240404902.69999999</v>
          </cell>
          <cell r="G84">
            <v>134221716591.88</v>
          </cell>
          <cell r="H84">
            <v>-29529365501.900002</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G PUC"/>
      <sheetName val="BG PUC HOMOLOGADO"/>
      <sheetName val="Balance General"/>
      <sheetName val="Estado de Resultados"/>
      <sheetName val="E. Cambios Patrim"/>
      <sheetName val="E. Flujo de Fondos"/>
      <sheetName val="Oper recip"/>
      <sheetName val="Composic Acc"/>
      <sheetName val="Inversiones Ath"/>
      <sheetName val="Empleado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DATA1"/>
      <sheetName val="Hoja4"/>
      <sheetName val="DATA2"/>
    </sheetNames>
    <sheetDataSet>
      <sheetData sheetId="0"/>
      <sheetData sheetId="1" refreshError="1"/>
      <sheetData sheetId="2"/>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nes"/>
      <sheetName val="Enero"/>
      <sheetName val="Febrero"/>
      <sheetName val="Marzo"/>
      <sheetName val="Abril"/>
      <sheetName val="Mayo"/>
      <sheetName val="Junio"/>
      <sheetName val="Julio"/>
      <sheetName val="Agosto"/>
      <sheetName val="Septiembre"/>
      <sheetName val="Octubre"/>
      <sheetName val="Noviembr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7pbth"/>
      <sheetName val="97pbth.xls"/>
      <sheetName val="[97pbth.xls][97pbth.xls]_tmp__2"/>
      <sheetName val="[97pbth.xls][97pbth.xls]_E_tm_2"/>
      <sheetName val="[97pbth.xls][97pbth.xls]\tmp\97"/>
      <sheetName val="[97pbth.xls][97pbth.xls]\E\tmp\"/>
    </sheetNames>
    <definedNames>
      <definedName name="ContAverage"/>
      <definedName name="FailureActual"/>
      <definedName name="FailurePlan"/>
      <definedName name="FleetAdj"/>
      <definedName name="FleetNoAdj"/>
      <definedName name="ProductivityWith"/>
      <definedName name="ProductivityWithout"/>
    </defined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dito"/>
      <sheetName val="oficial"/>
      <sheetName val="valores"/>
      <sheetName val="oficialoct"/>
    </sheetNames>
    <sheetDataSet>
      <sheetData sheetId="0" refreshError="1"/>
      <sheetData sheetId="1">
        <row r="1">
          <cell r="A1">
            <v>8000967341</v>
          </cell>
          <cell r="B1" t="str">
            <v>MUNICIPIO DE MONTERIA</v>
          </cell>
          <cell r="C1">
            <v>14952009</v>
          </cell>
          <cell r="D1">
            <v>-459925449.5</v>
          </cell>
          <cell r="E1">
            <v>0</v>
          </cell>
          <cell r="F1">
            <v>0</v>
          </cell>
          <cell r="G1">
            <v>0</v>
          </cell>
          <cell r="H1">
            <v>-459925449.5</v>
          </cell>
        </row>
        <row r="2">
          <cell r="A2">
            <v>8000967341</v>
          </cell>
          <cell r="B2" t="str">
            <v>MUNICIPIO DE MONTERIA</v>
          </cell>
          <cell r="C2">
            <v>14952001</v>
          </cell>
          <cell r="D2">
            <v>-223824998.5</v>
          </cell>
          <cell r="E2">
            <v>0</v>
          </cell>
          <cell r="F2">
            <v>0</v>
          </cell>
          <cell r="G2">
            <v>0</v>
          </cell>
          <cell r="H2">
            <v>-223824998.5</v>
          </cell>
        </row>
        <row r="3">
          <cell r="A3">
            <v>8000967341</v>
          </cell>
          <cell r="B3" t="str">
            <v>MUNICIPIO DE MONTERIA</v>
          </cell>
          <cell r="C3">
            <v>14633004</v>
          </cell>
          <cell r="D3">
            <v>1220103581</v>
          </cell>
          <cell r="E3">
            <v>0</v>
          </cell>
          <cell r="F3">
            <v>0</v>
          </cell>
          <cell r="G3">
            <v>1220103581</v>
          </cell>
          <cell r="H3">
            <v>0</v>
          </cell>
        </row>
        <row r="4">
          <cell r="A4">
            <v>8000967341</v>
          </cell>
          <cell r="B4" t="str">
            <v>MUNICIPIO DE MONTERIA</v>
          </cell>
          <cell r="C4">
            <v>14631501</v>
          </cell>
          <cell r="D4">
            <v>447649997</v>
          </cell>
          <cell r="E4">
            <v>0</v>
          </cell>
          <cell r="F4">
            <v>0</v>
          </cell>
          <cell r="G4">
            <v>447649997</v>
          </cell>
          <cell r="H4">
            <v>0</v>
          </cell>
        </row>
        <row r="5">
          <cell r="A5">
            <v>8001039331</v>
          </cell>
          <cell r="B5" t="str">
            <v>DEPARTAMENTO DEL VALLE DEL CAUCA</v>
          </cell>
          <cell r="C5">
            <v>14951009</v>
          </cell>
          <cell r="D5">
            <v>-30273138.41</v>
          </cell>
          <cell r="E5">
            <v>0</v>
          </cell>
          <cell r="F5">
            <v>0</v>
          </cell>
          <cell r="G5">
            <v>0</v>
          </cell>
          <cell r="H5">
            <v>-30273138.41</v>
          </cell>
        </row>
        <row r="6">
          <cell r="A6">
            <v>8001039331</v>
          </cell>
          <cell r="B6" t="str">
            <v>DEPARTAMENTO DEL VALLE DEL CAUCA</v>
          </cell>
          <cell r="C6">
            <v>14951001</v>
          </cell>
          <cell r="D6">
            <v>-17239660.5</v>
          </cell>
          <cell r="E6">
            <v>0</v>
          </cell>
          <cell r="F6">
            <v>0</v>
          </cell>
          <cell r="G6">
            <v>0</v>
          </cell>
          <cell r="H6">
            <v>-17239660.5</v>
          </cell>
        </row>
        <row r="7">
          <cell r="A7">
            <v>8001039331</v>
          </cell>
          <cell r="B7" t="str">
            <v>DEPARTAMENTO DEL VALLE DEL CAUCA</v>
          </cell>
          <cell r="C7">
            <v>14603004</v>
          </cell>
          <cell r="D7">
            <v>7903242000</v>
          </cell>
          <cell r="E7">
            <v>0</v>
          </cell>
          <cell r="F7">
            <v>0</v>
          </cell>
          <cell r="G7">
            <v>7903242000</v>
          </cell>
          <cell r="H7">
            <v>0</v>
          </cell>
        </row>
        <row r="8">
          <cell r="A8">
            <v>8001039331</v>
          </cell>
          <cell r="B8" t="str">
            <v>DEPARTAMENTO DEL VALLE DEL CAUCA</v>
          </cell>
          <cell r="C8">
            <v>14601501</v>
          </cell>
          <cell r="D8">
            <v>9868451206.5900002</v>
          </cell>
          <cell r="E8">
            <v>0</v>
          </cell>
          <cell r="F8">
            <v>0</v>
          </cell>
          <cell r="G8">
            <v>9868451206.5900002</v>
          </cell>
          <cell r="H8">
            <v>0</v>
          </cell>
        </row>
        <row r="9">
          <cell r="A9">
            <v>8001039331</v>
          </cell>
          <cell r="B9" t="str">
            <v>DEPARTAMENTO DEL VALLE DEL CAUCA</v>
          </cell>
          <cell r="C9">
            <v>14591501</v>
          </cell>
          <cell r="D9">
            <v>796203612.02999997</v>
          </cell>
          <cell r="E9">
            <v>0</v>
          </cell>
          <cell r="F9">
            <v>0</v>
          </cell>
          <cell r="G9">
            <v>796203612.02999997</v>
          </cell>
          <cell r="H9">
            <v>0</v>
          </cell>
        </row>
        <row r="10">
          <cell r="A10">
            <v>8002130053</v>
          </cell>
          <cell r="B10" t="str">
            <v>TELEOBANDO</v>
          </cell>
          <cell r="C10">
            <v>14591501</v>
          </cell>
          <cell r="D10">
            <v>534375000</v>
          </cell>
          <cell r="E10">
            <v>0</v>
          </cell>
          <cell r="F10">
            <v>0</v>
          </cell>
          <cell r="G10">
            <v>534375000</v>
          </cell>
          <cell r="H10">
            <v>0</v>
          </cell>
        </row>
        <row r="11">
          <cell r="A11">
            <v>8002158072</v>
          </cell>
          <cell r="B11" t="str">
            <v>INSTITUTO NACIONAL DE VIAS</v>
          </cell>
          <cell r="C11">
            <v>14664301</v>
          </cell>
          <cell r="D11">
            <v>7093341424</v>
          </cell>
          <cell r="E11">
            <v>367902280</v>
          </cell>
          <cell r="F11">
            <v>812236826</v>
          </cell>
          <cell r="G11">
            <v>6649006878</v>
          </cell>
          <cell r="H11">
            <v>0</v>
          </cell>
        </row>
        <row r="12">
          <cell r="A12">
            <v>8020076698</v>
          </cell>
          <cell r="B12" t="str">
            <v>TRANSELCA S.A. ESP</v>
          </cell>
          <cell r="C12">
            <v>14661501</v>
          </cell>
          <cell r="D12">
            <v>12000000000</v>
          </cell>
          <cell r="E12">
            <v>0</v>
          </cell>
          <cell r="F12">
            <v>0</v>
          </cell>
          <cell r="G12">
            <v>12000000000</v>
          </cell>
          <cell r="H12">
            <v>0</v>
          </cell>
        </row>
        <row r="13">
          <cell r="A13">
            <v>8110086846</v>
          </cell>
          <cell r="B13" t="str">
            <v>AGUAS DE RIONEGRO S.A. E.S.P.</v>
          </cell>
          <cell r="C13">
            <v>14593004</v>
          </cell>
          <cell r="D13">
            <v>805000000</v>
          </cell>
          <cell r="E13">
            <v>0</v>
          </cell>
          <cell r="F13">
            <v>0</v>
          </cell>
          <cell r="G13">
            <v>805000000</v>
          </cell>
          <cell r="H13">
            <v>0</v>
          </cell>
        </row>
        <row r="14">
          <cell r="A14">
            <v>8150006994</v>
          </cell>
          <cell r="B14" t="str">
            <v>ACUAVIVA S.A. E.S.P.</v>
          </cell>
          <cell r="C14">
            <v>14594305</v>
          </cell>
          <cell r="D14">
            <v>235714287</v>
          </cell>
          <cell r="E14">
            <v>0</v>
          </cell>
          <cell r="F14">
            <v>0</v>
          </cell>
          <cell r="G14">
            <v>235714287</v>
          </cell>
          <cell r="H14">
            <v>0</v>
          </cell>
        </row>
        <row r="15">
          <cell r="A15">
            <v>8150006994</v>
          </cell>
          <cell r="B15" t="str">
            <v>ACUAVIVA S.A. E.S.P.</v>
          </cell>
          <cell r="C15">
            <v>14591501</v>
          </cell>
          <cell r="D15">
            <v>825000000</v>
          </cell>
          <cell r="E15">
            <v>0</v>
          </cell>
          <cell r="F15">
            <v>0</v>
          </cell>
          <cell r="G15">
            <v>825000000</v>
          </cell>
          <cell r="H15">
            <v>0</v>
          </cell>
        </row>
        <row r="16">
          <cell r="A16">
            <v>8901020061</v>
          </cell>
          <cell r="B16" t="str">
            <v>DEPARTAMENTO DEL ATLANTICO</v>
          </cell>
          <cell r="C16">
            <v>14621501</v>
          </cell>
          <cell r="D16">
            <v>0</v>
          </cell>
          <cell r="E16">
            <v>735005623</v>
          </cell>
          <cell r="F16">
            <v>0</v>
          </cell>
          <cell r="G16">
            <v>735005623</v>
          </cell>
          <cell r="H16">
            <v>0</v>
          </cell>
        </row>
        <row r="17">
          <cell r="A17">
            <v>8901020061</v>
          </cell>
          <cell r="B17" t="str">
            <v>DEPARTAMENTO DEL ATLANTICO</v>
          </cell>
          <cell r="C17">
            <v>14591501</v>
          </cell>
          <cell r="D17">
            <v>592173514</v>
          </cell>
          <cell r="E17">
            <v>0</v>
          </cell>
          <cell r="F17">
            <v>5676099</v>
          </cell>
          <cell r="G17">
            <v>586497415</v>
          </cell>
          <cell r="H17">
            <v>0</v>
          </cell>
        </row>
        <row r="18">
          <cell r="A18">
            <v>8901020181</v>
          </cell>
          <cell r="B18" t="str">
            <v>DISTRITO DE BARRANQUILLA</v>
          </cell>
          <cell r="C18">
            <v>14952001</v>
          </cell>
          <cell r="D18">
            <v>-2537309994</v>
          </cell>
          <cell r="E18">
            <v>0</v>
          </cell>
          <cell r="F18">
            <v>0</v>
          </cell>
          <cell r="G18">
            <v>0</v>
          </cell>
          <cell r="H18">
            <v>-2537309994</v>
          </cell>
        </row>
        <row r="19">
          <cell r="A19">
            <v>8901020181</v>
          </cell>
          <cell r="B19" t="str">
            <v>DISTRITO DE BARRANQUILLA</v>
          </cell>
          <cell r="C19">
            <v>14631501</v>
          </cell>
          <cell r="D19">
            <v>3286619994</v>
          </cell>
          <cell r="E19">
            <v>0</v>
          </cell>
          <cell r="F19">
            <v>0</v>
          </cell>
          <cell r="G19">
            <v>3286619994</v>
          </cell>
          <cell r="H19">
            <v>0</v>
          </cell>
        </row>
        <row r="20">
          <cell r="A20">
            <v>8901020181</v>
          </cell>
          <cell r="B20" t="str">
            <v>DISTRITO DE BARRANQUILLA</v>
          </cell>
          <cell r="C20">
            <v>14591501</v>
          </cell>
          <cell r="D20">
            <v>4446126094</v>
          </cell>
          <cell r="E20">
            <v>0</v>
          </cell>
          <cell r="F20">
            <v>0</v>
          </cell>
          <cell r="G20">
            <v>4446126094</v>
          </cell>
          <cell r="H20">
            <v>0</v>
          </cell>
        </row>
        <row r="21">
          <cell r="A21">
            <v>8902012301</v>
          </cell>
          <cell r="B21" t="str">
            <v>ELECTRIFICADORA DE SANTANDER S.A. E.S.P.</v>
          </cell>
          <cell r="C21">
            <v>14594305</v>
          </cell>
          <cell r="D21">
            <v>70000000</v>
          </cell>
          <cell r="E21">
            <v>0</v>
          </cell>
          <cell r="F21">
            <v>35000000</v>
          </cell>
          <cell r="G21">
            <v>35000000</v>
          </cell>
          <cell r="H21">
            <v>0</v>
          </cell>
        </row>
        <row r="22">
          <cell r="A22">
            <v>8902012356</v>
          </cell>
          <cell r="B22" t="str">
            <v>TESORERIA GENERAL DEL DEPARTAMENTO DE SANTANDER</v>
          </cell>
          <cell r="C22">
            <v>14951201</v>
          </cell>
          <cell r="D22">
            <v>-9294040.9100000001</v>
          </cell>
          <cell r="E22">
            <v>355138.44</v>
          </cell>
          <cell r="F22">
            <v>0</v>
          </cell>
          <cell r="G22">
            <v>0</v>
          </cell>
          <cell r="H22">
            <v>-8938902.4700000007</v>
          </cell>
        </row>
        <row r="23">
          <cell r="A23">
            <v>8902012356</v>
          </cell>
          <cell r="B23" t="str">
            <v>TESORERIA GENERAL DEL DEPARTAMENTO DE SANTANDER</v>
          </cell>
          <cell r="C23">
            <v>14601501</v>
          </cell>
          <cell r="D23">
            <v>3098013637.5999999</v>
          </cell>
          <cell r="E23">
            <v>0</v>
          </cell>
          <cell r="F23">
            <v>118379481.23999999</v>
          </cell>
          <cell r="G23">
            <v>2979634156.3600001</v>
          </cell>
          <cell r="H23">
            <v>0</v>
          </cell>
        </row>
        <row r="24">
          <cell r="A24">
            <v>8902012356</v>
          </cell>
          <cell r="B24" t="str">
            <v>TESORERIA GENERAL DEL DEPARTAMENTO DE SANTANDER</v>
          </cell>
          <cell r="C24">
            <v>14591501</v>
          </cell>
          <cell r="D24">
            <v>2011370469.9000001</v>
          </cell>
          <cell r="E24">
            <v>0</v>
          </cell>
          <cell r="F24">
            <v>0</v>
          </cell>
          <cell r="G24">
            <v>2011370469.9000001</v>
          </cell>
          <cell r="H24">
            <v>0</v>
          </cell>
        </row>
        <row r="25">
          <cell r="A25">
            <v>8903990034</v>
          </cell>
          <cell r="B25" t="str">
            <v>EMPRESAS MUNICIPALES DE CALI E.I.C.E. E.S.P.</v>
          </cell>
          <cell r="C25">
            <v>14952501</v>
          </cell>
          <cell r="D25">
            <v>-18218800931</v>
          </cell>
          <cell r="E25">
            <v>0</v>
          </cell>
          <cell r="F25">
            <v>0</v>
          </cell>
          <cell r="G25">
            <v>0</v>
          </cell>
          <cell r="H25">
            <v>-18218800931</v>
          </cell>
        </row>
        <row r="26">
          <cell r="A26">
            <v>8903990034</v>
          </cell>
          <cell r="B26" t="str">
            <v>EMPRESAS MUNICIPALES DE CALI E.I.C.E. E.S.P.</v>
          </cell>
          <cell r="C26">
            <v>14651503</v>
          </cell>
          <cell r="D26">
            <v>18365576317</v>
          </cell>
          <cell r="E26">
            <v>0</v>
          </cell>
          <cell r="F26">
            <v>0</v>
          </cell>
          <cell r="G26">
            <v>18365576317</v>
          </cell>
          <cell r="H26">
            <v>0</v>
          </cell>
        </row>
        <row r="27">
          <cell r="A27">
            <v>8903990113</v>
          </cell>
          <cell r="B27" t="str">
            <v>TESORERIA MUNICIPAL DE CALI</v>
          </cell>
          <cell r="C27">
            <v>14952201</v>
          </cell>
          <cell r="D27">
            <v>-4904354703.5</v>
          </cell>
          <cell r="E27">
            <v>0</v>
          </cell>
          <cell r="F27">
            <v>0</v>
          </cell>
          <cell r="G27">
            <v>0</v>
          </cell>
          <cell r="H27">
            <v>-4904354703.5</v>
          </cell>
        </row>
        <row r="28">
          <cell r="A28">
            <v>8903990113</v>
          </cell>
          <cell r="B28" t="str">
            <v>TESORERIA MUNICIPAL DE CALI</v>
          </cell>
          <cell r="C28">
            <v>14691501</v>
          </cell>
          <cell r="D28">
            <v>9808709407</v>
          </cell>
          <cell r="E28">
            <v>0</v>
          </cell>
          <cell r="F28">
            <v>0</v>
          </cell>
          <cell r="G28">
            <v>9808709407</v>
          </cell>
          <cell r="H28">
            <v>0</v>
          </cell>
        </row>
        <row r="29">
          <cell r="A29">
            <v>8903990113</v>
          </cell>
          <cell r="B29" t="str">
            <v>TESORERIA MUNICIPAL DE CALI</v>
          </cell>
          <cell r="C29">
            <v>14661501</v>
          </cell>
          <cell r="D29">
            <v>11405165800</v>
          </cell>
          <cell r="E29">
            <v>0</v>
          </cell>
          <cell r="F29">
            <v>0</v>
          </cell>
          <cell r="G29">
            <v>11405165800</v>
          </cell>
          <cell r="H29">
            <v>0</v>
          </cell>
        </row>
        <row r="30">
          <cell r="A30">
            <v>8903990303</v>
          </cell>
          <cell r="B30" t="str">
            <v>EMSIRVA E.S.P.</v>
          </cell>
          <cell r="C30">
            <v>14601501</v>
          </cell>
          <cell r="D30">
            <v>1346528000</v>
          </cell>
          <cell r="E30">
            <v>0</v>
          </cell>
          <cell r="F30">
            <v>336632000</v>
          </cell>
          <cell r="G30">
            <v>1009896000</v>
          </cell>
          <cell r="H30">
            <v>0</v>
          </cell>
        </row>
        <row r="31">
          <cell r="A31">
            <v>8903990453</v>
          </cell>
          <cell r="B31" t="str">
            <v>MUNICIPIO DE BUENAVENTURA</v>
          </cell>
          <cell r="C31">
            <v>14952201</v>
          </cell>
          <cell r="D31">
            <v>-15730417</v>
          </cell>
          <cell r="E31">
            <v>0</v>
          </cell>
          <cell r="F31">
            <v>0</v>
          </cell>
          <cell r="G31">
            <v>0</v>
          </cell>
          <cell r="H31">
            <v>-15730417</v>
          </cell>
        </row>
        <row r="32">
          <cell r="A32">
            <v>8903990453</v>
          </cell>
          <cell r="B32" t="str">
            <v>MUNICIPIO DE BUENAVENTURA</v>
          </cell>
          <cell r="C32">
            <v>14952001</v>
          </cell>
          <cell r="D32">
            <v>-634924979.02999997</v>
          </cell>
          <cell r="E32">
            <v>0</v>
          </cell>
          <cell r="F32">
            <v>0</v>
          </cell>
          <cell r="G32">
            <v>0</v>
          </cell>
          <cell r="H32">
            <v>-634924979.02999997</v>
          </cell>
        </row>
        <row r="33">
          <cell r="A33">
            <v>8903990453</v>
          </cell>
          <cell r="B33" t="str">
            <v>MUNICIPIO DE BUENAVENTURA</v>
          </cell>
          <cell r="C33">
            <v>14691503</v>
          </cell>
          <cell r="D33">
            <v>293171895</v>
          </cell>
          <cell r="E33">
            <v>0</v>
          </cell>
          <cell r="F33">
            <v>0</v>
          </cell>
          <cell r="G33">
            <v>293171895</v>
          </cell>
          <cell r="H33">
            <v>0</v>
          </cell>
        </row>
        <row r="34">
          <cell r="A34">
            <v>8903990453</v>
          </cell>
          <cell r="B34" t="str">
            <v>MUNICIPIO DE BUENAVENTURA</v>
          </cell>
          <cell r="C34">
            <v>14631503</v>
          </cell>
          <cell r="D34">
            <v>127194000</v>
          </cell>
          <cell r="E34">
            <v>0</v>
          </cell>
          <cell r="F34">
            <v>0</v>
          </cell>
          <cell r="G34">
            <v>127194000</v>
          </cell>
          <cell r="H34">
            <v>0</v>
          </cell>
        </row>
        <row r="35">
          <cell r="A35">
            <v>8903990453</v>
          </cell>
          <cell r="B35" t="str">
            <v>MUNICIPIO DE BUENAVENTURA</v>
          </cell>
          <cell r="C35">
            <v>14631501</v>
          </cell>
          <cell r="D35">
            <v>1015461958.0599999</v>
          </cell>
          <cell r="E35">
            <v>0</v>
          </cell>
          <cell r="F35">
            <v>0</v>
          </cell>
          <cell r="G35">
            <v>1015461958.0599999</v>
          </cell>
          <cell r="H35">
            <v>0</v>
          </cell>
        </row>
        <row r="36">
          <cell r="A36">
            <v>8904800591</v>
          </cell>
          <cell r="B36" t="str">
            <v>DEPARTAMENTO DE BOLIVAR</v>
          </cell>
          <cell r="C36">
            <v>14951701</v>
          </cell>
          <cell r="D36">
            <v>-23800525.859999999</v>
          </cell>
          <cell r="E36">
            <v>0</v>
          </cell>
          <cell r="F36">
            <v>0</v>
          </cell>
          <cell r="G36">
            <v>0</v>
          </cell>
          <cell r="H36">
            <v>-23800525.859999999</v>
          </cell>
        </row>
        <row r="37">
          <cell r="A37">
            <v>8904800591</v>
          </cell>
          <cell r="B37" t="str">
            <v>DEPARTAMENTO DE BOLIVAR</v>
          </cell>
          <cell r="C37">
            <v>14951501</v>
          </cell>
          <cell r="D37">
            <v>-78601042.939999998</v>
          </cell>
          <cell r="E37">
            <v>0</v>
          </cell>
          <cell r="F37">
            <v>0</v>
          </cell>
          <cell r="G37">
            <v>0</v>
          </cell>
          <cell r="H37">
            <v>-78601042.939999998</v>
          </cell>
        </row>
        <row r="38">
          <cell r="A38">
            <v>8904800591</v>
          </cell>
          <cell r="B38" t="str">
            <v>DEPARTAMENTO DE BOLIVAR</v>
          </cell>
          <cell r="C38">
            <v>14681503</v>
          </cell>
          <cell r="D38">
            <v>23800525.859999999</v>
          </cell>
          <cell r="E38">
            <v>0</v>
          </cell>
          <cell r="F38">
            <v>0</v>
          </cell>
          <cell r="G38">
            <v>23800525.859999999</v>
          </cell>
          <cell r="H38">
            <v>0</v>
          </cell>
        </row>
        <row r="39">
          <cell r="A39">
            <v>8904800591</v>
          </cell>
          <cell r="B39" t="str">
            <v>DEPARTAMENTO DE BOLIVAR</v>
          </cell>
          <cell r="C39">
            <v>14621503</v>
          </cell>
          <cell r="D39">
            <v>880193115.78999996</v>
          </cell>
          <cell r="E39">
            <v>0</v>
          </cell>
          <cell r="F39">
            <v>0</v>
          </cell>
          <cell r="G39">
            <v>880193115.78999996</v>
          </cell>
          <cell r="H39">
            <v>0</v>
          </cell>
        </row>
        <row r="40">
          <cell r="A40">
            <v>8904801844</v>
          </cell>
          <cell r="B40" t="str">
            <v>DISTRITO TURISTICO Y CULTURAL DE C/GENA.</v>
          </cell>
          <cell r="C40">
            <v>14951501</v>
          </cell>
          <cell r="D40">
            <v>-114911495.69</v>
          </cell>
          <cell r="E40">
            <v>0</v>
          </cell>
          <cell r="F40">
            <v>0</v>
          </cell>
          <cell r="G40">
            <v>0</v>
          </cell>
          <cell r="H40">
            <v>-114911495.69</v>
          </cell>
        </row>
        <row r="41">
          <cell r="A41">
            <v>8904801844</v>
          </cell>
          <cell r="B41" t="str">
            <v>DISTRITO TURISTICO Y CULTURAL DE C/GENA.</v>
          </cell>
          <cell r="C41">
            <v>14621501</v>
          </cell>
          <cell r="D41">
            <v>574557478.45000005</v>
          </cell>
          <cell r="E41">
            <v>0</v>
          </cell>
          <cell r="F41">
            <v>140843</v>
          </cell>
          <cell r="G41">
            <v>574416635.45000005</v>
          </cell>
          <cell r="H41">
            <v>0</v>
          </cell>
        </row>
        <row r="42">
          <cell r="A42">
            <v>8904801844</v>
          </cell>
          <cell r="B42" t="str">
            <v>DISTRITO TURISTICO Y CULTURAL DE C/GENA.</v>
          </cell>
          <cell r="C42">
            <v>14591501</v>
          </cell>
          <cell r="D42">
            <v>557345434.63</v>
          </cell>
          <cell r="E42">
            <v>0</v>
          </cell>
          <cell r="F42">
            <v>90562</v>
          </cell>
          <cell r="G42">
            <v>557254872.63</v>
          </cell>
          <cell r="H42">
            <v>0</v>
          </cell>
        </row>
        <row r="43">
          <cell r="A43">
            <v>8909052111</v>
          </cell>
          <cell r="B43" t="str">
            <v>MUNICIPIO DE MEDELLIN</v>
          </cell>
          <cell r="C43">
            <v>14594305</v>
          </cell>
          <cell r="D43">
            <v>276875000</v>
          </cell>
          <cell r="E43">
            <v>0</v>
          </cell>
          <cell r="F43">
            <v>0</v>
          </cell>
          <cell r="G43">
            <v>276875000</v>
          </cell>
          <cell r="H43">
            <v>0</v>
          </cell>
        </row>
        <row r="44">
          <cell r="A44">
            <v>8909073172</v>
          </cell>
          <cell r="B44" t="str">
            <v>MUNICIPIO DE RIONEGRO</v>
          </cell>
          <cell r="C44">
            <v>14593004</v>
          </cell>
          <cell r="D44">
            <v>994418792</v>
          </cell>
          <cell r="E44">
            <v>0</v>
          </cell>
          <cell r="F44">
            <v>0</v>
          </cell>
          <cell r="G44">
            <v>994418792</v>
          </cell>
          <cell r="H44">
            <v>0</v>
          </cell>
        </row>
        <row r="45">
          <cell r="A45">
            <v>8909801121</v>
          </cell>
          <cell r="B45" t="str">
            <v>MUNICIPIO DE BELLO</v>
          </cell>
          <cell r="C45">
            <v>14952501</v>
          </cell>
          <cell r="D45">
            <v>-343724384.39999998</v>
          </cell>
          <cell r="E45">
            <v>0</v>
          </cell>
          <cell r="F45">
            <v>0</v>
          </cell>
          <cell r="G45">
            <v>0</v>
          </cell>
          <cell r="H45">
            <v>-343724384.39999998</v>
          </cell>
        </row>
        <row r="46">
          <cell r="A46">
            <v>8909801121</v>
          </cell>
          <cell r="B46" t="str">
            <v>MUNICIPIO DE BELLO</v>
          </cell>
          <cell r="C46">
            <v>14651501</v>
          </cell>
          <cell r="D46">
            <v>1244847004</v>
          </cell>
          <cell r="E46">
            <v>0</v>
          </cell>
          <cell r="F46">
            <v>0</v>
          </cell>
          <cell r="G46">
            <v>1244847004</v>
          </cell>
          <cell r="H46">
            <v>0</v>
          </cell>
        </row>
        <row r="47">
          <cell r="A47">
            <v>8909801121</v>
          </cell>
          <cell r="B47" t="str">
            <v>MUNICIPIO DE BELLO</v>
          </cell>
          <cell r="C47">
            <v>14593004</v>
          </cell>
          <cell r="D47">
            <v>2564200000</v>
          </cell>
          <cell r="E47">
            <v>0</v>
          </cell>
          <cell r="F47">
            <v>0</v>
          </cell>
          <cell r="G47">
            <v>2564200000</v>
          </cell>
          <cell r="H47">
            <v>0</v>
          </cell>
        </row>
        <row r="48">
          <cell r="A48">
            <v>8909801121</v>
          </cell>
          <cell r="B48" t="str">
            <v>MUNICIPIO DE BELLO</v>
          </cell>
          <cell r="C48">
            <v>14591501</v>
          </cell>
          <cell r="D48">
            <v>793718981.35000002</v>
          </cell>
          <cell r="E48">
            <v>0</v>
          </cell>
          <cell r="F48">
            <v>0</v>
          </cell>
          <cell r="G48">
            <v>793718981.35000002</v>
          </cell>
          <cell r="H48">
            <v>0</v>
          </cell>
        </row>
        <row r="49">
          <cell r="A49">
            <v>8909801366</v>
          </cell>
          <cell r="B49" t="str">
            <v>POLITECNICO COLOMBIANO JAIME ISAZA CADAVID</v>
          </cell>
          <cell r="C49">
            <v>14594305</v>
          </cell>
          <cell r="D49">
            <v>104400000</v>
          </cell>
          <cell r="E49">
            <v>0</v>
          </cell>
          <cell r="F49">
            <v>10000000</v>
          </cell>
          <cell r="G49">
            <v>94400000</v>
          </cell>
          <cell r="H49">
            <v>0</v>
          </cell>
        </row>
        <row r="50">
          <cell r="A50">
            <v>8909812075</v>
          </cell>
          <cell r="B50" t="str">
            <v>MUNICIPIO DE LA CEJA</v>
          </cell>
          <cell r="C50">
            <v>14593004</v>
          </cell>
          <cell r="D50">
            <v>69250000</v>
          </cell>
          <cell r="E50">
            <v>0</v>
          </cell>
          <cell r="F50">
            <v>17312500</v>
          </cell>
          <cell r="G50">
            <v>51937500</v>
          </cell>
          <cell r="H50">
            <v>0</v>
          </cell>
        </row>
        <row r="51">
          <cell r="A51">
            <v>8913800073</v>
          </cell>
          <cell r="B51" t="str">
            <v>TESORERIA MUNICIPAL DE PALMIRA</v>
          </cell>
          <cell r="C51">
            <v>14952001</v>
          </cell>
          <cell r="D51">
            <v>-126747697.90000001</v>
          </cell>
          <cell r="E51">
            <v>6236608.8399999999</v>
          </cell>
          <cell r="F51">
            <v>0</v>
          </cell>
          <cell r="G51">
            <v>0</v>
          </cell>
          <cell r="H51">
            <v>-120511089.06</v>
          </cell>
        </row>
        <row r="52">
          <cell r="A52">
            <v>8913800073</v>
          </cell>
          <cell r="B52" t="str">
            <v>TESORERIA MUNICIPAL DE PALMIRA</v>
          </cell>
          <cell r="C52">
            <v>14631501</v>
          </cell>
          <cell r="D52">
            <v>854547206</v>
          </cell>
          <cell r="E52">
            <v>0</v>
          </cell>
          <cell r="F52">
            <v>0</v>
          </cell>
          <cell r="G52">
            <v>854547206</v>
          </cell>
          <cell r="H52">
            <v>0</v>
          </cell>
        </row>
        <row r="53">
          <cell r="A53">
            <v>8913800073</v>
          </cell>
          <cell r="B53" t="str">
            <v>TESORERIA MUNICIPAL DE PALMIRA</v>
          </cell>
          <cell r="C53">
            <v>14591501</v>
          </cell>
          <cell r="D53">
            <v>1015788107</v>
          </cell>
          <cell r="E53">
            <v>0</v>
          </cell>
          <cell r="F53">
            <v>0</v>
          </cell>
          <cell r="G53">
            <v>1015788107</v>
          </cell>
          <cell r="H53">
            <v>0</v>
          </cell>
        </row>
        <row r="54">
          <cell r="A54">
            <v>8915800064</v>
          </cell>
          <cell r="B54" t="str">
            <v>MUNICIPIO DE POPAYAN</v>
          </cell>
          <cell r="C54">
            <v>14952001</v>
          </cell>
          <cell r="D54">
            <v>-120289350</v>
          </cell>
          <cell r="E54">
            <v>0</v>
          </cell>
          <cell r="F54">
            <v>0</v>
          </cell>
          <cell r="G54">
            <v>0</v>
          </cell>
          <cell r="H54">
            <v>-120289350</v>
          </cell>
        </row>
        <row r="55">
          <cell r="A55">
            <v>8915800064</v>
          </cell>
          <cell r="B55" t="str">
            <v>MUNICIPIO DE POPAYAN</v>
          </cell>
          <cell r="C55">
            <v>14631501</v>
          </cell>
          <cell r="D55">
            <v>1120276952</v>
          </cell>
          <cell r="E55">
            <v>0</v>
          </cell>
          <cell r="F55">
            <v>0</v>
          </cell>
          <cell r="G55">
            <v>1120276952</v>
          </cell>
          <cell r="H55">
            <v>0</v>
          </cell>
        </row>
        <row r="56">
          <cell r="A56">
            <v>8915800064</v>
          </cell>
          <cell r="B56" t="str">
            <v>MUNICIPIO DE POPAYAN</v>
          </cell>
          <cell r="C56">
            <v>14591501</v>
          </cell>
          <cell r="D56">
            <v>2145121181.4400001</v>
          </cell>
          <cell r="E56">
            <v>0</v>
          </cell>
          <cell r="F56">
            <v>0</v>
          </cell>
          <cell r="G56">
            <v>2145121181.4400001</v>
          </cell>
          <cell r="H56">
            <v>0</v>
          </cell>
        </row>
        <row r="57">
          <cell r="A57">
            <v>8915800168</v>
          </cell>
          <cell r="B57" t="str">
            <v>DEPARTAMENTO DEL CAUCA</v>
          </cell>
          <cell r="C57">
            <v>14951501</v>
          </cell>
          <cell r="D57">
            <v>-730622685</v>
          </cell>
          <cell r="E57">
            <v>0</v>
          </cell>
          <cell r="F57">
            <v>0</v>
          </cell>
          <cell r="G57">
            <v>0</v>
          </cell>
          <cell r="H57">
            <v>-730622685</v>
          </cell>
        </row>
        <row r="58">
          <cell r="A58">
            <v>8915800168</v>
          </cell>
          <cell r="B58" t="str">
            <v>DEPARTAMENTO DEL CAUCA</v>
          </cell>
          <cell r="C58">
            <v>14621501</v>
          </cell>
          <cell r="D58">
            <v>3274804655</v>
          </cell>
          <cell r="E58">
            <v>0</v>
          </cell>
          <cell r="F58">
            <v>0</v>
          </cell>
          <cell r="G58">
            <v>3274804655</v>
          </cell>
          <cell r="H58">
            <v>0</v>
          </cell>
        </row>
        <row r="59">
          <cell r="A59">
            <v>8915800168</v>
          </cell>
          <cell r="B59" t="str">
            <v>DEPARTAMENTO DEL CAUCA</v>
          </cell>
          <cell r="C59">
            <v>14591501</v>
          </cell>
          <cell r="D59">
            <v>2267839941</v>
          </cell>
          <cell r="E59">
            <v>0</v>
          </cell>
          <cell r="F59">
            <v>0</v>
          </cell>
          <cell r="G59">
            <v>2267839941</v>
          </cell>
          <cell r="H59">
            <v>0</v>
          </cell>
        </row>
        <row r="60">
          <cell r="A60">
            <v>8917800094</v>
          </cell>
          <cell r="B60" t="str">
            <v>DISTRITO TURISTICO CULTURAL E HISTORICO SANTA MARTA</v>
          </cell>
          <cell r="C60">
            <v>14952201</v>
          </cell>
          <cell r="D60">
            <v>-300000000</v>
          </cell>
          <cell r="E60">
            <v>0</v>
          </cell>
          <cell r="F60">
            <v>0</v>
          </cell>
          <cell r="G60">
            <v>0</v>
          </cell>
          <cell r="H60">
            <v>-300000000</v>
          </cell>
        </row>
        <row r="61">
          <cell r="A61">
            <v>8917800094</v>
          </cell>
          <cell r="B61" t="str">
            <v>DISTRITO TURISTICO CULTURAL E HISTORICO SANTA MARTA</v>
          </cell>
          <cell r="C61">
            <v>14631501</v>
          </cell>
          <cell r="D61">
            <v>664349092.62</v>
          </cell>
          <cell r="E61">
            <v>0</v>
          </cell>
          <cell r="F61">
            <v>0</v>
          </cell>
          <cell r="G61">
            <v>664349092.62</v>
          </cell>
          <cell r="H61">
            <v>0</v>
          </cell>
        </row>
        <row r="62">
          <cell r="A62">
            <v>8919004552</v>
          </cell>
          <cell r="B62" t="str">
            <v>EMPRESAS MUNICIPALES DE CARTAGO</v>
          </cell>
          <cell r="C62">
            <v>14593004</v>
          </cell>
          <cell r="D62">
            <v>404449175.98000002</v>
          </cell>
          <cell r="E62">
            <v>0</v>
          </cell>
          <cell r="F62">
            <v>12539549.220000001</v>
          </cell>
          <cell r="G62">
            <v>391909626.75999999</v>
          </cell>
          <cell r="H62">
            <v>0</v>
          </cell>
        </row>
        <row r="63">
          <cell r="A63">
            <v>8999990024</v>
          </cell>
          <cell r="B63" t="str">
            <v>EMPRESA COLOMBIANA DE PRODUCTOS VETERINARIOS VECOLSA</v>
          </cell>
          <cell r="C63">
            <v>14663001</v>
          </cell>
          <cell r="D63">
            <v>400000000</v>
          </cell>
          <cell r="E63">
            <v>0</v>
          </cell>
          <cell r="F63">
            <v>0</v>
          </cell>
          <cell r="G63">
            <v>400000000</v>
          </cell>
          <cell r="H63">
            <v>0</v>
          </cell>
        </row>
        <row r="64">
          <cell r="A64">
            <v>8999990024</v>
          </cell>
          <cell r="B64" t="str">
            <v>EMPRESA COLOMBIANA DE PRODUCTOS VETERINARIOS VECOLSA</v>
          </cell>
          <cell r="C64">
            <v>14661502</v>
          </cell>
          <cell r="D64">
            <v>1300000000</v>
          </cell>
          <cell r="E64">
            <v>1300000000</v>
          </cell>
          <cell r="F64">
            <v>1300000000</v>
          </cell>
          <cell r="G64">
            <v>1300000000</v>
          </cell>
          <cell r="H64">
            <v>0</v>
          </cell>
        </row>
        <row r="65">
          <cell r="A65">
            <v>8999990260</v>
          </cell>
          <cell r="B65" t="str">
            <v>CAJA DE PREVISION SOCIAL DE COMUNICACIONES CAPRECOM</v>
          </cell>
          <cell r="C65">
            <v>14661501</v>
          </cell>
          <cell r="D65">
            <v>374168876.67000002</v>
          </cell>
          <cell r="E65">
            <v>0</v>
          </cell>
          <cell r="F65">
            <v>0</v>
          </cell>
          <cell r="G65">
            <v>374168876.67000002</v>
          </cell>
          <cell r="H65">
            <v>0</v>
          </cell>
        </row>
        <row r="66">
          <cell r="A66">
            <v>8999990619</v>
          </cell>
          <cell r="B66" t="str">
            <v>DIRECCION DISTRITAL DE TESORERIA</v>
          </cell>
          <cell r="C66">
            <v>14591501</v>
          </cell>
          <cell r="D66">
            <v>12739058821.799999</v>
          </cell>
          <cell r="E66">
            <v>0</v>
          </cell>
          <cell r="F66">
            <v>0</v>
          </cell>
          <cell r="G66">
            <v>12739058821.799999</v>
          </cell>
          <cell r="H66">
            <v>0</v>
          </cell>
        </row>
        <row r="67">
          <cell r="A67">
            <v>8999990816</v>
          </cell>
          <cell r="B67" t="str">
            <v>INSTITUTO DE DESARROLLO URBANO</v>
          </cell>
          <cell r="C67">
            <v>14664302</v>
          </cell>
          <cell r="D67">
            <v>0</v>
          </cell>
          <cell r="E67">
            <v>20162415</v>
          </cell>
          <cell r="F67">
            <v>33630789</v>
          </cell>
          <cell r="G67">
            <v>-13468374</v>
          </cell>
          <cell r="H67">
            <v>0</v>
          </cell>
        </row>
        <row r="68">
          <cell r="A68">
            <v>8999990816</v>
          </cell>
          <cell r="B68" t="str">
            <v>INSTITUTO DE DESARROLLO URBANO</v>
          </cell>
          <cell r="C68">
            <v>14664301</v>
          </cell>
          <cell r="D68">
            <v>0</v>
          </cell>
          <cell r="E68">
            <v>642000000</v>
          </cell>
          <cell r="F68">
            <v>191000000</v>
          </cell>
          <cell r="G68">
            <v>451000000</v>
          </cell>
          <cell r="H68">
            <v>0</v>
          </cell>
        </row>
        <row r="69">
          <cell r="A69">
            <v>8999991434</v>
          </cell>
          <cell r="B69" t="str">
            <v>SATENA S.A.</v>
          </cell>
          <cell r="C69">
            <v>14663004</v>
          </cell>
          <cell r="D69">
            <v>0</v>
          </cell>
          <cell r="E69">
            <v>4725613680</v>
          </cell>
          <cell r="F69">
            <v>2355911718</v>
          </cell>
          <cell r="G69">
            <v>2369701962</v>
          </cell>
          <cell r="H69">
            <v>0</v>
          </cell>
        </row>
        <row r="70">
          <cell r="A70">
            <v>8999991434</v>
          </cell>
          <cell r="B70" t="str">
            <v>SATENA S.A.</v>
          </cell>
          <cell r="C70">
            <v>14593004</v>
          </cell>
          <cell r="D70">
            <v>8078334624</v>
          </cell>
          <cell r="E70">
            <v>13790244</v>
          </cell>
          <cell r="F70">
            <v>13790244</v>
          </cell>
          <cell r="G70">
            <v>8078334624</v>
          </cell>
          <cell r="H70">
            <v>0</v>
          </cell>
        </row>
        <row r="72">
          <cell r="D72">
            <v>111427161665.62999</v>
          </cell>
          <cell r="E72">
            <v>7811065989.2799997</v>
          </cell>
          <cell r="F72">
            <v>5242340611.46</v>
          </cell>
          <cell r="G72">
            <v>142879670790.31</v>
          </cell>
          <cell r="H72">
            <v>-28883783746.860001</v>
          </cell>
        </row>
      </sheetData>
      <sheetData sheetId="2" refreshError="1"/>
      <sheetData sheetId="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Data"/>
      <sheetName val="PL.717 Corporate Expenses"/>
      <sheetName val="oficial"/>
    </sheetNames>
    <sheetDataSet>
      <sheetData sheetId="0"/>
      <sheetData sheetId="1"/>
      <sheetData sheetId="2"/>
      <sheetData sheetId="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entas"/>
      <sheetName val="Data"/>
      <sheetName val="PL.717 Corporate Expenses"/>
    </sheetNames>
    <sheetDataSet>
      <sheetData sheetId="0"/>
      <sheetData sheetId="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es"/>
      <sheetName val="Hoja de trabajo Sept 2011"/>
      <sheetName val="MAPEO CUENTAS"/>
      <sheetName val="Corficol Finan+Real"/>
      <sheetName val="Anexo-Invers Aval Dic-11"/>
      <sheetName val="BALANCE"/>
      <sheetName val="PYG"/>
      <sheetName val="Aval"/>
      <sheetName val="Bogota"/>
      <sheetName val="Occidente"/>
      <sheetName val="Popular"/>
      <sheetName val="Av Villas"/>
      <sheetName val="Non-Financial Sector Corficol"/>
      <sheetName val="Non-Financial Ventas y Servicio"/>
      <sheetName val="Non-Financial Sector Inca"/>
      <sheetName val="Conciliacion Utilidades"/>
      <sheetName val="Anexo-Participaciones Dic-11"/>
      <sheetName val="SABANA"/>
      <sheetName val="3"/>
      <sheetName val="4"/>
      <sheetName val="6"/>
      <sheetName val="6- Anexo 1"/>
      <sheetName val="6-Anexo 2"/>
      <sheetName val="7"/>
      <sheetName val="HT"/>
      <sheetName val="8"/>
      <sheetName val="9"/>
      <sheetName val="10.1"/>
      <sheetName val="10.2"/>
      <sheetName val="11.1"/>
      <sheetName val="11.2"/>
      <sheetName val="12"/>
      <sheetName val="13"/>
      <sheetName val="14"/>
      <sheetName val="16.2"/>
      <sheetName val="Corficol"/>
      <sheetName val="BOCEAs-BCO BOGOTA"/>
      <sheetName val="Depositos"/>
      <sheetName val="Minoritario Entidades"/>
      <sheetName val="Cuen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CION"/>
      <sheetName val="BASE"/>
      <sheetName val="MATRIZ"/>
      <sheetName val="Int Minoritario"/>
      <sheetName val="NOTAS"/>
      <sheetName val="CONSOL"/>
      <sheetName val="BALAN"/>
      <sheetName val="PYG"/>
      <sheetName val="PATRIM"/>
      <sheetName val="EFECTIVO"/>
      <sheetName val="ELIMINA"/>
      <sheetName val="ELIMINA EXT"/>
      <sheetName val="FILIAL"/>
      <sheetName val="FILIALEXT"/>
      <sheetName val="CON"/>
      <sheetName val="Anexo-Participaciones Dic-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lombia"/>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Depreciation (PL.797)"/>
      <sheetName val="Cuentas de Orden, Otros"/>
      <sheetName val="Cuentas de Orden, Tesorería"/>
      <sheetName val="Cuentas de Orden, Riesgo"/>
      <sheetName val="Other Income (PL.505)"/>
      <sheetName val="Other Services (PL.773)"/>
      <sheetName val="Gastos regionales"/>
      <sheetName val="ELIMINA EXT"/>
      <sheetName val="ELIMINA"/>
      <sheetName val="FILIALEXT"/>
      <sheetName val="FILIAL"/>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sheetData sheetId="33"/>
      <sheetData sheetId="34" refreshError="1"/>
      <sheetData sheetId="35" refreshError="1"/>
      <sheetData sheetId="36" refreshError="1"/>
      <sheetData sheetId="3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LLP Data"/>
      <sheetName val="Output"/>
      <sheetName val="Cost Summary"/>
      <sheetName val="Shop Visit"/>
      <sheetName val="Shop Visit II"/>
      <sheetName val="Analysis"/>
      <sheetName val="Active PV"/>
      <sheetName val="Validation"/>
      <sheetName val="VB Code"/>
      <sheetName val="Array management"/>
      <sheetName val="VB LLP Model V3 Meridiana"/>
      <sheetName val="\Documents\Brand X\JT8D\200\Mer"/>
      <sheetName val="VB LLP Model V3 Meridiana.xls"/>
      <sheetName val="VB%20LLP%20Model%20V3%20Meridia"/>
      <sheetName val="Gastos regionales"/>
      <sheetName val="Swap Gain MtM (PL.501)"/>
      <sheetName val="Gain on Sale of OREOs (PL.502)"/>
      <sheetName val="Other Income (PL.505)"/>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Other Services (PL.773)"/>
      <sheetName val="Depreciation (PL.797)"/>
    </sheetNames>
    <definedNames>
      <definedName name="LLPModel"/>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CION"/>
      <sheetName val="BASE"/>
      <sheetName val="MATRIZ"/>
      <sheetName val="NOTAS"/>
      <sheetName val="CONSOL"/>
      <sheetName val="BALAN"/>
      <sheetName val="PYG"/>
      <sheetName val="INT MIN"/>
      <sheetName val="PATRIM"/>
      <sheetName val="EFECTIVO"/>
      <sheetName val="ELIMINA"/>
      <sheetName val="ELIMINA EXT"/>
      <sheetName val="FILIAL"/>
      <sheetName val="CON"/>
      <sheetName val="CONSOLFINA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guimiento"/>
      <sheetName val="Versiones"/>
      <sheetName val="5"/>
      <sheetName val="5a"/>
      <sheetName val="6"/>
      <sheetName val="7"/>
      <sheetName val="8"/>
      <sheetName val="9"/>
      <sheetName val="10"/>
      <sheetName val="12"/>
      <sheetName val="13"/>
      <sheetName val="14"/>
      <sheetName val="15"/>
      <sheetName val="16"/>
      <sheetName val="17"/>
      <sheetName val="18"/>
      <sheetName val="19"/>
      <sheetName val="20"/>
      <sheetName val="21"/>
      <sheetName val="22"/>
      <sheetName val="23"/>
      <sheetName val="24"/>
      <sheetName val="25"/>
      <sheetName val="26"/>
      <sheetName val="28"/>
      <sheetName val="29"/>
      <sheetName val="30"/>
      <sheetName val="31"/>
      <sheetName val="33"/>
      <sheetName val="34"/>
      <sheetName val="35"/>
      <sheetName val="35-Cartera Bruta"/>
      <sheetName val="MATRIZ"/>
    </sheetNames>
    <sheetDataSet>
      <sheetData sheetId="0" refreshError="1"/>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CEDULA"/>
      <sheetName val="BALANCE SEC"/>
      <sheetName val="FORMATO SEC PYG"/>
      <sheetName val="CONSL AVAL JUN2011 BANKING GAAP"/>
      <sheetName val="Non-Financial Sector Corficol"/>
      <sheetName val="BB"/>
      <sheetName val="BO"/>
      <sheetName val="BAV"/>
      <sheetName val="BP"/>
      <sheetName val="GA"/>
      <sheetName val="SABANA CONSOLIDACION CORFICOL"/>
      <sheetName val="Non-Financial Sector Inca"/>
      <sheetName val="Non-Financial Ventas y Servicio"/>
      <sheetName val="4´"/>
      <sheetName val="4.1"/>
      <sheetName val="Ajuste corrección"/>
      <sheetName val="4"/>
      <sheetName val="6"/>
      <sheetName val="7"/>
      <sheetName val="8"/>
      <sheetName val="9"/>
      <sheetName val="10.1"/>
      <sheetName val="10.2"/>
      <sheetName val="11.1"/>
      <sheetName val="11.2"/>
      <sheetName val="12"/>
      <sheetName val="Calculos"/>
      <sheetName val="Variaciones"/>
      <sheetName val="13"/>
      <sheetName val="Corficol"/>
      <sheetName val="14"/>
      <sheetName val="16.1"/>
      <sheetName val="Hoja1"/>
      <sheetName val="16.2"/>
      <sheetName val="Efectos por Fusión"/>
      <sheetName val="DEPOSITOS"/>
      <sheetName val="Ajustes"/>
      <sheetName val="Participación Accionaria Junio "/>
      <sheetName val="ECP ATH"/>
      <sheetName val="ECP PORVENIR"/>
      <sheetName val="ECP CASA DE BOLSA"/>
      <sheetName val="ECP CORFICOL"/>
      <sheetName val="ECP FIDUOCCIDENTE"/>
      <sheetName val="ECP OCCIDENTE"/>
      <sheetName val="ECP VTAS Y SERVI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Competencia"/>
      <sheetName val="ListaMaster"/>
      <sheetName val="ListaVisa"/>
      <sheetName val="Parametros"/>
      <sheetName val=" Resumen "/>
      <sheetName val="Resumen"/>
      <sheetName val="MasterCard"/>
      <sheetName val="VISA"/>
      <sheetName val="American Express"/>
      <sheetName val="Diners"/>
      <sheetName val="Propietaria"/>
      <sheetName val="Consolidado"/>
      <sheetName val="Debito"/>
      <sheetName val="Credito"/>
      <sheetName val="Utilidad Neta Mensual "/>
      <sheetName val="Utilidad Neta Acumulada"/>
      <sheetName val="Participación Accionaria Junio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C"/>
      <sheetName val="MC"/>
      <sheetName val="Inversiones BS.108 &amp; BS.136"/>
      <sheetName val="Cartera de Credito Balance"/>
      <sheetName val="Accrued interest Recei. BS.408"/>
      <sheetName val="Accounts Receivable BS.478 -474"/>
      <sheetName val="Deferred Expenses BS.556"/>
      <sheetName val="OREOS BS.558"/>
      <sheetName val="Other Assets-Other BS.567"/>
      <sheetName val="Int &amp; Non-int Acc. BS.584-596"/>
      <sheetName val="Saving Deposits BS.646"/>
      <sheetName val="Time Deposits BS.658"/>
      <sheetName val="Accrued Expenses BS.776-778"/>
      <sheetName val="Accounts Payable BS.788"/>
      <sheetName val="Time Deposits (PL.120)"/>
      <sheetName val="Swap Gain MtM (PL.501)"/>
      <sheetName val="Gain on Sale of OREOs (PL.502)"/>
      <sheetName val="Other Compensation (PL.581)"/>
      <sheetName val="Other Comp Benefits (PL.601)"/>
      <sheetName val="Rents Build &amp; Park (PL.621)"/>
      <sheetName val="Consulting Fees (PL.657)"/>
      <sheetName val="Professional Services (PL.661)"/>
      <sheetName val="Insurance (PL.665)"/>
      <sheetName val="Frauds (PL.713)"/>
      <sheetName val="Veh &amp; Equ Maintenance (PL.721)"/>
      <sheetName val="Representation Expnses (PL.741)"/>
      <sheetName val="Corporate Expenses (PL.717)"/>
      <sheetName val="Other Income (PL.505)"/>
      <sheetName val="Other Services (PL.773)"/>
      <sheetName val="Depreciation (PL.797)"/>
      <sheetName val="Cuentas de Orden, Tesorería"/>
      <sheetName val="Cuentas de Orden, Otros"/>
      <sheetName val="Cuentas de Orden, Riesgo"/>
      <sheetName val="Resum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Catalogo"/>
      <sheetName val="23 Part Adq"/>
      <sheetName val="Time Deposits (PL.120)"/>
      <sheetName val="Corporate Expenses (PL.71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www.uaesp.gov.co/transparencia/planeacion/planes" TargetMode="External"/><Relationship Id="rId18" Type="http://schemas.openxmlformats.org/officeDocument/2006/relationships/hyperlink" Target="https://www.uaesp.gov.co/mipg/documentos-sig/comunicaciones/protocolos/GCO-PT-01%20V2%20Protocolos%20del%20Proceso%20Gestio%CC%81n%20de%20Comunicaciones%20UAESP.pdf" TargetMode="External"/><Relationship Id="rId26" Type="http://schemas.openxmlformats.org/officeDocument/2006/relationships/hyperlink" Target="https://www.uaesp.gov.co/mipg/sig.php" TargetMode="External"/><Relationship Id="rId21" Type="http://schemas.openxmlformats.org/officeDocument/2006/relationships/hyperlink" Target="../../../../../../../../:b:/s/oficinadecontrolinterno/EbTpIsgsXORHmoZVVavQfWsBeaBx0lQncrRBmroudMrBpQ%3fe=Nt2YM3" TargetMode="External"/><Relationship Id="rId34" Type="http://schemas.openxmlformats.org/officeDocument/2006/relationships/hyperlink" Target="https://www.uaesp.gov.co/sites/default/files/planeacion/plan-anual-de-auditoria-2026-v2.pdf" TargetMode="External"/><Relationship Id="rId7" Type="http://schemas.openxmlformats.org/officeDocument/2006/relationships/hyperlink" Target="https://www.uaesp.gov.co/upload/resoluciones/2023/RESOLUCION_757_DE_2023.pdf" TargetMode="External"/><Relationship Id="rId12" Type="http://schemas.openxmlformats.org/officeDocument/2006/relationships/hyperlink" Target="https://www.uaesp.gov.co/mipg/documentos-sig/direccionamiento_estrategico/procedimientos/DES-PC-03%20V11%20Formulaci%C3%B3n%20y%20seguimiento%20Plan%20de%20Acci%C3%B3n%20Institucional.pdf" TargetMode="External"/><Relationship Id="rId17" Type="http://schemas.openxmlformats.org/officeDocument/2006/relationships/hyperlink" Target="https://www.uaesp.gov.co/upload/resoluciones/2023/RESOLUCION_757_DE_2023.pdf" TargetMode="External"/><Relationship Id="rId25" Type="http://schemas.openxmlformats.org/officeDocument/2006/relationships/hyperlink" Target="../../../../../../../../:p:/r/sites/EQUIPOOAP266/Documentos%20compartidos/ARCHIVO%20OAP%202025/ACTAS/COMIT&#195;&#137;%20INSTITUCIONAL%20DE%20GESTI&#195;&#147;N%20Y%20DESEMPE&#195;&#145;O/ACTA%201%20ENERO%2030%20SESION%20ORDINARIA/PRESENTACION%20GENERAL%20CIGD.pptx" TargetMode="External"/><Relationship Id="rId33" Type="http://schemas.openxmlformats.org/officeDocument/2006/relationships/hyperlink" Target="https://www.uaesp.gov.co/sites/default/files/planeacion/PLAN_INSTITUCIONAL_DE_CAPACITACION_2026_2028.pdf" TargetMode="External"/><Relationship Id="rId2" Type="http://schemas.openxmlformats.org/officeDocument/2006/relationships/hyperlink" Target="https://www.uaesp.gov.co/mipg/documentos-sig/direccionamiento_estrategico/manuales/DES-MN-01%20V7%20Manual%20del%20SIG.pdf" TargetMode="External"/><Relationship Id="rId16" Type="http://schemas.openxmlformats.org/officeDocument/2006/relationships/hyperlink" Target="https://www.uaesp.gov.co/mipg/documentos-sig/comunicaciones/planes/GCO-PL-01%20V7%20Plan%20Estrat%C3%A9gico%20de%20Comunicaciones.pdf" TargetMode="External"/><Relationship Id="rId20" Type="http://schemas.openxmlformats.org/officeDocument/2006/relationships/hyperlink" Target="https://www.uaesp.gov.co/content/registro-activos-informacion-e-indice-informacion-clasificada-y-reservada" TargetMode="External"/><Relationship Id="rId29" Type="http://schemas.openxmlformats.org/officeDocument/2006/relationships/hyperlink" Target="https://www.uaesp.gov.co/mipg/documentos-sig/direccionamiento_estrategico/manuales/DES-MN-01%20V7%20Manual%20del%20SIG.pdf" TargetMode="External"/><Relationship Id="rId1" Type="http://schemas.openxmlformats.org/officeDocument/2006/relationships/hyperlink" Target="https://www.uaesp.gov.co/mipg/documentos-sig/direccionamiento_estrategico/planes/Pol%C3%ADtica%20de%20Administraci%C3%B3n%20del%20Riesgo.pdf" TargetMode="External"/><Relationship Id="rId6" Type="http://schemas.openxmlformats.org/officeDocument/2006/relationships/hyperlink" Target="https://www.uaesp.gov.co/mipg/documentos-sig/direccionamiento_estrategico/manuales/DES-MN-01%20V4%20Manual%20del%20SIG.pdf" TargetMode="External"/><Relationship Id="rId11" Type="http://schemas.openxmlformats.org/officeDocument/2006/relationships/hyperlink" Target="https://www.uaesp.gov.co/transparencia/planeacion/planes" TargetMode="External"/><Relationship Id="rId24" Type="http://schemas.openxmlformats.org/officeDocument/2006/relationships/hyperlink" Target="../../../../../../../../:p:/r/sites/EQUIPOOAP266/Documentos%20compartidos/ARCHIVO%20OAP%202025/ACTAS/COMIT&#195;&#137;%20INSTITUCIONAL%20DE%20GESTI&#195;&#147;N%20Y%20DESEMPE&#195;&#145;O/ACTA%201%20ENERO%2030%20SESION%20ORDINARIA/PRESENTACION%20GENERAL%20CIGD.pptx" TargetMode="External"/><Relationship Id="rId32" Type="http://schemas.openxmlformats.org/officeDocument/2006/relationships/hyperlink" Target="https://www.uaesp.gov.co/sites/default/files/planeacion/INFORME_DE_INSTRUMENTOS_DIAGNOSTICOS_PARA_EL_PIC_2026.pdf" TargetMode="External"/><Relationship Id="rId37" Type="http://schemas.openxmlformats.org/officeDocument/2006/relationships/drawing" Target="../drawings/drawing1.xml"/><Relationship Id="rId5" Type="http://schemas.openxmlformats.org/officeDocument/2006/relationships/hyperlink" Target="https://www.uaesp.gov.co/mipg/documentos-sig/direccionamiento_estrategico/planes/Pol%C3%ADtica%20de%20Administraci%C3%B3n%20del%20Riesgo.pdf" TargetMode="External"/><Relationship Id="rId15" Type="http://schemas.openxmlformats.org/officeDocument/2006/relationships/hyperlink" Target="https://www.uaesp.gov.co/mipg/documentos-sig/comunicaciones/procedimientos/GCO-PC-05%20V3%20Comunicaci%C3%B3n%20externa.pdf" TargetMode="External"/><Relationship Id="rId23" Type="http://schemas.openxmlformats.org/officeDocument/2006/relationships/hyperlink" Target="../../../../../../../../EQUIPOOAP266/Documentos%20compartidos/Forms/AllItems.aspx%3fid=/sites/EQUIPOOAP266/Documentos%20compartidos/SEGUIMIENTO%20A%20RIESGOS%202025&amp;p=true&amp;ct=1752507961512&amp;or=OWA-NT-Mail&amp;cid=8a2a5521-8082-5faf-4d5c-af4d88b2b871&amp;ga=1&amp;LOF=1" TargetMode="External"/><Relationship Id="rId28" Type="http://schemas.openxmlformats.org/officeDocument/2006/relationships/hyperlink" Target="https://www.uaesp.gov.co/mipg/documentos-sig/direccionamiento_estrategico/planes/Pol%C3%ADtica%20de%20Administraci%C3%B3n%20del%20Riesgo.pdf" TargetMode="External"/><Relationship Id="rId36" Type="http://schemas.openxmlformats.org/officeDocument/2006/relationships/printerSettings" Target="../printerSettings/printerSettings3.bin"/><Relationship Id="rId10" Type="http://schemas.openxmlformats.org/officeDocument/2006/relationships/hyperlink" Target="https://www.uaesp.gov.co/mipg/documentos-sig/direccionamiento_estrategico/procedimientos/DES-PC-04%20V7%20Formulaci%C3%B3n%20seguimiento%20y%20actualizaci%C3%B3n%20del%20plan%20estrat%C3%A9gico%20institucional.pdf" TargetMode="External"/><Relationship Id="rId19" Type="http://schemas.openxmlformats.org/officeDocument/2006/relationships/hyperlink" Target="https://www.uaesp.gov.co/mipg/documentos-sig/gestionti/planes/Pol%C3%ADticas%20de%20Seguridad%20y%20Privacidad%20de%20la%20Informaci%C3%B3n%202024.pdf" TargetMode="External"/><Relationship Id="rId31" Type="http://schemas.openxmlformats.org/officeDocument/2006/relationships/hyperlink" Target="https://www.uaesp.gov.co/mipg/documentos-sig/talento_humano/procedimientos/GTH-PC-05%20V7%20Formulacion,%20ejecucion%20y%20evaluacion%20Plan%20Institucional%20de%20Capacitacion.pdf" TargetMode="External"/><Relationship Id="rId4" Type="http://schemas.openxmlformats.org/officeDocument/2006/relationships/hyperlink" Target="https://www.uaesp.gov.co/mipg/documentos-sig/direccionamiento_estrategico/planes/Pol%C3%ADtica%20de%20Administraci%C3%B3n%20del%20Riesgo.pdf" TargetMode="External"/><Relationship Id="rId9" Type="http://schemas.openxmlformats.org/officeDocument/2006/relationships/hyperlink" Target="https://www.uaesp.gov.co/transparencia/planeacion/planes" TargetMode="External"/><Relationship Id="rId14" Type="http://schemas.openxmlformats.org/officeDocument/2006/relationships/hyperlink" Target="https://www.uaesp.gov.co/mipg/documentos-sig/comunicaciones/procedimientos/GCO-PC-04%20V7%20Comunicaci%C3%B3n%20interna.pdf" TargetMode="External"/><Relationship Id="rId22" Type="http://schemas.openxmlformats.org/officeDocument/2006/relationships/hyperlink" Target="../../../../../../../../EQUIPOOAP266/Documentos%20compartidos/Forms/AllItems.aspx%3fid=/sites/EQUIPOOAP266/Documentos%20compartidos/SEGUIMIENTO%20A%20RIESGOS%202025&amp;p=true&amp;ct=1752507961512&amp;or=OWA-NT-Mail&amp;cid=8a2a5521-8082-5faf-4d5c-af4d88b2b871&amp;ga=1&amp;LOF=1" TargetMode="External"/><Relationship Id="rId27" Type="http://schemas.openxmlformats.org/officeDocument/2006/relationships/hyperlink" Target="https://www.uaesp.gov.co/content/canales-atencion" TargetMode="External"/><Relationship Id="rId30" Type="http://schemas.openxmlformats.org/officeDocument/2006/relationships/hyperlink" Target="https://www.uaesp.gov.co/upload/resoluciones/2023/RESOLUCION_757_DE_2023.pdf" TargetMode="External"/><Relationship Id="rId35" Type="http://schemas.openxmlformats.org/officeDocument/2006/relationships/hyperlink" Target="https://www.uaesp.gov.co/sites/default/files/planeacion/Plan_Anual_de_Auditorias_2026.pdf" TargetMode="External"/><Relationship Id="rId8" Type="http://schemas.openxmlformats.org/officeDocument/2006/relationships/hyperlink" Target="https://www.uaesp.gov.co/mipg/documentos-sig/direccionamiento_estrategico/planes/Pol%C3%ADtica%20de%20Administraci%C3%B3n%20del%20Riesgo.pdf" TargetMode="External"/><Relationship Id="rId3" Type="http://schemas.openxmlformats.org/officeDocument/2006/relationships/hyperlink" Target="https://www.uaesp.gov.co/upload/resoluciones/2023/RESOLUCION_757_DE_2023.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uaesp.gov.co/mipg/documentos-sig/direccionamiento_estrategico/planes/Pol%C3%ADtica%20de%20Administraci%C3%B3n%20del%20Riesgo.pdf" TargetMode="External"/><Relationship Id="rId13" Type="http://schemas.openxmlformats.org/officeDocument/2006/relationships/hyperlink" Target="../../../../../../../../EQUIPOOAP266/Documentos%20compartidos/Forms/AllItems.aspx%3fid=/sites/EQUIPOOAP266/Documentos%20compartidos/SEGUIMIENTO%20A%20RIESGOS%202025&amp;p=true&amp;ct=1752507961512&amp;or=OWA-NT-Mail&amp;cid=8a2a5521-8082-5faf-4d5c-af4d88b2b871&amp;ga=1&amp;LOF=1" TargetMode="External"/><Relationship Id="rId18" Type="http://schemas.openxmlformats.org/officeDocument/2006/relationships/hyperlink" Target="../../../../../../../../:f:/s/EQUIPOOAP266/Eh418f1p-g5AhltPTU-Bk8wBdErksAJcdRALQj_-FHTbDg%3fe=k7N9PV" TargetMode="External"/><Relationship Id="rId3" Type="http://schemas.openxmlformats.org/officeDocument/2006/relationships/hyperlink" Target="../../../../../../../../:f:/s/EQUIPOOAP266/Er7fcAcahtZPvCfZ8y3pQ90ByA88vzQ7qSva2q-OI-faew%3fe=POV4Zg" TargetMode="External"/><Relationship Id="rId21" Type="http://schemas.openxmlformats.org/officeDocument/2006/relationships/printerSettings" Target="../printerSettings/printerSettings4.bin"/><Relationship Id="rId7" Type="http://schemas.openxmlformats.org/officeDocument/2006/relationships/hyperlink" Target="https://www.uaesp.gov.co/transparencia/planeacion/planes" TargetMode="External"/><Relationship Id="rId12" Type="http://schemas.openxmlformats.org/officeDocument/2006/relationships/hyperlink" Target="../../../../../../../../EQUIPOOAP266/Documentos%20compartidos/Forms/AllItems.aspx%3fid=/sites/EQUIPOOAP266/Documentos%20compartidos/SEGUIMIENTO%20A%20RIESGOS%202025&amp;p=true&amp;ct=1752507961512&amp;or=OWA-NT-Mail&amp;cid=8a2a5521-8082-5faf-4d5c-af4d88b2b871&amp;ga=1&amp;LOF=1" TargetMode="External"/><Relationship Id="rId17" Type="http://schemas.openxmlformats.org/officeDocument/2006/relationships/hyperlink" Target="../../../../../../../../:f:/s/EQUIPOOAP266/Eg_iffQ86v9HlRm6HkXkLsABd8uXI2KcqGcXWabxkBDO6w%3fe=SpDD3e" TargetMode="External"/><Relationship Id="rId2" Type="http://schemas.openxmlformats.org/officeDocument/2006/relationships/hyperlink" Target="https://www.uaesp.gov.co/mipg/documentos-sig/direccionamiento_estrategico/planes/Pol%C3%ADtica%20de%20Administraci%C3%B3n%20del%20Riesgo.pdf" TargetMode="External"/><Relationship Id="rId16" Type="http://schemas.openxmlformats.org/officeDocument/2006/relationships/hyperlink" Target="../../../../../../../../:f:/s/EQUIPOOAP266/Eg_iffQ86v9HlRm6HkXkLsABd8uXI2KcqGcXWabxkBDO6w%3fe=SpDD3e" TargetMode="External"/><Relationship Id="rId20" Type="http://schemas.openxmlformats.org/officeDocument/2006/relationships/hyperlink" Target="../../../../../../../../:f:/s/oficinadecontrolinterno/Eo16wqncGhlIg8U8dakoqsYBDp1yF_FezLlzt5hXBKPPyA%3fe=PogM4K" TargetMode="External"/><Relationship Id="rId1" Type="http://schemas.openxmlformats.org/officeDocument/2006/relationships/hyperlink" Target="https://www.uaesp.gov.co/transparencia/planeacion/metas-objetivos-indicadores-completa" TargetMode="External"/><Relationship Id="rId6" Type="http://schemas.openxmlformats.org/officeDocument/2006/relationships/hyperlink" Target="https://www.uaesp.gov.co/transparencia/planeacion/metas-objetivos-indicadores-completa" TargetMode="External"/><Relationship Id="rId11" Type="http://schemas.openxmlformats.org/officeDocument/2006/relationships/hyperlink" Target="https://www.uaesp.gov.co/mipg/documentos-sig/direccionamiento_estrategico/planes/Pol%C3%ADtica%20de%20Administraci%C3%B3n%20del%20Riesgo.pdf" TargetMode="External"/><Relationship Id="rId5" Type="http://schemas.openxmlformats.org/officeDocument/2006/relationships/hyperlink" Target="https://www.uaesp.gov.co/mipg/documentos-sig/direccionamiento_estrategico/planes/Pol%C3%ADtica%20de%20Administraci%C3%B3n%20del%20Riesgo.pdf" TargetMode="External"/><Relationship Id="rId15" Type="http://schemas.openxmlformats.org/officeDocument/2006/relationships/hyperlink" Target="../../../../../../../../:f:/s/oficinadecontrolinterno/EkCaynl76fVPslE3wu0OgJwBYemtZ86iLssvoetkSUAq-Q%3fe=t7jelJ" TargetMode="External"/><Relationship Id="rId10" Type="http://schemas.openxmlformats.org/officeDocument/2006/relationships/hyperlink" Target="https://www.uaesp.gov.co/mipg/documentos-sig/direccionamiento_estrategico/planes/Pol%C3%ADtica%20de%20Administraci%C3%B3n%20del%20Riesgo.pdf" TargetMode="External"/><Relationship Id="rId19" Type="http://schemas.openxmlformats.org/officeDocument/2006/relationships/hyperlink" Target="../../../../../../../../:f:/s/EQUIPOOAP266/Eh418f1p-g5AhltPTU-Bk8wBdErksAJcdRALQj_-FHTbDg%3fe=k7N9PV" TargetMode="External"/><Relationship Id="rId4" Type="http://schemas.openxmlformats.org/officeDocument/2006/relationships/hyperlink" Target="https://www.uaesp.gov.co/transparencia/planeacion/planes" TargetMode="External"/><Relationship Id="rId9" Type="http://schemas.openxmlformats.org/officeDocument/2006/relationships/hyperlink" Target="https://www.uaesp.gov.co/transparencia/planeacion/planes" TargetMode="External"/><Relationship Id="rId14" Type="http://schemas.openxmlformats.org/officeDocument/2006/relationships/hyperlink" Target="https://www.uaesp.gov.co/transparencia/planeacion/planes" TargetMode="External"/><Relationship Id="rId2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uaesp.gov.co/transparencia/planeacion/planes" TargetMode="External"/><Relationship Id="rId7" Type="http://schemas.openxmlformats.org/officeDocument/2006/relationships/printerSettings" Target="../printerSettings/printerSettings5.bin"/><Relationship Id="rId2" Type="http://schemas.openxmlformats.org/officeDocument/2006/relationships/hyperlink" Target="../../../../../../../../:b:/s/oficinadecontrolinterno/EYCgsr-WwnBNqvOLNPtQPN8BiRBUAX-pt9fQ_i7BcH79oQ%3fe=5j7j66" TargetMode="External"/><Relationship Id="rId1" Type="http://schemas.openxmlformats.org/officeDocument/2006/relationships/hyperlink" Target="https://www.uaesp.gov.co/mipg/documentos-sig/direccionamiento_estrategico/manuales/DES-MN-01%20V5%20Manual%20del%20SIG.pdf" TargetMode="External"/><Relationship Id="rId6" Type="http://schemas.openxmlformats.org/officeDocument/2006/relationships/hyperlink" Target="https://www.uaesp.gov.co/mipg/documentos-sig/direccionamiento_estrategico/planes/Pol%C3%ADtica%20de%20Administraci%C3%B3n%20del%20Riesgo.pdf" TargetMode="External"/><Relationship Id="rId5" Type="http://schemas.openxmlformats.org/officeDocument/2006/relationships/hyperlink" Target="https://www.uaesp.gov.co/mipg/documentos-sig/direccionamiento_estrategico/planes/Pol%C3%ADtica%20de%20Administraci%C3%B3n%20del%20Riesgo.pdf" TargetMode="External"/><Relationship Id="rId4" Type="http://schemas.openxmlformats.org/officeDocument/2006/relationships/hyperlink" Target="../../../../../../../../:f:/s/oficinadecontrolinterno/EkRS-DL3ZgJOjy5rBiS4n7oB-vI_5giskAEWOlRb-EK4Gw%3fe=oxbDsu"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uaesp.gov.co/mipg/documentos-sig/comunicaciones/procedimientos/GCO-PC-06%20V2%20Administraci%C3%B3n%20de%20redes%20sociales.pdf" TargetMode="External"/><Relationship Id="rId3" Type="http://schemas.openxmlformats.org/officeDocument/2006/relationships/hyperlink" Target="https://www.uaesp.gov.co/mipg/documentos-sig/comunicaciones/procedimientos/GCO-PC-05%20V3%20Comunicaci%C3%B3n%20externa.pdf" TargetMode="External"/><Relationship Id="rId7" Type="http://schemas.openxmlformats.org/officeDocument/2006/relationships/hyperlink" Target="https://www.uaesp.gov.co/mipg/sig.php" TargetMode="External"/><Relationship Id="rId2" Type="http://schemas.openxmlformats.org/officeDocument/2006/relationships/hyperlink" Target="https://www.uaesp.gov.co/mipg/documentos-sig/comunicaciones/procedimientos/GCO-PC-05%20V3%20Comunicaci%C3%B3n%20externa.pdf" TargetMode="External"/><Relationship Id="rId1" Type="http://schemas.openxmlformats.org/officeDocument/2006/relationships/hyperlink" Target="https://www.uaesp.gov.co/mipg/documentos-sig/comunicaciones/procedimientos/GCO-PC-04%20V7%20Comunicaci%C3%B3n%20interna.pdf" TargetMode="External"/><Relationship Id="rId6" Type="http://schemas.openxmlformats.org/officeDocument/2006/relationships/hyperlink" Target="https://www.uaesp.gov.co/transparencia/informacion-interes/publicacion/otras-publicaciones/programa-gestion-documental" TargetMode="External"/><Relationship Id="rId11" Type="http://schemas.openxmlformats.org/officeDocument/2006/relationships/drawing" Target="../drawings/drawing4.xml"/><Relationship Id="rId5" Type="http://schemas.openxmlformats.org/officeDocument/2006/relationships/hyperlink" Target="https://www.uaesp.gov.co/sites/default/files/planeacion/Plan_Institucional_de_Capacitacion_2024-2028_0.pdf" TargetMode="External"/><Relationship Id="rId10" Type="http://schemas.openxmlformats.org/officeDocument/2006/relationships/printerSettings" Target="../printerSettings/printerSettings6.bin"/><Relationship Id="rId4" Type="http://schemas.openxmlformats.org/officeDocument/2006/relationships/hyperlink" Target="https://www.uaesp.gov.co/transparencia/informacion-interes/publicaciones" TargetMode="External"/><Relationship Id="rId9" Type="http://schemas.openxmlformats.org/officeDocument/2006/relationships/hyperlink" Target="../../../../../../../../:f:/s/PAI2023/EtbLveHL1sxIspodJOifcnAB3-Xe-DWzoZOC1Q45gNpX2g%3fe=Bm663Q"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uaesp.gov.co/transparencia/control/informes-gestion-evaluacion-auditoria" TargetMode="External"/><Relationship Id="rId3" Type="http://schemas.openxmlformats.org/officeDocument/2006/relationships/hyperlink" Target="https://www.uaesp.gov.co/mipg/documentos-sig/legales/manuales/GAL-MN-01%20V14%20Manual%20de%20Contrataci%C3%B3n.pdf" TargetMode="External"/><Relationship Id="rId7" Type="http://schemas.openxmlformats.org/officeDocument/2006/relationships/hyperlink" Target="../../../../../../../../:f:/r/sites/EQUIPOOAP266/Documentos%20compartidos/ARCHIVO%20OAP%202025/ACTAS/COMIT%25C3%2589%20INSTITUCIONAL%20DE%20GESTI%25C3%2593N%20Y%20DESEMPE%25C3%2591O/ACTA%201%20ENERO%2030%20SESION%20ORDINARIA%3fcsf=1&amp;web=1&amp;e=cRRTlK" TargetMode="External"/><Relationship Id="rId2" Type="http://schemas.openxmlformats.org/officeDocument/2006/relationships/hyperlink" Target="https://www.uaesp.gov.co/mipg/documentos-sig/direccionamiento_estrategico/manuales/DES-MN-01%20V5%20Manual%20del%20SIG.pdf" TargetMode="External"/><Relationship Id="rId1" Type="http://schemas.openxmlformats.org/officeDocument/2006/relationships/hyperlink" Target="https://www.uaesp.gov.co/upload/resoluciones/2023/RESOLUCION_757_DE_2023.pdf" TargetMode="External"/><Relationship Id="rId6" Type="http://schemas.openxmlformats.org/officeDocument/2006/relationships/hyperlink" Target="../../../../../../../../:f:/s/EQUIPOOAP266/Eh418f1p-g5AhltPTU-Bk8wBdErksAJcdRALQj_-FHTbDg%3fe=k7N9PV" TargetMode="External"/><Relationship Id="rId5" Type="http://schemas.openxmlformats.org/officeDocument/2006/relationships/hyperlink" Target="../../../../../../../../:b:/s/oficinadecontrolinterno/ERtG7Tlp0GFEqriqgpijSPkB3ylCfaf1ISqqult365KHAw%3fe=91UGZw" TargetMode="External"/><Relationship Id="rId10" Type="http://schemas.openxmlformats.org/officeDocument/2006/relationships/drawing" Target="../drawings/drawing5.xml"/><Relationship Id="rId4" Type="http://schemas.openxmlformats.org/officeDocument/2006/relationships/hyperlink" Target="../../../../../../../../:f:/s/oficinadecontrolinterno/Eh-AtMUjh_pEtztDXk6eNHEBNSOMQQZ_WnCrmTUh1KofjA%3fe=UAiwgV" TargetMode="External"/><Relationship Id="rId9"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2"/>
  <sheetViews>
    <sheetView showGridLines="0" topLeftCell="B2" zoomScaleNormal="100" workbookViewId="0">
      <selection activeCell="E15" sqref="E15:F15"/>
    </sheetView>
  </sheetViews>
  <sheetFormatPr baseColWidth="10" defaultColWidth="0" defaultRowHeight="0" customHeight="1" zeroHeight="1" x14ac:dyDescent="0.3"/>
  <cols>
    <col min="1" max="1" width="3.88671875" style="1" hidden="1" customWidth="1"/>
    <col min="2" max="2" width="15.33203125" style="1" customWidth="1"/>
    <col min="3" max="3" width="17.33203125" style="1" customWidth="1"/>
    <col min="4" max="4" width="28.44140625" style="1" customWidth="1"/>
    <col min="5" max="5" width="12.88671875" style="1" customWidth="1"/>
    <col min="6" max="6" width="47.109375" style="1" customWidth="1"/>
    <col min="7" max="7" width="21.44140625" style="1" customWidth="1"/>
    <col min="8" max="8" width="6.44140625" style="1" customWidth="1"/>
    <col min="9" max="9" width="2.44140625" style="1" customWidth="1"/>
    <col min="10" max="16384" width="11.44140625" style="1" hidden="1"/>
  </cols>
  <sheetData>
    <row r="2" spans="1:8" ht="73.5" customHeight="1" x14ac:dyDescent="0.3">
      <c r="A2" s="1" t="e">
        <f>+A2:H15E15A2:H13A2:H19E15A2:H13A2:H26E15A2:H13A2A2:H35</f>
        <v>#NAME?</v>
      </c>
      <c r="B2" s="319" t="s">
        <v>0</v>
      </c>
      <c r="C2" s="320"/>
      <c r="D2" s="320"/>
      <c r="E2" s="320"/>
      <c r="F2" s="320"/>
      <c r="G2" s="320"/>
      <c r="H2" s="321"/>
    </row>
    <row r="3" spans="1:8" ht="13.8" x14ac:dyDescent="0.3">
      <c r="B3" s="40"/>
      <c r="H3" s="41"/>
    </row>
    <row r="4" spans="1:8" ht="13.8" x14ac:dyDescent="0.3">
      <c r="B4" s="40"/>
      <c r="H4" s="41"/>
    </row>
    <row r="5" spans="1:8" ht="13.8" x14ac:dyDescent="0.3">
      <c r="B5" s="42"/>
      <c r="C5" s="2"/>
      <c r="D5" s="2"/>
      <c r="E5" s="2"/>
      <c r="F5" s="2"/>
      <c r="G5" s="2"/>
      <c r="H5" s="43"/>
    </row>
    <row r="6" spans="1:8" ht="65.25" customHeight="1" x14ac:dyDescent="0.3">
      <c r="B6" s="322" t="s">
        <v>1</v>
      </c>
      <c r="C6" s="323"/>
      <c r="D6" s="323"/>
      <c r="E6" s="323"/>
      <c r="F6" s="323"/>
      <c r="G6" s="323"/>
      <c r="H6" s="324"/>
    </row>
    <row r="7" spans="1:8" ht="74.25" customHeight="1" x14ac:dyDescent="0.3">
      <c r="B7" s="322"/>
      <c r="C7" s="323"/>
      <c r="D7" s="323"/>
      <c r="E7" s="323"/>
      <c r="F7" s="323"/>
      <c r="G7" s="323"/>
      <c r="H7" s="324"/>
    </row>
    <row r="8" spans="1:8" ht="21.75" customHeight="1" x14ac:dyDescent="0.3">
      <c r="B8" s="325" t="s">
        <v>2</v>
      </c>
      <c r="C8" s="326"/>
      <c r="D8" s="326"/>
      <c r="E8" s="326"/>
      <c r="F8" s="326"/>
      <c r="G8" s="326"/>
      <c r="H8" s="327"/>
    </row>
    <row r="9" spans="1:8" ht="42" customHeight="1" x14ac:dyDescent="0.3">
      <c r="B9" s="349" t="s">
        <v>3</v>
      </c>
      <c r="C9" s="350"/>
      <c r="D9" s="350"/>
      <c r="E9" s="350"/>
      <c r="F9" s="350"/>
      <c r="G9" s="350"/>
      <c r="H9" s="351"/>
    </row>
    <row r="10" spans="1:8" ht="43.5" customHeight="1" x14ac:dyDescent="0.3">
      <c r="B10" s="349"/>
      <c r="C10" s="350"/>
      <c r="D10" s="350"/>
      <c r="E10" s="350"/>
      <c r="F10" s="350"/>
      <c r="G10" s="350"/>
      <c r="H10" s="351"/>
    </row>
    <row r="11" spans="1:8" ht="12.75" customHeight="1" thickBot="1" x14ac:dyDescent="0.35">
      <c r="B11" s="40"/>
      <c r="D11" s="3"/>
      <c r="E11" s="4"/>
      <c r="F11" s="4"/>
      <c r="G11" s="5"/>
      <c r="H11" s="41"/>
    </row>
    <row r="12" spans="1:8" ht="21" customHeight="1" thickTop="1" x14ac:dyDescent="0.3">
      <c r="B12" s="40"/>
      <c r="C12" s="360" t="s">
        <v>4</v>
      </c>
      <c r="D12" s="361"/>
      <c r="E12" s="352" t="s">
        <v>5</v>
      </c>
      <c r="F12" s="353"/>
      <c r="H12" s="41"/>
    </row>
    <row r="13" spans="1:8" ht="37.5" customHeight="1" x14ac:dyDescent="0.3">
      <c r="B13" s="40"/>
      <c r="C13" s="358" t="s">
        <v>6</v>
      </c>
      <c r="D13" s="359"/>
      <c r="E13" s="354" t="s">
        <v>7</v>
      </c>
      <c r="F13" s="355"/>
      <c r="H13" s="41"/>
    </row>
    <row r="14" spans="1:8" ht="39.75" customHeight="1" x14ac:dyDescent="0.3">
      <c r="B14" s="40"/>
      <c r="C14" s="330" t="s">
        <v>8</v>
      </c>
      <c r="D14" s="331"/>
      <c r="E14" s="336" t="s">
        <v>9</v>
      </c>
      <c r="F14" s="337"/>
      <c r="H14" s="41"/>
    </row>
    <row r="15" spans="1:8" ht="230.25" customHeight="1" x14ac:dyDescent="0.3">
      <c r="B15" s="40"/>
      <c r="C15" s="330" t="s">
        <v>10</v>
      </c>
      <c r="D15" s="331"/>
      <c r="E15" s="336" t="s">
        <v>11</v>
      </c>
      <c r="F15" s="337"/>
      <c r="H15" s="41"/>
    </row>
    <row r="16" spans="1:8" ht="15.75" customHeight="1" x14ac:dyDescent="0.3">
      <c r="B16" s="40"/>
      <c r="C16" s="332" t="s">
        <v>12</v>
      </c>
      <c r="D16" s="12" t="s">
        <v>13</v>
      </c>
      <c r="E16" s="336" t="s">
        <v>14</v>
      </c>
      <c r="F16" s="337"/>
      <c r="H16" s="41"/>
    </row>
    <row r="17" spans="2:8" ht="54" customHeight="1" x14ac:dyDescent="0.3">
      <c r="B17" s="40"/>
      <c r="C17" s="333"/>
      <c r="D17" s="22" t="s">
        <v>15</v>
      </c>
      <c r="E17" s="343" t="s">
        <v>16</v>
      </c>
      <c r="F17" s="344"/>
      <c r="H17" s="41"/>
    </row>
    <row r="18" spans="2:8" ht="98.25" customHeight="1" x14ac:dyDescent="0.3">
      <c r="B18" s="40"/>
      <c r="C18" s="333"/>
      <c r="D18" s="22" t="s">
        <v>17</v>
      </c>
      <c r="E18" s="343" t="s">
        <v>18</v>
      </c>
      <c r="F18" s="344"/>
      <c r="H18" s="41"/>
    </row>
    <row r="19" spans="2:8" ht="83.25" customHeight="1" thickBot="1" x14ac:dyDescent="0.35">
      <c r="B19" s="40"/>
      <c r="C19" s="334" t="s">
        <v>19</v>
      </c>
      <c r="D19" s="335"/>
      <c r="E19" s="356" t="s">
        <v>20</v>
      </c>
      <c r="F19" s="357"/>
      <c r="H19" s="41"/>
    </row>
    <row r="20" spans="2:8" ht="19.5" customHeight="1" thickTop="1" x14ac:dyDescent="0.3">
      <c r="B20" s="40"/>
      <c r="C20" s="6"/>
      <c r="D20" s="6"/>
      <c r="E20" s="7"/>
      <c r="F20" s="7"/>
      <c r="H20" s="41"/>
    </row>
    <row r="21" spans="2:8" ht="37.5" customHeight="1" x14ac:dyDescent="0.3">
      <c r="B21" s="345" t="s">
        <v>21</v>
      </c>
      <c r="C21" s="346"/>
      <c r="D21" s="346"/>
      <c r="E21" s="346"/>
      <c r="F21" s="346"/>
      <c r="G21" s="346"/>
      <c r="H21" s="347"/>
    </row>
    <row r="22" spans="2:8" ht="27.75" customHeight="1" x14ac:dyDescent="0.3">
      <c r="B22" s="40"/>
      <c r="H22" s="41"/>
    </row>
    <row r="23" spans="2:8" ht="27.75" customHeight="1" x14ac:dyDescent="0.3">
      <c r="B23" s="40"/>
      <c r="C23" s="119" t="s">
        <v>22</v>
      </c>
      <c r="D23" s="339" t="s">
        <v>5</v>
      </c>
      <c r="E23" s="339"/>
      <c r="F23" s="339" t="s">
        <v>23</v>
      </c>
      <c r="G23" s="339"/>
      <c r="H23" s="41"/>
    </row>
    <row r="24" spans="2:8" ht="59.25" customHeight="1" x14ac:dyDescent="0.3">
      <c r="B24" s="40"/>
      <c r="C24" s="61" t="s">
        <v>24</v>
      </c>
      <c r="D24" s="338" t="s">
        <v>25</v>
      </c>
      <c r="E24" s="338"/>
      <c r="F24" s="338" t="s">
        <v>26</v>
      </c>
      <c r="G24" s="338"/>
      <c r="H24" s="41"/>
    </row>
    <row r="25" spans="2:8" ht="53.25" customHeight="1" x14ac:dyDescent="0.3">
      <c r="B25" s="40"/>
      <c r="C25" s="62" t="s">
        <v>27</v>
      </c>
      <c r="D25" s="338" t="s">
        <v>28</v>
      </c>
      <c r="E25" s="338"/>
      <c r="F25" s="338" t="s">
        <v>29</v>
      </c>
      <c r="G25" s="338"/>
      <c r="H25" s="41"/>
    </row>
    <row r="26" spans="2:8" ht="62.25" customHeight="1" x14ac:dyDescent="0.3">
      <c r="B26" s="40"/>
      <c r="C26" s="63" t="s">
        <v>30</v>
      </c>
      <c r="D26" s="338" t="s">
        <v>31</v>
      </c>
      <c r="E26" s="338"/>
      <c r="F26" s="338" t="s">
        <v>32</v>
      </c>
      <c r="G26" s="338"/>
      <c r="H26" s="41"/>
    </row>
    <row r="27" spans="2:8" ht="70.5" customHeight="1" x14ac:dyDescent="0.3">
      <c r="B27" s="40"/>
      <c r="C27" s="64" t="s">
        <v>33</v>
      </c>
      <c r="D27" s="338" t="s">
        <v>34</v>
      </c>
      <c r="E27" s="338"/>
      <c r="F27" s="338" t="s">
        <v>35</v>
      </c>
      <c r="G27" s="338"/>
      <c r="H27" s="41"/>
    </row>
    <row r="28" spans="2:8" ht="11.25" customHeight="1" x14ac:dyDescent="0.3">
      <c r="B28" s="44"/>
      <c r="C28" s="39"/>
      <c r="D28" s="39"/>
      <c r="E28" s="39"/>
      <c r="F28" s="39"/>
      <c r="G28" s="39"/>
      <c r="H28" s="45"/>
    </row>
    <row r="29" spans="2:8" ht="14.25" customHeight="1" x14ac:dyDescent="0.3">
      <c r="B29" s="120"/>
      <c r="C29" s="328"/>
      <c r="D29" s="328"/>
      <c r="E29" s="329"/>
      <c r="F29" s="329"/>
      <c r="G29" s="329"/>
      <c r="H29" s="121"/>
    </row>
    <row r="30" spans="2:8" ht="27.75" customHeight="1" x14ac:dyDescent="0.3">
      <c r="B30" s="345" t="s">
        <v>36</v>
      </c>
      <c r="C30" s="346"/>
      <c r="D30" s="346"/>
      <c r="E30" s="346"/>
      <c r="F30" s="346"/>
      <c r="G30" s="346"/>
      <c r="H30" s="347"/>
    </row>
    <row r="31" spans="2:8" ht="13.8" x14ac:dyDescent="0.3">
      <c r="B31" s="40"/>
      <c r="C31" s="8"/>
      <c r="D31" s="8"/>
      <c r="E31" s="348"/>
      <c r="F31" s="348"/>
      <c r="H31" s="41"/>
    </row>
    <row r="32" spans="2:8" ht="13.8" x14ac:dyDescent="0.3">
      <c r="B32" s="340" t="s">
        <v>37</v>
      </c>
      <c r="C32" s="341"/>
      <c r="D32" s="341"/>
      <c r="E32" s="341"/>
      <c r="F32" s="341"/>
      <c r="G32" s="341"/>
      <c r="H32" s="342"/>
    </row>
  </sheetData>
  <sheetProtection selectLockedCells="1" selectUnlockedCells="1"/>
  <mergeCells count="34">
    <mergeCell ref="B9:H10"/>
    <mergeCell ref="E12:F12"/>
    <mergeCell ref="E13:F13"/>
    <mergeCell ref="E19:F19"/>
    <mergeCell ref="E15:F15"/>
    <mergeCell ref="C14:D14"/>
    <mergeCell ref="C13:D13"/>
    <mergeCell ref="C12:D12"/>
    <mergeCell ref="E14:F14"/>
    <mergeCell ref="E17:F17"/>
    <mergeCell ref="F25:G25"/>
    <mergeCell ref="D25:E25"/>
    <mergeCell ref="B32:H32"/>
    <mergeCell ref="E18:F18"/>
    <mergeCell ref="B21:H21"/>
    <mergeCell ref="E31:F31"/>
    <mergeCell ref="D26:E26"/>
    <mergeCell ref="B30:H30"/>
    <mergeCell ref="B2:H2"/>
    <mergeCell ref="B6:H7"/>
    <mergeCell ref="B8:H8"/>
    <mergeCell ref="C29:D29"/>
    <mergeCell ref="E29:G29"/>
    <mergeCell ref="C15:D15"/>
    <mergeCell ref="C16:C18"/>
    <mergeCell ref="C19:D19"/>
    <mergeCell ref="E16:F16"/>
    <mergeCell ref="D24:E24"/>
    <mergeCell ref="D23:E23"/>
    <mergeCell ref="F26:G26"/>
    <mergeCell ref="F27:G27"/>
    <mergeCell ref="F23:G23"/>
    <mergeCell ref="D27:E27"/>
    <mergeCell ref="F24:G2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39"/>
  <sheetViews>
    <sheetView showGridLines="0" workbookViewId="0">
      <pane xSplit="1" ySplit="4" topLeftCell="B8" activePane="bottomRight" state="frozen"/>
      <selection pane="topRight" activeCell="B1" sqref="B1"/>
      <selection pane="bottomLeft" activeCell="A11" sqref="A11"/>
      <selection pane="bottomRight" activeCell="C16" sqref="C16"/>
    </sheetView>
  </sheetViews>
  <sheetFormatPr baseColWidth="10" defaultColWidth="11.44140625" defaultRowHeight="13.8" x14ac:dyDescent="0.25"/>
  <cols>
    <col min="1" max="1" width="3.44140625" style="13" customWidth="1"/>
    <col min="2" max="2" width="36.44140625" style="13" customWidth="1"/>
    <col min="3" max="3" width="67.109375" style="17" customWidth="1"/>
    <col min="4" max="16384" width="11.44140625" style="13"/>
  </cols>
  <sheetData>
    <row r="2" spans="2:3" x14ac:dyDescent="0.25">
      <c r="B2" s="362" t="s">
        <v>38</v>
      </c>
      <c r="C2" s="362"/>
    </row>
    <row r="4" spans="2:3" x14ac:dyDescent="0.25">
      <c r="B4" s="18" t="s">
        <v>39</v>
      </c>
      <c r="C4" s="19" t="s">
        <v>5</v>
      </c>
    </row>
    <row r="5" spans="2:3" ht="55.2" x14ac:dyDescent="0.25">
      <c r="B5" s="57" t="s">
        <v>40</v>
      </c>
      <c r="C5" s="14" t="s">
        <v>41</v>
      </c>
    </row>
    <row r="6" spans="2:3" ht="46.5" customHeight="1" x14ac:dyDescent="0.25">
      <c r="B6" s="58" t="s">
        <v>42</v>
      </c>
      <c r="C6" s="15" t="s">
        <v>43</v>
      </c>
    </row>
    <row r="7" spans="2:3" ht="55.2" x14ac:dyDescent="0.25">
      <c r="B7" s="59" t="s">
        <v>44</v>
      </c>
      <c r="C7" s="16" t="s">
        <v>45</v>
      </c>
    </row>
    <row r="8" spans="2:3" ht="41.4" x14ac:dyDescent="0.25">
      <c r="B8" s="60" t="s">
        <v>46</v>
      </c>
      <c r="C8" s="16" t="s">
        <v>47</v>
      </c>
    </row>
    <row r="9" spans="2:3" ht="41.4" x14ac:dyDescent="0.25">
      <c r="B9" s="60" t="s">
        <v>48</v>
      </c>
      <c r="C9" s="16" t="s">
        <v>49</v>
      </c>
    </row>
    <row r="10" spans="2:3" x14ac:dyDescent="0.25">
      <c r="B10" s="59" t="s">
        <v>50</v>
      </c>
      <c r="C10" s="16" t="s">
        <v>51</v>
      </c>
    </row>
    <row r="11" spans="2:3" ht="96.6" x14ac:dyDescent="0.25">
      <c r="B11" s="59" t="s">
        <v>52</v>
      </c>
      <c r="C11" s="16" t="s">
        <v>53</v>
      </c>
    </row>
    <row r="12" spans="2:3" ht="41.4" x14ac:dyDescent="0.25">
      <c r="B12" s="59" t="s">
        <v>54</v>
      </c>
      <c r="C12" s="16" t="s">
        <v>55</v>
      </c>
    </row>
    <row r="13" spans="2:3" ht="41.4" x14ac:dyDescent="0.25">
      <c r="B13" s="59" t="s">
        <v>56</v>
      </c>
      <c r="C13" s="16" t="s">
        <v>57</v>
      </c>
    </row>
    <row r="14" spans="2:3" ht="41.4" x14ac:dyDescent="0.25">
      <c r="B14" s="60" t="s">
        <v>58</v>
      </c>
      <c r="C14" s="56" t="s">
        <v>59</v>
      </c>
    </row>
    <row r="15" spans="2:3" ht="27.6" x14ac:dyDescent="0.25">
      <c r="B15" s="60" t="s">
        <v>60</v>
      </c>
      <c r="C15" s="56" t="s">
        <v>61</v>
      </c>
    </row>
    <row r="16" spans="2:3" ht="41.4" x14ac:dyDescent="0.25">
      <c r="B16" s="60" t="s">
        <v>62</v>
      </c>
      <c r="C16" s="56" t="s">
        <v>63</v>
      </c>
    </row>
    <row r="17" spans="2:3" x14ac:dyDescent="0.25">
      <c r="B17" s="60" t="s">
        <v>64</v>
      </c>
      <c r="C17" s="56" t="s">
        <v>65</v>
      </c>
    </row>
    <row r="18" spans="2:3" x14ac:dyDescent="0.25">
      <c r="B18" s="60" t="s">
        <v>66</v>
      </c>
      <c r="C18" s="56" t="s">
        <v>67</v>
      </c>
    </row>
    <row r="19" spans="2:3" ht="27.6" x14ac:dyDescent="0.25">
      <c r="B19" s="60" t="s">
        <v>68</v>
      </c>
      <c r="C19" s="56" t="s">
        <v>69</v>
      </c>
    </row>
    <row r="20" spans="2:3" ht="27.6" x14ac:dyDescent="0.25">
      <c r="B20" s="59" t="s">
        <v>70</v>
      </c>
      <c r="C20" s="16" t="s">
        <v>71</v>
      </c>
    </row>
    <row r="21" spans="2:3" ht="55.2" x14ac:dyDescent="0.25">
      <c r="B21" s="59" t="s">
        <v>72</v>
      </c>
      <c r="C21" s="16" t="s">
        <v>73</v>
      </c>
    </row>
    <row r="22" spans="2:3" ht="55.2" x14ac:dyDescent="0.25">
      <c r="B22" s="59" t="s">
        <v>74</v>
      </c>
      <c r="C22" s="16" t="s">
        <v>75</v>
      </c>
    </row>
    <row r="23" spans="2:3" ht="41.4" x14ac:dyDescent="0.25">
      <c r="B23" s="59" t="s">
        <v>76</v>
      </c>
      <c r="C23" s="16" t="s">
        <v>77</v>
      </c>
    </row>
    <row r="24" spans="2:3" ht="69" x14ac:dyDescent="0.25">
      <c r="B24" s="59" t="s">
        <v>78</v>
      </c>
      <c r="C24" s="16" t="s">
        <v>79</v>
      </c>
    </row>
    <row r="25" spans="2:3" ht="27.6" x14ac:dyDescent="0.25">
      <c r="B25" s="59" t="s">
        <v>80</v>
      </c>
      <c r="C25" s="16" t="s">
        <v>81</v>
      </c>
    </row>
    <row r="26" spans="2:3" ht="27.6" x14ac:dyDescent="0.25">
      <c r="B26" s="60" t="s">
        <v>82</v>
      </c>
      <c r="C26" s="56" t="s">
        <v>83</v>
      </c>
    </row>
    <row r="27" spans="2:3" ht="27.6" x14ac:dyDescent="0.25">
      <c r="B27" s="60" t="s">
        <v>84</v>
      </c>
      <c r="C27" s="56" t="s">
        <v>85</v>
      </c>
    </row>
    <row r="28" spans="2:3" ht="41.4" x14ac:dyDescent="0.25">
      <c r="B28" s="60" t="s">
        <v>27</v>
      </c>
      <c r="C28" s="56" t="s">
        <v>86</v>
      </c>
    </row>
    <row r="29" spans="2:3" ht="27.6" x14ac:dyDescent="0.25">
      <c r="B29" s="59" t="s">
        <v>87</v>
      </c>
      <c r="C29" s="16" t="s">
        <v>88</v>
      </c>
    </row>
    <row r="30" spans="2:3" ht="27.6" x14ac:dyDescent="0.25">
      <c r="B30" s="59" t="s">
        <v>89</v>
      </c>
      <c r="C30" s="16" t="s">
        <v>90</v>
      </c>
    </row>
    <row r="31" spans="2:3" ht="27.6" x14ac:dyDescent="0.25">
      <c r="B31" s="59" t="s">
        <v>91</v>
      </c>
      <c r="C31" s="16" t="s">
        <v>92</v>
      </c>
    </row>
    <row r="32" spans="2:3" ht="41.4" x14ac:dyDescent="0.25">
      <c r="B32" s="59" t="s">
        <v>93</v>
      </c>
      <c r="C32" s="16" t="s">
        <v>94</v>
      </c>
    </row>
    <row r="33" spans="2:3" ht="27.6" x14ac:dyDescent="0.25">
      <c r="B33" s="59" t="s">
        <v>95</v>
      </c>
      <c r="C33" s="16" t="s">
        <v>96</v>
      </c>
    </row>
    <row r="34" spans="2:3" ht="27.6" x14ac:dyDescent="0.25">
      <c r="B34" s="59" t="s">
        <v>97</v>
      </c>
      <c r="C34" s="16" t="s">
        <v>98</v>
      </c>
    </row>
    <row r="35" spans="2:3" ht="27.6" x14ac:dyDescent="0.25">
      <c r="B35" s="59" t="s">
        <v>99</v>
      </c>
      <c r="C35" s="16" t="s">
        <v>100</v>
      </c>
    </row>
    <row r="36" spans="2:3" ht="41.4" x14ac:dyDescent="0.25">
      <c r="B36" s="59" t="s">
        <v>101</v>
      </c>
      <c r="C36" s="16" t="s">
        <v>102</v>
      </c>
    </row>
    <row r="37" spans="2:3" ht="41.4" x14ac:dyDescent="0.25">
      <c r="B37" s="59" t="s">
        <v>103</v>
      </c>
      <c r="C37" s="16" t="s">
        <v>104</v>
      </c>
    </row>
    <row r="38" spans="2:3" ht="41.4" x14ac:dyDescent="0.25">
      <c r="B38" s="60" t="s">
        <v>105</v>
      </c>
      <c r="C38" s="56" t="s">
        <v>106</v>
      </c>
    </row>
    <row r="39" spans="2:3" ht="82.5" customHeight="1" x14ac:dyDescent="0.25">
      <c r="B39" s="60" t="s">
        <v>107</v>
      </c>
      <c r="C39" s="56" t="s">
        <v>108</v>
      </c>
    </row>
  </sheetData>
  <sortState xmlns:xlrd2="http://schemas.microsoft.com/office/spreadsheetml/2017/richdata2" ref="B5:C37">
    <sortCondition ref="B5:B37"/>
  </sortState>
  <mergeCells count="1">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3:O254"/>
  <sheetViews>
    <sheetView showGridLines="0" topLeftCell="A16" zoomScale="60" zoomScaleNormal="60" workbookViewId="0">
      <selection activeCell="A16" sqref="A16"/>
    </sheetView>
  </sheetViews>
  <sheetFormatPr baseColWidth="10" defaultColWidth="3.109375" defaultRowHeight="13.8" x14ac:dyDescent="0.25"/>
  <cols>
    <col min="1" max="1" width="4.33203125" style="9" customWidth="1"/>
    <col min="2" max="2" width="5.33203125" style="9" customWidth="1"/>
    <col min="3" max="3" width="32" style="9" customWidth="1"/>
    <col min="4" max="4" width="12.44140625" style="9" customWidth="1"/>
    <col min="5" max="5" width="71.33203125" style="9" customWidth="1"/>
    <col min="6" max="6" width="6.88671875" style="9" customWidth="1"/>
    <col min="7" max="7" width="5.88671875" style="9" customWidth="1"/>
    <col min="8" max="8" width="40" style="127" customWidth="1"/>
    <col min="9" max="9" width="105.5546875" style="9" customWidth="1"/>
    <col min="10" max="10" width="7.44140625" style="9" customWidth="1"/>
    <col min="11" max="11" width="19" style="9" customWidth="1"/>
    <col min="12" max="12" width="3.109375" style="27" customWidth="1"/>
    <col min="13" max="13" width="25.88671875" style="249" hidden="1" customWidth="1"/>
    <col min="14" max="14" width="12.33203125" style="52" customWidth="1"/>
    <col min="15" max="15" width="12.33203125" style="77" customWidth="1"/>
    <col min="16" max="16364" width="3.109375" style="9" customWidth="1"/>
    <col min="16365" max="16384" width="3.109375" style="9"/>
  </cols>
  <sheetData>
    <row r="13" spans="5:10" x14ac:dyDescent="0.25">
      <c r="E13" s="493"/>
      <c r="F13" s="494"/>
      <c r="G13" s="494"/>
      <c r="H13" s="494"/>
      <c r="I13" s="494"/>
      <c r="J13" s="494"/>
    </row>
    <row r="14" spans="5:10" x14ac:dyDescent="0.25">
      <c r="E14" s="493"/>
      <c r="F14" s="494"/>
      <c r="G14" s="494"/>
      <c r="H14" s="494"/>
      <c r="I14" s="494"/>
      <c r="J14" s="494"/>
    </row>
    <row r="15" spans="5:10" x14ac:dyDescent="0.25">
      <c r="E15" s="34"/>
      <c r="F15" s="495"/>
      <c r="G15" s="495"/>
      <c r="H15" s="495"/>
      <c r="I15" s="495"/>
      <c r="J15" s="495"/>
    </row>
    <row r="18" spans="1:15" ht="18" x14ac:dyDescent="0.25">
      <c r="C18" s="431" t="s">
        <v>109</v>
      </c>
      <c r="D18" s="431"/>
      <c r="E18" s="431"/>
      <c r="F18" s="431"/>
      <c r="G18" s="431"/>
      <c r="H18" s="431"/>
      <c r="I18" s="431"/>
      <c r="J18" s="431"/>
      <c r="K18" s="431"/>
    </row>
    <row r="19" spans="1:15" ht="15.6" x14ac:dyDescent="0.25">
      <c r="C19" s="432" t="s">
        <v>110</v>
      </c>
      <c r="D19" s="432"/>
      <c r="E19" s="432"/>
      <c r="F19" s="432"/>
      <c r="G19" s="432"/>
      <c r="H19" s="432"/>
      <c r="I19" s="432"/>
      <c r="J19" s="432"/>
      <c r="K19" s="432"/>
    </row>
    <row r="20" spans="1:15" ht="14.4" thickBot="1" x14ac:dyDescent="0.3">
      <c r="B20" s="10"/>
      <c r="C20" s="10"/>
      <c r="D20" s="10"/>
      <c r="F20" s="11"/>
    </row>
    <row r="21" spans="1:15" x14ac:dyDescent="0.25">
      <c r="B21" s="519" t="s">
        <v>111</v>
      </c>
      <c r="C21" s="424" t="s">
        <v>112</v>
      </c>
      <c r="D21" s="426" t="s">
        <v>113</v>
      </c>
      <c r="E21" s="430" t="s">
        <v>114</v>
      </c>
      <c r="F21" s="428" t="s">
        <v>115</v>
      </c>
      <c r="G21" s="500" t="s">
        <v>116</v>
      </c>
      <c r="H21" s="501"/>
      <c r="I21" s="502"/>
      <c r="J21" s="428" t="s">
        <v>117</v>
      </c>
      <c r="K21" s="428" t="s">
        <v>118</v>
      </c>
      <c r="L21" s="531"/>
      <c r="M21" s="536"/>
      <c r="N21" s="553"/>
      <c r="O21" s="539"/>
    </row>
    <row r="22" spans="1:15" x14ac:dyDescent="0.25">
      <c r="B22" s="519"/>
      <c r="C22" s="424"/>
      <c r="D22" s="427"/>
      <c r="E22" s="427"/>
      <c r="F22" s="428"/>
      <c r="G22" s="496" t="s">
        <v>13</v>
      </c>
      <c r="H22" s="498" t="s">
        <v>15</v>
      </c>
      <c r="I22" s="503" t="s">
        <v>119</v>
      </c>
      <c r="J22" s="428"/>
      <c r="K22" s="428"/>
      <c r="L22" s="531"/>
      <c r="M22" s="536"/>
      <c r="N22" s="553"/>
      <c r="O22" s="539"/>
    </row>
    <row r="23" spans="1:15" ht="86.25" customHeight="1" x14ac:dyDescent="0.25">
      <c r="B23" s="520"/>
      <c r="C23" s="425"/>
      <c r="D23" s="427"/>
      <c r="E23" s="427"/>
      <c r="F23" s="429"/>
      <c r="G23" s="497"/>
      <c r="H23" s="499"/>
      <c r="I23" s="504"/>
      <c r="J23" s="429"/>
      <c r="K23" s="429"/>
      <c r="L23" s="531"/>
      <c r="M23" s="536"/>
      <c r="N23" s="553"/>
      <c r="O23" s="539"/>
    </row>
    <row r="24" spans="1:15" ht="55.2" x14ac:dyDescent="0.25">
      <c r="A24" s="390" t="s">
        <v>120</v>
      </c>
      <c r="B24" s="518" t="str">
        <f>+LEFT(C24,3)</f>
        <v xml:space="preserve"> Ap</v>
      </c>
      <c r="C24" s="460" t="s">
        <v>121</v>
      </c>
      <c r="D24" s="460" t="s">
        <v>122</v>
      </c>
      <c r="E24" s="460" t="s">
        <v>123</v>
      </c>
      <c r="F24" s="456">
        <v>3</v>
      </c>
      <c r="G24" s="67">
        <v>1</v>
      </c>
      <c r="H24" s="128" t="s">
        <v>124</v>
      </c>
      <c r="I24" s="505" t="s">
        <v>125</v>
      </c>
      <c r="J24" s="456">
        <v>3</v>
      </c>
      <c r="K24" s="512"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532"/>
      <c r="M24" s="535"/>
      <c r="N24" s="552"/>
      <c r="O24" s="538"/>
    </row>
    <row r="25" spans="1:15" ht="55.2" x14ac:dyDescent="0.25">
      <c r="A25" s="390"/>
      <c r="B25" s="518"/>
      <c r="C25" s="460"/>
      <c r="D25" s="460"/>
      <c r="E25" s="460"/>
      <c r="F25" s="456"/>
      <c r="G25" s="67">
        <v>2</v>
      </c>
      <c r="H25" s="128" t="s">
        <v>126</v>
      </c>
      <c r="I25" s="505"/>
      <c r="J25" s="456"/>
      <c r="K25" s="512"/>
      <c r="L25" s="532"/>
      <c r="M25" s="535"/>
      <c r="N25" s="552"/>
      <c r="O25" s="538"/>
    </row>
    <row r="26" spans="1:15" ht="41.4" x14ac:dyDescent="0.25">
      <c r="A26" s="390"/>
      <c r="B26" s="518"/>
      <c r="C26" s="460"/>
      <c r="D26" s="460"/>
      <c r="E26" s="460"/>
      <c r="F26" s="456"/>
      <c r="G26" s="67">
        <v>3</v>
      </c>
      <c r="H26" s="128" t="s">
        <v>127</v>
      </c>
      <c r="I26" s="505"/>
      <c r="J26" s="456"/>
      <c r="K26" s="512"/>
      <c r="L26" s="532"/>
      <c r="M26" s="535"/>
      <c r="N26" s="552"/>
      <c r="O26" s="538"/>
    </row>
    <row r="27" spans="1:15" x14ac:dyDescent="0.25">
      <c r="A27" s="390"/>
      <c r="B27" s="518"/>
      <c r="C27" s="460"/>
      <c r="D27" s="460"/>
      <c r="E27" s="460"/>
      <c r="F27" s="456"/>
      <c r="G27" s="67"/>
      <c r="H27" s="129"/>
      <c r="I27" s="505"/>
      <c r="J27" s="456"/>
      <c r="K27" s="512"/>
      <c r="L27" s="532"/>
      <c r="M27" s="535"/>
      <c r="N27" s="552"/>
      <c r="O27" s="538"/>
    </row>
    <row r="28" spans="1:15" x14ac:dyDescent="0.25">
      <c r="A28" s="390"/>
      <c r="B28" s="518"/>
      <c r="C28" s="460"/>
      <c r="D28" s="460"/>
      <c r="E28" s="460"/>
      <c r="F28" s="456"/>
      <c r="G28" s="67"/>
      <c r="H28" s="129"/>
      <c r="I28" s="505"/>
      <c r="J28" s="456"/>
      <c r="K28" s="512"/>
      <c r="L28" s="532"/>
      <c r="M28" s="535"/>
      <c r="N28" s="552"/>
      <c r="O28" s="538"/>
    </row>
    <row r="29" spans="1:15" x14ac:dyDescent="0.25">
      <c r="A29" s="390"/>
      <c r="B29" s="518"/>
      <c r="C29" s="460"/>
      <c r="D29" s="460"/>
      <c r="E29" s="460"/>
      <c r="F29" s="456"/>
      <c r="G29" s="67"/>
      <c r="H29" s="129"/>
      <c r="I29" s="505"/>
      <c r="J29" s="456"/>
      <c r="K29" s="512"/>
      <c r="L29" s="532"/>
      <c r="M29" s="535"/>
      <c r="N29" s="552"/>
      <c r="O29" s="538"/>
    </row>
    <row r="30" spans="1:15" x14ac:dyDescent="0.25">
      <c r="A30" s="390"/>
      <c r="B30" s="518"/>
      <c r="C30" s="460"/>
      <c r="D30" s="460"/>
      <c r="E30" s="460"/>
      <c r="F30" s="456"/>
      <c r="G30" s="67"/>
      <c r="H30" s="129"/>
      <c r="I30" s="505"/>
      <c r="J30" s="456"/>
      <c r="K30" s="512"/>
      <c r="L30" s="532"/>
      <c r="M30" s="535"/>
      <c r="N30" s="552"/>
      <c r="O30" s="538"/>
    </row>
    <row r="31" spans="1:15" ht="14.4" thickBot="1" x14ac:dyDescent="0.3">
      <c r="A31" s="390"/>
      <c r="B31" s="518"/>
      <c r="C31" s="460"/>
      <c r="D31" s="460"/>
      <c r="E31" s="460"/>
      <c r="F31" s="456"/>
      <c r="G31" s="236"/>
      <c r="H31" s="235"/>
      <c r="I31" s="505"/>
      <c r="J31" s="456"/>
      <c r="K31" s="512"/>
      <c r="L31" s="532"/>
      <c r="M31" s="535"/>
      <c r="N31" s="552"/>
      <c r="O31" s="538"/>
    </row>
    <row r="32" spans="1:15" x14ac:dyDescent="0.25">
      <c r="A32" s="13"/>
      <c r="B32" s="437" t="str">
        <f>+LEFT(C32,3)</f>
        <v>1.1</v>
      </c>
      <c r="C32" s="437" t="s">
        <v>128</v>
      </c>
      <c r="D32" s="391" t="s">
        <v>122</v>
      </c>
      <c r="E32" s="439" t="s">
        <v>670</v>
      </c>
      <c r="F32" s="442">
        <v>3</v>
      </c>
      <c r="G32" s="137">
        <v>1</v>
      </c>
      <c r="H32" s="143" t="s">
        <v>129</v>
      </c>
      <c r="I32" s="461" t="s">
        <v>671</v>
      </c>
      <c r="J32" s="393">
        <v>3</v>
      </c>
      <c r="K32" s="395"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532">
        <f>+IF(K32="",0,IF(K32="Deficiencia de control mayor (diseño y ejecución)",4,IF(K32="Deficiencia de control (diseño o ejecución)",20,IF(K32="Oportunidad de mejora",40,60))))</f>
        <v>60</v>
      </c>
      <c r="M32" s="535">
        <v>4.5870000000000001E-2</v>
      </c>
      <c r="N32" s="552">
        <f>+L32+M32</f>
        <v>60.045870000000001</v>
      </c>
      <c r="O32" s="538"/>
    </row>
    <row r="33" spans="1:15" x14ac:dyDescent="0.25">
      <c r="A33" s="13"/>
      <c r="B33" s="400"/>
      <c r="C33" s="400"/>
      <c r="D33" s="391"/>
      <c r="E33" s="440"/>
      <c r="F33" s="442"/>
      <c r="G33" s="139">
        <v>2</v>
      </c>
      <c r="H33" s="143" t="s">
        <v>130</v>
      </c>
      <c r="I33" s="462"/>
      <c r="J33" s="393"/>
      <c r="K33" s="396"/>
      <c r="L33" s="532"/>
      <c r="M33" s="535"/>
      <c r="N33" s="552"/>
      <c r="O33" s="538"/>
    </row>
    <row r="34" spans="1:15" x14ac:dyDescent="0.25">
      <c r="A34" s="13"/>
      <c r="B34" s="400"/>
      <c r="C34" s="400"/>
      <c r="D34" s="391"/>
      <c r="E34" s="440"/>
      <c r="F34" s="442"/>
      <c r="G34" s="139">
        <v>3</v>
      </c>
      <c r="H34" s="143" t="s">
        <v>131</v>
      </c>
      <c r="I34" s="462"/>
      <c r="J34" s="393"/>
      <c r="K34" s="396"/>
      <c r="L34" s="532"/>
      <c r="M34" s="535"/>
      <c r="N34" s="552"/>
      <c r="O34" s="538"/>
    </row>
    <row r="35" spans="1:15" x14ac:dyDescent="0.25">
      <c r="A35" s="13"/>
      <c r="B35" s="400"/>
      <c r="C35" s="400"/>
      <c r="D35" s="391"/>
      <c r="E35" s="440"/>
      <c r="F35" s="442"/>
      <c r="G35" s="139">
        <v>4</v>
      </c>
      <c r="H35" s="143" t="s">
        <v>132</v>
      </c>
      <c r="I35" s="462"/>
      <c r="J35" s="393"/>
      <c r="K35" s="396"/>
      <c r="L35" s="532"/>
      <c r="M35" s="535"/>
      <c r="N35" s="552"/>
      <c r="O35" s="538"/>
    </row>
    <row r="36" spans="1:15" x14ac:dyDescent="0.25">
      <c r="A36" s="13"/>
      <c r="B36" s="400"/>
      <c r="C36" s="400"/>
      <c r="D36" s="391"/>
      <c r="E36" s="440"/>
      <c r="F36" s="442"/>
      <c r="G36" s="139">
        <v>5</v>
      </c>
      <c r="H36" s="143" t="s">
        <v>133</v>
      </c>
      <c r="I36" s="462"/>
      <c r="J36" s="393"/>
      <c r="K36" s="396"/>
      <c r="L36" s="532"/>
      <c r="M36" s="535"/>
      <c r="N36" s="552"/>
      <c r="O36" s="538"/>
    </row>
    <row r="37" spans="1:15" ht="14.25" customHeight="1" x14ac:dyDescent="0.25">
      <c r="A37" s="13"/>
      <c r="B37" s="400"/>
      <c r="C37" s="400"/>
      <c r="D37" s="391"/>
      <c r="E37" s="440"/>
      <c r="F37" s="442"/>
      <c r="G37" s="139">
        <v>6</v>
      </c>
      <c r="H37" s="197" t="s">
        <v>669</v>
      </c>
      <c r="I37" s="462"/>
      <c r="J37" s="393"/>
      <c r="K37" s="396"/>
      <c r="L37" s="532"/>
      <c r="M37" s="535"/>
      <c r="N37" s="552"/>
      <c r="O37" s="538"/>
    </row>
    <row r="38" spans="1:15" x14ac:dyDescent="0.25">
      <c r="A38" s="13"/>
      <c r="B38" s="400"/>
      <c r="C38" s="400"/>
      <c r="D38" s="391"/>
      <c r="E38" s="440"/>
      <c r="F38" s="443"/>
      <c r="G38" s="137"/>
      <c r="H38" s="218"/>
      <c r="I38" s="462"/>
      <c r="J38" s="393"/>
      <c r="K38" s="396"/>
      <c r="L38" s="532"/>
      <c r="M38" s="535"/>
      <c r="N38" s="552"/>
      <c r="O38" s="538"/>
    </row>
    <row r="39" spans="1:15" x14ac:dyDescent="0.25">
      <c r="A39" s="13"/>
      <c r="B39" s="438"/>
      <c r="C39" s="438"/>
      <c r="D39" s="391"/>
      <c r="E39" s="440"/>
      <c r="F39" s="443"/>
      <c r="G39" s="198"/>
      <c r="H39" s="140"/>
      <c r="I39" s="462"/>
      <c r="J39" s="393"/>
      <c r="K39" s="397"/>
      <c r="L39" s="532"/>
      <c r="M39" s="535"/>
      <c r="N39" s="552"/>
      <c r="O39" s="538"/>
    </row>
    <row r="40" spans="1:15" ht="132.75" customHeight="1" thickBot="1" x14ac:dyDescent="0.3">
      <c r="A40" s="13"/>
      <c r="B40" s="401"/>
      <c r="C40" s="401"/>
      <c r="D40" s="392"/>
      <c r="E40" s="441"/>
      <c r="F40" s="444"/>
      <c r="G40" s="141"/>
      <c r="H40" s="210"/>
      <c r="I40" s="463"/>
      <c r="J40" s="394"/>
      <c r="K40" s="398"/>
      <c r="L40" s="532"/>
      <c r="M40" s="535"/>
      <c r="N40" s="552"/>
      <c r="O40" s="538"/>
    </row>
    <row r="41" spans="1:15" ht="40.200000000000003" thickBot="1" x14ac:dyDescent="0.3">
      <c r="A41" s="13"/>
      <c r="B41" s="399" t="str">
        <f>+LEFT(C41,3)</f>
        <v>1.2</v>
      </c>
      <c r="C41" s="399" t="s">
        <v>134</v>
      </c>
      <c r="D41" s="457" t="s">
        <v>122</v>
      </c>
      <c r="E41" s="440" t="s">
        <v>674</v>
      </c>
      <c r="F41" s="434">
        <v>3</v>
      </c>
      <c r="G41" s="137">
        <v>1</v>
      </c>
      <c r="H41" s="138" t="s">
        <v>672</v>
      </c>
      <c r="I41" s="363" t="s">
        <v>675</v>
      </c>
      <c r="J41" s="412">
        <v>3</v>
      </c>
      <c r="K41" s="513" t="str">
        <f>+IF(OR(ISBLANK(F41),ISBLANK(J41)),"",IF(OR(AND(F41=1,J41=1),AND(F41=1,J41=2),AND(F41=1,J41=3)),"Deficiencia de control mayor (diseño y ejecución)",IF(OR(AND(F41=2,J41=2),AND(F41=3,J41=1),AND(F41=3,J41=2),AND(F41=2,J41=1)),"Deficiencia de control (diseño o ejecución)",IF(AND(F41=2,J41=3),"Oportunidad de mejora","Mantenimiento del control"))))</f>
        <v>Mantenimiento del control</v>
      </c>
      <c r="L41" s="532">
        <f>+IF(K41="",0,IF(K41="Deficiencia de control mayor (diseño y ejecución)",4,IF(K41="Deficiencia de control (diseño o ejecución)",20,IF(K41="Oportunidad de mejora",40,60))))</f>
        <v>60</v>
      </c>
      <c r="M41" s="535">
        <v>5.5690000000000003E-2</v>
      </c>
      <c r="N41" s="552">
        <f>+L41+M41</f>
        <v>60.055689999999998</v>
      </c>
      <c r="O41" s="538"/>
    </row>
    <row r="42" spans="1:15" ht="39.6" x14ac:dyDescent="0.25">
      <c r="A42" s="13"/>
      <c r="B42" s="400"/>
      <c r="C42" s="400"/>
      <c r="D42" s="458"/>
      <c r="E42" s="440"/>
      <c r="F42" s="435"/>
      <c r="G42" s="139">
        <v>2</v>
      </c>
      <c r="H42" s="138" t="s">
        <v>673</v>
      </c>
      <c r="I42" s="506"/>
      <c r="J42" s="413"/>
      <c r="K42" s="396"/>
      <c r="L42" s="532"/>
      <c r="M42" s="535"/>
      <c r="N42" s="552"/>
      <c r="O42" s="538"/>
    </row>
    <row r="43" spans="1:15" ht="26.4" x14ac:dyDescent="0.25">
      <c r="A43" s="13"/>
      <c r="B43" s="400"/>
      <c r="C43" s="400"/>
      <c r="D43" s="458"/>
      <c r="E43" s="440"/>
      <c r="F43" s="435"/>
      <c r="G43" s="139" t="s">
        <v>135</v>
      </c>
      <c r="H43" s="217" t="s">
        <v>676</v>
      </c>
      <c r="I43" s="506"/>
      <c r="J43" s="413"/>
      <c r="K43" s="396"/>
      <c r="L43" s="532"/>
      <c r="M43" s="535"/>
      <c r="N43" s="552"/>
      <c r="O43" s="538"/>
    </row>
    <row r="44" spans="1:15" ht="26.4" x14ac:dyDescent="0.25">
      <c r="A44" s="13"/>
      <c r="B44" s="400"/>
      <c r="C44" s="400"/>
      <c r="D44" s="458"/>
      <c r="E44" s="440"/>
      <c r="F44" s="435"/>
      <c r="G44" s="139"/>
      <c r="H44" s="143" t="s">
        <v>677</v>
      </c>
      <c r="I44" s="506"/>
      <c r="J44" s="413"/>
      <c r="K44" s="396"/>
      <c r="L44" s="532"/>
      <c r="M44" s="535"/>
      <c r="N44" s="552"/>
      <c r="O44" s="538"/>
    </row>
    <row r="45" spans="1:15" x14ac:dyDescent="0.25">
      <c r="A45" s="13"/>
      <c r="B45" s="400"/>
      <c r="C45" s="400"/>
      <c r="D45" s="458"/>
      <c r="E45" s="440"/>
      <c r="F45" s="435"/>
      <c r="G45" s="139"/>
      <c r="H45" s="143"/>
      <c r="I45" s="506"/>
      <c r="J45" s="413"/>
      <c r="K45" s="396"/>
      <c r="L45" s="532"/>
      <c r="M45" s="535"/>
      <c r="N45" s="552"/>
      <c r="O45" s="538"/>
    </row>
    <row r="46" spans="1:15" x14ac:dyDescent="0.25">
      <c r="A46" s="13"/>
      <c r="B46" s="400"/>
      <c r="C46" s="400"/>
      <c r="D46" s="458"/>
      <c r="E46" s="440"/>
      <c r="F46" s="435"/>
      <c r="G46" s="139"/>
      <c r="H46" s="143"/>
      <c r="I46" s="506"/>
      <c r="J46" s="413"/>
      <c r="K46" s="396"/>
      <c r="L46" s="532"/>
      <c r="M46" s="535"/>
      <c r="N46" s="552"/>
      <c r="O46" s="538"/>
    </row>
    <row r="47" spans="1:15" x14ac:dyDescent="0.25">
      <c r="A47" s="13"/>
      <c r="B47" s="400"/>
      <c r="C47" s="400"/>
      <c r="D47" s="458"/>
      <c r="E47" s="440"/>
      <c r="F47" s="435"/>
      <c r="G47" s="139"/>
      <c r="H47" s="143"/>
      <c r="I47" s="506"/>
      <c r="J47" s="413"/>
      <c r="K47" s="396"/>
      <c r="L47" s="532"/>
      <c r="M47" s="535"/>
      <c r="N47" s="552"/>
      <c r="O47" s="538"/>
    </row>
    <row r="48" spans="1:15" x14ac:dyDescent="0.25">
      <c r="A48" s="13"/>
      <c r="B48" s="400"/>
      <c r="C48" s="400"/>
      <c r="D48" s="458"/>
      <c r="E48" s="440"/>
      <c r="F48" s="435"/>
      <c r="G48" s="139"/>
      <c r="H48" s="196"/>
      <c r="I48" s="506"/>
      <c r="J48" s="413"/>
      <c r="K48" s="396"/>
      <c r="L48" s="532"/>
      <c r="M48" s="535"/>
      <c r="N48" s="552"/>
      <c r="O48" s="538"/>
    </row>
    <row r="49" spans="1:15" ht="14.4" thickBot="1" x14ac:dyDescent="0.3">
      <c r="A49" s="13"/>
      <c r="B49" s="401"/>
      <c r="C49" s="401"/>
      <c r="D49" s="459"/>
      <c r="E49" s="441"/>
      <c r="F49" s="436"/>
      <c r="G49" s="144"/>
      <c r="H49" s="142"/>
      <c r="I49" s="507"/>
      <c r="J49" s="414"/>
      <c r="K49" s="398"/>
      <c r="L49" s="532"/>
      <c r="M49" s="535"/>
      <c r="N49" s="552"/>
      <c r="O49" s="538"/>
    </row>
    <row r="50" spans="1:15" s="13" customFormat="1" ht="52.8" x14ac:dyDescent="0.25">
      <c r="B50" s="521" t="str">
        <f>+LEFT(C50,3)</f>
        <v>1.3</v>
      </c>
      <c r="C50" s="399" t="s">
        <v>136</v>
      </c>
      <c r="D50" s="433" t="s">
        <v>137</v>
      </c>
      <c r="E50" s="421" t="s">
        <v>679</v>
      </c>
      <c r="F50" s="434">
        <v>3</v>
      </c>
      <c r="G50" s="146">
        <v>1</v>
      </c>
      <c r="H50" s="207" t="s">
        <v>138</v>
      </c>
      <c r="I50" s="370" t="s">
        <v>681</v>
      </c>
      <c r="J50" s="412">
        <v>3</v>
      </c>
      <c r="K50" s="513" t="str">
        <f>+IF(OR(ISBLANK(F50),ISBLANK(J50)),"",IF(OR(AND(F50=1,J50=1),AND(F50=1,J50=2),AND(F50=1,J50=3)),"Deficiencia de control mayor (diseño y ejecución)",IF(OR(AND(F50=2,J50=2),AND(F50=3,J50=1),AND(F50=3,J50=2),AND(F50=2,J50=1)),"Deficiencia de control (diseño o ejecución)",IF(AND(F50=2,J50=3),"Oportunidad de mejora","Mantenimiento del control"))))</f>
        <v>Mantenimiento del control</v>
      </c>
      <c r="L50" s="533">
        <f>+IF(K50="",0,IF(K50="Deficiencia de control mayor (diseño y ejecución)",4,IF(K50="Deficiencia de control (diseño o ejecución)",20,IF(K50="Oportunidad de mejora",40,60))))</f>
        <v>60</v>
      </c>
      <c r="M50" s="535">
        <v>6.6895999999999997E-2</v>
      </c>
      <c r="N50" s="554">
        <f>+L50+M50</f>
        <v>60.066896</v>
      </c>
      <c r="O50" s="556"/>
    </row>
    <row r="51" spans="1:15" s="13" customFormat="1" ht="52.8" x14ac:dyDescent="0.25">
      <c r="B51" s="522"/>
      <c r="C51" s="400"/>
      <c r="D51" s="391"/>
      <c r="E51" s="422"/>
      <c r="F51" s="435"/>
      <c r="G51" s="139">
        <v>2</v>
      </c>
      <c r="H51" s="143" t="s">
        <v>139</v>
      </c>
      <c r="I51" s="372"/>
      <c r="J51" s="413"/>
      <c r="K51" s="396"/>
      <c r="L51" s="533"/>
      <c r="M51" s="535"/>
      <c r="N51" s="554"/>
      <c r="O51" s="556"/>
    </row>
    <row r="52" spans="1:15" s="13" customFormat="1" ht="40.200000000000003" thickBot="1" x14ac:dyDescent="0.3">
      <c r="B52" s="522"/>
      <c r="C52" s="400"/>
      <c r="D52" s="391"/>
      <c r="E52" s="422"/>
      <c r="F52" s="435"/>
      <c r="G52" s="139">
        <v>3</v>
      </c>
      <c r="H52" s="196" t="s">
        <v>140</v>
      </c>
      <c r="I52" s="372"/>
      <c r="J52" s="413"/>
      <c r="K52" s="396"/>
      <c r="L52" s="533"/>
      <c r="M52" s="535"/>
      <c r="N52" s="554"/>
      <c r="O52" s="556"/>
    </row>
    <row r="53" spans="1:15" s="13" customFormat="1" ht="52.8" x14ac:dyDescent="0.25">
      <c r="B53" s="522"/>
      <c r="C53" s="400"/>
      <c r="D53" s="391"/>
      <c r="E53" s="422"/>
      <c r="F53" s="435"/>
      <c r="G53" s="139">
        <v>4</v>
      </c>
      <c r="H53" s="138" t="s">
        <v>678</v>
      </c>
      <c r="I53" s="372"/>
      <c r="J53" s="413"/>
      <c r="K53" s="396"/>
      <c r="L53" s="533"/>
      <c r="M53" s="535"/>
      <c r="N53" s="554"/>
      <c r="O53" s="556"/>
    </row>
    <row r="54" spans="1:15" s="13" customFormat="1" x14ac:dyDescent="0.25">
      <c r="B54" s="522"/>
      <c r="C54" s="400"/>
      <c r="D54" s="391"/>
      <c r="E54" s="422"/>
      <c r="F54" s="435"/>
      <c r="G54" s="139">
        <v>5</v>
      </c>
      <c r="H54" s="197" t="s">
        <v>680</v>
      </c>
      <c r="I54" s="372"/>
      <c r="J54" s="413"/>
      <c r="K54" s="396"/>
      <c r="L54" s="533"/>
      <c r="M54" s="535"/>
      <c r="N54" s="554"/>
      <c r="O54" s="556"/>
    </row>
    <row r="55" spans="1:15" s="13" customFormat="1" x14ac:dyDescent="0.25">
      <c r="B55" s="522"/>
      <c r="C55" s="400"/>
      <c r="D55" s="391"/>
      <c r="E55" s="422"/>
      <c r="F55" s="435"/>
      <c r="G55" s="139"/>
      <c r="H55" s="142"/>
      <c r="I55" s="372"/>
      <c r="J55" s="413"/>
      <c r="K55" s="396"/>
      <c r="L55" s="533"/>
      <c r="M55" s="535"/>
      <c r="N55" s="554"/>
      <c r="O55" s="556"/>
    </row>
    <row r="56" spans="1:15" s="13" customFormat="1" x14ac:dyDescent="0.25">
      <c r="B56" s="522"/>
      <c r="C56" s="400"/>
      <c r="D56" s="391"/>
      <c r="E56" s="422"/>
      <c r="F56" s="435"/>
      <c r="G56" s="139"/>
      <c r="H56" s="142"/>
      <c r="I56" s="372"/>
      <c r="J56" s="413"/>
      <c r="K56" s="396"/>
      <c r="L56" s="533"/>
      <c r="M56" s="535"/>
      <c r="N56" s="554"/>
      <c r="O56" s="556"/>
    </row>
    <row r="57" spans="1:15" s="13" customFormat="1" ht="138" customHeight="1" thickBot="1" x14ac:dyDescent="0.3">
      <c r="B57" s="523"/>
      <c r="C57" s="401"/>
      <c r="D57" s="392"/>
      <c r="E57" s="423"/>
      <c r="F57" s="436"/>
      <c r="G57" s="144"/>
      <c r="H57" s="145"/>
      <c r="I57" s="373"/>
      <c r="J57" s="414"/>
      <c r="K57" s="398"/>
      <c r="L57" s="533"/>
      <c r="M57" s="535"/>
      <c r="N57" s="554"/>
      <c r="O57" s="556"/>
    </row>
    <row r="58" spans="1:15" ht="26.4" x14ac:dyDescent="0.25">
      <c r="A58" s="13"/>
      <c r="B58" s="399" t="str">
        <f>+LEFT(C58,3)</f>
        <v>1.4</v>
      </c>
      <c r="C58" s="542" t="s">
        <v>143</v>
      </c>
      <c r="D58" s="406" t="s">
        <v>144</v>
      </c>
      <c r="E58" s="377" t="s">
        <v>682</v>
      </c>
      <c r="F58" s="434">
        <v>3</v>
      </c>
      <c r="G58" s="146">
        <v>1</v>
      </c>
      <c r="H58" s="138" t="s">
        <v>683</v>
      </c>
      <c r="I58" s="363" t="s">
        <v>687</v>
      </c>
      <c r="J58" s="402">
        <v>2</v>
      </c>
      <c r="K58" s="545" t="str">
        <f>+IF(OR(ISBLANK(F58),ISBLANK(J58)),"",IF(OR(AND(F58=1,J58=1),AND(F58=1,J58=2),AND(F58=1,J58=3)),"Deficiencia de control mayor (diseño y ejecución)",IF(OR(AND(F58=2,J58=2),AND(F58=3,J58=1),AND(F58=3,J58=2),AND(F58=2,J58=1)),"Deficiencia de control (diseño o ejecución)",IF(AND(F58=2,J58=3),"Oportunidad de mejora","Mantenimiento del control"))))</f>
        <v>Deficiencia de control (diseño o ejecución)</v>
      </c>
      <c r="L58" s="532">
        <f>+IF(K58="",0,IF(K58="Deficiencia de control mayor (diseño y ejecución)",4,IF(K58="Deficiencia de control (diseño o ejecución)",20,IF(K58="Oportunidad de mejora",40,60))))</f>
        <v>20</v>
      </c>
      <c r="M58" s="535">
        <v>6.6909999999999997E-2</v>
      </c>
      <c r="N58" s="555">
        <f>+L58+M58</f>
        <v>20.06691</v>
      </c>
      <c r="O58" s="389"/>
    </row>
    <row r="59" spans="1:15" ht="26.4" x14ac:dyDescent="0.25">
      <c r="A59" s="13"/>
      <c r="B59" s="400"/>
      <c r="C59" s="543"/>
      <c r="D59" s="407"/>
      <c r="E59" s="440"/>
      <c r="F59" s="435"/>
      <c r="G59" s="139">
        <v>2</v>
      </c>
      <c r="H59" s="143" t="s">
        <v>684</v>
      </c>
      <c r="I59" s="364"/>
      <c r="J59" s="393"/>
      <c r="K59" s="546"/>
      <c r="L59" s="532"/>
      <c r="M59" s="535"/>
      <c r="N59" s="555"/>
      <c r="O59" s="389"/>
    </row>
    <row r="60" spans="1:15" x14ac:dyDescent="0.25">
      <c r="A60" s="13"/>
      <c r="B60" s="400"/>
      <c r="C60" s="543"/>
      <c r="D60" s="407"/>
      <c r="E60" s="440"/>
      <c r="F60" s="435"/>
      <c r="G60" s="139">
        <v>3</v>
      </c>
      <c r="H60" s="217"/>
      <c r="I60" s="364"/>
      <c r="J60" s="393"/>
      <c r="K60" s="546"/>
      <c r="L60" s="532"/>
      <c r="M60" s="535"/>
      <c r="N60" s="555"/>
      <c r="O60" s="389"/>
    </row>
    <row r="61" spans="1:15" x14ac:dyDescent="0.25">
      <c r="A61" s="13"/>
      <c r="B61" s="400"/>
      <c r="C61" s="543"/>
      <c r="D61" s="407"/>
      <c r="E61" s="440"/>
      <c r="F61" s="435"/>
      <c r="G61" s="139">
        <v>4</v>
      </c>
      <c r="H61" s="217"/>
      <c r="I61" s="364"/>
      <c r="J61" s="393"/>
      <c r="K61" s="546"/>
      <c r="L61" s="532"/>
      <c r="M61" s="535"/>
      <c r="N61" s="555"/>
      <c r="O61" s="389"/>
    </row>
    <row r="62" spans="1:15" x14ac:dyDescent="0.25">
      <c r="A62" s="13"/>
      <c r="B62" s="400"/>
      <c r="C62" s="543"/>
      <c r="D62" s="407"/>
      <c r="E62" s="440"/>
      <c r="F62" s="435"/>
      <c r="G62" s="139">
        <v>5</v>
      </c>
      <c r="H62" s="217"/>
      <c r="I62" s="364"/>
      <c r="J62" s="393"/>
      <c r="K62" s="546"/>
      <c r="L62" s="532"/>
      <c r="M62" s="535"/>
      <c r="N62" s="555"/>
      <c r="O62" s="389"/>
    </row>
    <row r="63" spans="1:15" x14ac:dyDescent="0.25">
      <c r="A63" s="13"/>
      <c r="B63" s="400"/>
      <c r="C63" s="543"/>
      <c r="D63" s="407"/>
      <c r="E63" s="440"/>
      <c r="F63" s="435"/>
      <c r="G63" s="139">
        <v>6</v>
      </c>
      <c r="H63" s="217"/>
      <c r="I63" s="364"/>
      <c r="J63" s="393"/>
      <c r="K63" s="546"/>
      <c r="L63" s="532"/>
      <c r="M63" s="535"/>
      <c r="N63" s="555"/>
      <c r="O63" s="389"/>
    </row>
    <row r="64" spans="1:15" x14ac:dyDescent="0.25">
      <c r="A64" s="13"/>
      <c r="B64" s="400"/>
      <c r="C64" s="543"/>
      <c r="D64" s="407"/>
      <c r="E64" s="440"/>
      <c r="F64" s="435"/>
      <c r="G64" s="139">
        <v>7</v>
      </c>
      <c r="H64" s="217"/>
      <c r="I64" s="364"/>
      <c r="J64" s="393"/>
      <c r="K64" s="546"/>
      <c r="L64" s="532"/>
      <c r="M64" s="535"/>
      <c r="N64" s="555"/>
      <c r="O64" s="389"/>
    </row>
    <row r="65" spans="1:15" ht="113.25" customHeight="1" thickBot="1" x14ac:dyDescent="0.3">
      <c r="A65" s="13"/>
      <c r="B65" s="401"/>
      <c r="C65" s="544"/>
      <c r="D65" s="408"/>
      <c r="E65" s="441"/>
      <c r="F65" s="436"/>
      <c r="G65" s="144"/>
      <c r="H65" s="239"/>
      <c r="I65" s="380"/>
      <c r="J65" s="394"/>
      <c r="K65" s="547"/>
      <c r="L65" s="532"/>
      <c r="M65" s="535"/>
      <c r="N65" s="555"/>
      <c r="O65" s="389"/>
    </row>
    <row r="66" spans="1:15" ht="26.4" x14ac:dyDescent="0.25">
      <c r="A66" s="13"/>
      <c r="B66" s="521" t="str">
        <f>+LEFT(C66,3)</f>
        <v>1.5</v>
      </c>
      <c r="C66" s="399" t="s">
        <v>146</v>
      </c>
      <c r="D66" s="433" t="s">
        <v>147</v>
      </c>
      <c r="E66" s="421" t="s">
        <v>685</v>
      </c>
      <c r="F66" s="434">
        <v>3</v>
      </c>
      <c r="G66" s="237">
        <v>1</v>
      </c>
      <c r="H66" s="138" t="s">
        <v>686</v>
      </c>
      <c r="I66" s="508" t="s">
        <v>688</v>
      </c>
      <c r="J66" s="412">
        <v>3</v>
      </c>
      <c r="K66" s="513" t="str">
        <f>+IF(OR(ISBLANK(F66),ISBLANK(J66)),"",IF(OR(AND(F66=1,J66=1),AND(F66=1,J66=2),AND(F66=1,J66=3)),"Deficiencia de control mayor (diseño y ejecución)",IF(OR(AND(F66=2,J66=2),AND(F66=3,J66=1),AND(F66=3,J66=2),AND(F66=2,J66=1)),"Deficiencia de control (diseño o ejecución)",IF(AND(F66=2,J66=3),"Oportunidad de mejora","Mantenimiento del control"))))</f>
        <v>Mantenimiento del control</v>
      </c>
      <c r="L66" s="532">
        <f>+IF(K66="",0,IF(K66="Deficiencia de control mayor (diseño y ejecución)",4,IF(K66="Deficiencia de control (diseño o ejecución)",20,IF(K66="Oportunidad de mejora",40,60))))</f>
        <v>60</v>
      </c>
      <c r="M66" s="535">
        <v>6.6909999999999997E-2</v>
      </c>
      <c r="N66" s="552">
        <f>+L66+M66</f>
        <v>60.06691</v>
      </c>
      <c r="O66" s="538"/>
    </row>
    <row r="67" spans="1:15" x14ac:dyDescent="0.25">
      <c r="A67" s="13"/>
      <c r="B67" s="522"/>
      <c r="C67" s="400"/>
      <c r="D67" s="391"/>
      <c r="E67" s="422"/>
      <c r="F67" s="435"/>
      <c r="G67" s="238">
        <v>2</v>
      </c>
      <c r="H67" s="143"/>
      <c r="I67" s="509"/>
      <c r="J67" s="413"/>
      <c r="K67" s="396"/>
      <c r="L67" s="532"/>
      <c r="M67" s="535"/>
      <c r="N67" s="552"/>
      <c r="O67" s="538"/>
    </row>
    <row r="68" spans="1:15" x14ac:dyDescent="0.25">
      <c r="A68" s="13"/>
      <c r="B68" s="522"/>
      <c r="C68" s="400"/>
      <c r="D68" s="391"/>
      <c r="E68" s="422"/>
      <c r="F68" s="435"/>
      <c r="G68" s="238" t="s">
        <v>135</v>
      </c>
      <c r="H68" s="217"/>
      <c r="I68" s="509"/>
      <c r="J68" s="413"/>
      <c r="K68" s="396"/>
      <c r="L68" s="532"/>
      <c r="M68" s="535"/>
      <c r="N68" s="552"/>
      <c r="O68" s="538"/>
    </row>
    <row r="69" spans="1:15" x14ac:dyDescent="0.25">
      <c r="A69" s="13"/>
      <c r="B69" s="522"/>
      <c r="C69" s="400"/>
      <c r="D69" s="391"/>
      <c r="E69" s="422"/>
      <c r="F69" s="435"/>
      <c r="G69" s="238" t="s">
        <v>135</v>
      </c>
      <c r="H69" s="219"/>
      <c r="I69" s="509"/>
      <c r="J69" s="413"/>
      <c r="K69" s="396"/>
      <c r="L69" s="532"/>
      <c r="M69" s="535"/>
      <c r="N69" s="552"/>
      <c r="O69" s="538"/>
    </row>
    <row r="70" spans="1:15" x14ac:dyDescent="0.25">
      <c r="A70" s="13"/>
      <c r="B70" s="522"/>
      <c r="C70" s="400"/>
      <c r="D70" s="391"/>
      <c r="E70" s="422"/>
      <c r="F70" s="435"/>
      <c r="G70" s="238" t="s">
        <v>135</v>
      </c>
      <c r="H70" s="217"/>
      <c r="I70" s="509"/>
      <c r="J70" s="413"/>
      <c r="K70" s="396"/>
      <c r="L70" s="532"/>
      <c r="M70" s="535"/>
      <c r="N70" s="552"/>
      <c r="O70" s="538"/>
    </row>
    <row r="71" spans="1:15" x14ac:dyDescent="0.25">
      <c r="A71" s="13"/>
      <c r="B71" s="522"/>
      <c r="C71" s="400"/>
      <c r="D71" s="391"/>
      <c r="E71" s="422"/>
      <c r="F71" s="435"/>
      <c r="G71" s="238" t="s">
        <v>135</v>
      </c>
      <c r="H71" s="219"/>
      <c r="I71" s="509"/>
      <c r="J71" s="413"/>
      <c r="K71" s="396"/>
      <c r="L71" s="532"/>
      <c r="M71" s="535"/>
      <c r="N71" s="552"/>
      <c r="O71" s="538"/>
    </row>
    <row r="72" spans="1:15" x14ac:dyDescent="0.25">
      <c r="A72" s="13"/>
      <c r="B72" s="522"/>
      <c r="C72" s="400"/>
      <c r="D72" s="391"/>
      <c r="E72" s="422"/>
      <c r="F72" s="435"/>
      <c r="G72" s="238"/>
      <c r="H72" s="196"/>
      <c r="I72" s="509"/>
      <c r="J72" s="413"/>
      <c r="K72" s="396"/>
      <c r="L72" s="532"/>
      <c r="M72" s="535"/>
      <c r="N72" s="552"/>
      <c r="O72" s="538"/>
    </row>
    <row r="73" spans="1:15" ht="59.1" customHeight="1" thickBot="1" x14ac:dyDescent="0.3">
      <c r="A73" s="13"/>
      <c r="B73" s="523"/>
      <c r="C73" s="401"/>
      <c r="D73" s="392"/>
      <c r="E73" s="423"/>
      <c r="F73" s="436"/>
      <c r="G73" s="144"/>
      <c r="H73" s="239"/>
      <c r="I73" s="369"/>
      <c r="J73" s="414"/>
      <c r="K73" s="398"/>
      <c r="L73" s="532"/>
      <c r="M73" s="535"/>
      <c r="N73" s="552"/>
      <c r="O73" s="538"/>
    </row>
    <row r="74" spans="1:15" x14ac:dyDescent="0.25">
      <c r="B74" s="445"/>
      <c r="C74" s="445" t="s">
        <v>148</v>
      </c>
      <c r="D74" s="447" t="s">
        <v>8</v>
      </c>
      <c r="E74" s="464" t="s">
        <v>149</v>
      </c>
      <c r="F74" s="450" t="s">
        <v>150</v>
      </c>
      <c r="G74" s="475" t="s">
        <v>116</v>
      </c>
      <c r="H74" s="476"/>
      <c r="I74" s="477"/>
      <c r="J74" s="450" t="s">
        <v>151</v>
      </c>
      <c r="K74" s="514" t="s">
        <v>152</v>
      </c>
      <c r="L74" s="534"/>
      <c r="M74" s="537"/>
      <c r="N74" s="551"/>
      <c r="O74" s="539"/>
    </row>
    <row r="75" spans="1:15" x14ac:dyDescent="0.25">
      <c r="B75" s="445"/>
      <c r="C75" s="445"/>
      <c r="D75" s="448"/>
      <c r="E75" s="465"/>
      <c r="F75" s="450"/>
      <c r="G75" s="452" t="s">
        <v>13</v>
      </c>
      <c r="H75" s="454" t="s">
        <v>15</v>
      </c>
      <c r="I75" s="473" t="s">
        <v>119</v>
      </c>
      <c r="J75" s="450"/>
      <c r="K75" s="514"/>
      <c r="L75" s="534"/>
      <c r="M75" s="537"/>
      <c r="N75" s="551"/>
      <c r="O75" s="539"/>
    </row>
    <row r="76" spans="1:15" ht="14.4" thickBot="1" x14ac:dyDescent="0.3">
      <c r="B76" s="446"/>
      <c r="C76" s="446"/>
      <c r="D76" s="449"/>
      <c r="E76" s="466"/>
      <c r="F76" s="451"/>
      <c r="G76" s="453"/>
      <c r="H76" s="455"/>
      <c r="I76" s="474"/>
      <c r="J76" s="451"/>
      <c r="K76" s="515"/>
      <c r="L76" s="534"/>
      <c r="M76" s="537"/>
      <c r="N76" s="551"/>
      <c r="O76" s="539"/>
    </row>
    <row r="77" spans="1:15" x14ac:dyDescent="0.25">
      <c r="B77" s="399" t="str">
        <f>+LEFT(C77,3)</f>
        <v>2.1</v>
      </c>
      <c r="C77" s="399" t="s">
        <v>153</v>
      </c>
      <c r="D77" s="406" t="s">
        <v>154</v>
      </c>
      <c r="E77" s="421" t="s">
        <v>689</v>
      </c>
      <c r="F77" s="434">
        <v>3</v>
      </c>
      <c r="G77" s="83">
        <v>1</v>
      </c>
      <c r="H77" s="197" t="s">
        <v>690</v>
      </c>
      <c r="I77" s="363" t="s">
        <v>691</v>
      </c>
      <c r="J77" s="412">
        <v>3</v>
      </c>
      <c r="K77" s="513" t="str">
        <f>+IF(OR(ISBLANK(F77),ISBLANK(J77)),"",IF(OR(AND(F77=1,J77=1),AND(F77=1,J77=2),AND(F77=1,J77=3)),"Deficiencia de control mayor (diseño y ejecución)",IF(OR(AND(F77=2,J77=2),AND(F77=3,J77=1),AND(F77=3,J77=2),AND(F77=2,J77=1)),"Deficiencia de control (diseño o ejecución)",IF(AND(F77=2,J77=3),"Oportunidad de mejora","Mantenimiento del control"))))</f>
        <v>Mantenimiento del control</v>
      </c>
      <c r="L77" s="532">
        <f>+IF(K77="",0,IF(K77="Deficiencia de control mayor (diseño y ejecución)",4,IF(K77="Deficiencia de control (diseño o ejecución)",20,IF(K77="Oportunidad de mejora",40,60))))</f>
        <v>60</v>
      </c>
      <c r="M77" s="535">
        <v>8.8965299999999997E-2</v>
      </c>
      <c r="N77" s="552">
        <f>+L77+M77</f>
        <v>60.088965299999998</v>
      </c>
      <c r="O77" s="538"/>
    </row>
    <row r="78" spans="1:15" x14ac:dyDescent="0.25">
      <c r="B78" s="400"/>
      <c r="C78" s="400"/>
      <c r="D78" s="407"/>
      <c r="E78" s="470"/>
      <c r="F78" s="435"/>
      <c r="G78" s="81">
        <v>2</v>
      </c>
      <c r="H78" s="197" t="s">
        <v>697</v>
      </c>
      <c r="I78" s="364"/>
      <c r="J78" s="413"/>
      <c r="K78" s="396"/>
      <c r="L78" s="532"/>
      <c r="M78" s="535"/>
      <c r="N78" s="552"/>
      <c r="O78" s="538"/>
    </row>
    <row r="79" spans="1:15" x14ac:dyDescent="0.25">
      <c r="B79" s="400"/>
      <c r="C79" s="400"/>
      <c r="D79" s="407"/>
      <c r="E79" s="470"/>
      <c r="F79" s="435"/>
      <c r="G79" s="81"/>
      <c r="H79" s="197"/>
      <c r="I79" s="364"/>
      <c r="J79" s="413"/>
      <c r="K79" s="396"/>
      <c r="L79" s="532"/>
      <c r="M79" s="535"/>
      <c r="N79" s="552"/>
      <c r="O79" s="538"/>
    </row>
    <row r="80" spans="1:15" x14ac:dyDescent="0.25">
      <c r="B80" s="400"/>
      <c r="C80" s="400"/>
      <c r="D80" s="407"/>
      <c r="E80" s="470"/>
      <c r="F80" s="435"/>
      <c r="G80" s="81"/>
      <c r="H80" s="130"/>
      <c r="I80" s="364"/>
      <c r="J80" s="413"/>
      <c r="K80" s="396"/>
      <c r="L80" s="532"/>
      <c r="M80" s="535"/>
      <c r="N80" s="552"/>
      <c r="O80" s="538"/>
    </row>
    <row r="81" spans="2:15" x14ac:dyDescent="0.25">
      <c r="B81" s="400"/>
      <c r="C81" s="400"/>
      <c r="D81" s="407"/>
      <c r="E81" s="470"/>
      <c r="F81" s="435"/>
      <c r="G81" s="81"/>
      <c r="H81" s="130"/>
      <c r="I81" s="364"/>
      <c r="J81" s="413"/>
      <c r="K81" s="396"/>
      <c r="L81" s="532"/>
      <c r="M81" s="535"/>
      <c r="N81" s="552"/>
      <c r="O81" s="538"/>
    </row>
    <row r="82" spans="2:15" x14ac:dyDescent="0.25">
      <c r="B82" s="400"/>
      <c r="C82" s="400"/>
      <c r="D82" s="407"/>
      <c r="E82" s="470"/>
      <c r="F82" s="435"/>
      <c r="G82" s="81"/>
      <c r="H82" s="130"/>
      <c r="I82" s="364"/>
      <c r="J82" s="413"/>
      <c r="K82" s="396"/>
      <c r="L82" s="532"/>
      <c r="M82" s="535"/>
      <c r="N82" s="552"/>
      <c r="O82" s="538"/>
    </row>
    <row r="83" spans="2:15" x14ac:dyDescent="0.25">
      <c r="B83" s="400"/>
      <c r="C83" s="400"/>
      <c r="D83" s="407"/>
      <c r="E83" s="470"/>
      <c r="F83" s="435"/>
      <c r="G83" s="81"/>
      <c r="H83" s="130"/>
      <c r="I83" s="364"/>
      <c r="J83" s="413"/>
      <c r="K83" s="396"/>
      <c r="L83" s="532"/>
      <c r="M83" s="535"/>
      <c r="N83" s="552"/>
      <c r="O83" s="538"/>
    </row>
    <row r="84" spans="2:15" ht="143.4" customHeight="1" thickBot="1" x14ac:dyDescent="0.3">
      <c r="B84" s="401"/>
      <c r="C84" s="401"/>
      <c r="D84" s="408"/>
      <c r="E84" s="471"/>
      <c r="F84" s="436"/>
      <c r="G84" s="82"/>
      <c r="H84" s="131"/>
      <c r="I84" s="380"/>
      <c r="J84" s="414"/>
      <c r="K84" s="398"/>
      <c r="L84" s="532"/>
      <c r="M84" s="535"/>
      <c r="N84" s="552"/>
      <c r="O84" s="538"/>
    </row>
    <row r="85" spans="2:15" x14ac:dyDescent="0.25">
      <c r="B85" s="399" t="str">
        <f>+LEFT(C85,3)</f>
        <v>2.2</v>
      </c>
      <c r="C85" s="467" t="s">
        <v>156</v>
      </c>
      <c r="D85" s="406" t="s">
        <v>157</v>
      </c>
      <c r="E85" s="421" t="s">
        <v>692</v>
      </c>
      <c r="F85" s="415">
        <v>3</v>
      </c>
      <c r="G85" s="83">
        <v>1</v>
      </c>
      <c r="H85" s="133" t="s">
        <v>158</v>
      </c>
      <c r="I85" s="370" t="s">
        <v>694</v>
      </c>
      <c r="J85" s="412">
        <v>3</v>
      </c>
      <c r="K85" s="513" t="str">
        <f>+IF(OR(ISBLANK(F85),ISBLANK(J85)),"",IF(OR(AND(F85=1,J85=1),AND(F85=1,J85=2),AND(F85=1,J85=3)),"Deficiencia de control mayor (diseño y ejecución)",IF(OR(AND(F85=2,J85=2),AND(F85=3,J85=1),AND(F85=3,J85=2),AND(F85=2,J85=1)),"Deficiencia de control (diseño o ejecución)",IF(AND(F85=2,J85=3),"Oportunidad de mejora","Mantenimiento del control"))))</f>
        <v>Mantenimiento del control</v>
      </c>
      <c r="L85" s="532">
        <f>+IF(K85="",0,IF(K85="Deficiencia de control mayor (diseño y ejecución)",4,IF(K85="Deficiencia de control (diseño o ejecución)",20,IF(K85="Oportunidad de mejora",40,60))))</f>
        <v>60</v>
      </c>
      <c r="M85" s="535">
        <v>9.8965300000000006E-2</v>
      </c>
      <c r="N85" s="552">
        <f>+L85+M85</f>
        <v>60.098965300000003</v>
      </c>
      <c r="O85" s="538"/>
    </row>
    <row r="86" spans="2:15" x14ac:dyDescent="0.25">
      <c r="B86" s="400"/>
      <c r="C86" s="468"/>
      <c r="D86" s="407"/>
      <c r="E86" s="470"/>
      <c r="F86" s="416"/>
      <c r="G86" s="81">
        <v>2</v>
      </c>
      <c r="H86" s="197" t="s">
        <v>693</v>
      </c>
      <c r="I86" s="440"/>
      <c r="J86" s="413"/>
      <c r="K86" s="396"/>
      <c r="L86" s="532"/>
      <c r="M86" s="535"/>
      <c r="N86" s="552"/>
      <c r="O86" s="538"/>
    </row>
    <row r="87" spans="2:15" x14ac:dyDescent="0.25">
      <c r="B87" s="400"/>
      <c r="C87" s="468"/>
      <c r="D87" s="407"/>
      <c r="E87" s="470"/>
      <c r="F87" s="416"/>
      <c r="G87" s="81">
        <v>3</v>
      </c>
      <c r="H87" s="197" t="s">
        <v>160</v>
      </c>
      <c r="I87" s="440"/>
      <c r="J87" s="413"/>
      <c r="K87" s="396"/>
      <c r="L87" s="532"/>
      <c r="M87" s="535"/>
      <c r="N87" s="552"/>
      <c r="O87" s="538"/>
    </row>
    <row r="88" spans="2:15" x14ac:dyDescent="0.25">
      <c r="B88" s="400"/>
      <c r="C88" s="468"/>
      <c r="D88" s="407"/>
      <c r="E88" s="470"/>
      <c r="F88" s="416"/>
      <c r="G88" s="81"/>
      <c r="H88" s="133"/>
      <c r="I88" s="440"/>
      <c r="J88" s="413"/>
      <c r="K88" s="396"/>
      <c r="L88" s="532"/>
      <c r="M88" s="535"/>
      <c r="N88" s="552"/>
      <c r="O88" s="538"/>
    </row>
    <row r="89" spans="2:15" x14ac:dyDescent="0.25">
      <c r="B89" s="400"/>
      <c r="C89" s="468"/>
      <c r="D89" s="407"/>
      <c r="E89" s="470"/>
      <c r="F89" s="416"/>
      <c r="G89" s="81"/>
      <c r="H89" s="130"/>
      <c r="I89" s="440"/>
      <c r="J89" s="413"/>
      <c r="K89" s="396"/>
      <c r="L89" s="532"/>
      <c r="M89" s="535"/>
      <c r="N89" s="552"/>
      <c r="O89" s="538"/>
    </row>
    <row r="90" spans="2:15" x14ac:dyDescent="0.25">
      <c r="B90" s="400"/>
      <c r="C90" s="468"/>
      <c r="D90" s="407"/>
      <c r="E90" s="470"/>
      <c r="F90" s="416"/>
      <c r="G90" s="81"/>
      <c r="H90" s="133"/>
      <c r="I90" s="440"/>
      <c r="J90" s="413"/>
      <c r="K90" s="396"/>
      <c r="L90" s="532"/>
      <c r="M90" s="535"/>
      <c r="N90" s="552"/>
      <c r="O90" s="538"/>
    </row>
    <row r="91" spans="2:15" x14ac:dyDescent="0.25">
      <c r="B91" s="400"/>
      <c r="C91" s="468"/>
      <c r="D91" s="407"/>
      <c r="E91" s="470"/>
      <c r="F91" s="416"/>
      <c r="G91" s="81"/>
      <c r="H91" s="130"/>
      <c r="I91" s="440"/>
      <c r="J91" s="413"/>
      <c r="K91" s="396"/>
      <c r="L91" s="532"/>
      <c r="M91" s="535"/>
      <c r="N91" s="552"/>
      <c r="O91" s="538"/>
    </row>
    <row r="92" spans="2:15" ht="35.25" customHeight="1" thickBot="1" x14ac:dyDescent="0.3">
      <c r="B92" s="401"/>
      <c r="C92" s="469"/>
      <c r="D92" s="408"/>
      <c r="E92" s="471"/>
      <c r="F92" s="417"/>
      <c r="G92" s="82"/>
      <c r="H92" s="131"/>
      <c r="I92" s="441"/>
      <c r="J92" s="414"/>
      <c r="K92" s="398"/>
      <c r="L92" s="532"/>
      <c r="M92" s="535"/>
      <c r="N92" s="552"/>
      <c r="O92" s="538"/>
    </row>
    <row r="93" spans="2:15" x14ac:dyDescent="0.25">
      <c r="B93" s="399" t="str">
        <f>+LEFT(C93,3)</f>
        <v>2.3</v>
      </c>
      <c r="C93" s="399" t="s">
        <v>161</v>
      </c>
      <c r="D93" s="406" t="s">
        <v>162</v>
      </c>
      <c r="E93" s="421" t="s">
        <v>163</v>
      </c>
      <c r="F93" s="415">
        <v>3</v>
      </c>
      <c r="G93" s="83">
        <v>1</v>
      </c>
      <c r="H93" s="133" t="s">
        <v>158</v>
      </c>
      <c r="I93" s="381" t="s">
        <v>695</v>
      </c>
      <c r="J93" s="412">
        <v>3</v>
      </c>
      <c r="K93" s="513" t="str">
        <f>+IF(OR(ISBLANK(F93),ISBLANK(J93)),"",IF(OR(AND(F93=1,J93=1),AND(F93=1,J93=2),AND(F93=1,J93=3)),"Deficiencia de control mayor (diseño y ejecución)",IF(OR(AND(F93=2,J93=2),AND(F93=3,J93=1),AND(F93=3,J93=2),AND(F93=2,J93=1)),"Deficiencia de control (diseño o ejecución)",IF(AND(F93=2,J93=3),"Oportunidad de mejora","Mantenimiento del control"))))</f>
        <v>Mantenimiento del control</v>
      </c>
      <c r="L93" s="532">
        <f>+IF(K93="",0,IF(K93="Deficiencia de control mayor (diseño y ejecución)",4,IF(K93="Deficiencia de control (diseño o ejecución)",20,IF(K93="Oportunidad de mejora",40,60))))</f>
        <v>60</v>
      </c>
      <c r="M93" s="535">
        <v>0.15698000000000001</v>
      </c>
      <c r="N93" s="552">
        <f>+L93+M93</f>
        <v>60.156979999999997</v>
      </c>
      <c r="O93" s="538"/>
    </row>
    <row r="94" spans="2:15" x14ac:dyDescent="0.25">
      <c r="B94" s="400"/>
      <c r="C94" s="400"/>
      <c r="D94" s="407"/>
      <c r="E94" s="470"/>
      <c r="F94" s="416"/>
      <c r="G94" s="81">
        <v>2</v>
      </c>
      <c r="H94" s="197" t="s">
        <v>693</v>
      </c>
      <c r="I94" s="510"/>
      <c r="J94" s="413"/>
      <c r="K94" s="396"/>
      <c r="L94" s="532"/>
      <c r="M94" s="535"/>
      <c r="N94" s="552"/>
      <c r="O94" s="538"/>
    </row>
    <row r="95" spans="2:15" x14ac:dyDescent="0.25">
      <c r="B95" s="400"/>
      <c r="C95" s="400"/>
      <c r="D95" s="407"/>
      <c r="E95" s="470"/>
      <c r="F95" s="416"/>
      <c r="G95" s="81">
        <v>3</v>
      </c>
      <c r="H95" s="197" t="s">
        <v>160</v>
      </c>
      <c r="I95" s="510"/>
      <c r="J95" s="413"/>
      <c r="K95" s="396"/>
      <c r="L95" s="532"/>
      <c r="M95" s="535"/>
      <c r="N95" s="552"/>
      <c r="O95" s="538"/>
    </row>
    <row r="96" spans="2:15" x14ac:dyDescent="0.25">
      <c r="B96" s="400"/>
      <c r="C96" s="400"/>
      <c r="D96" s="407"/>
      <c r="E96" s="470"/>
      <c r="F96" s="416"/>
      <c r="G96" s="81">
        <v>4</v>
      </c>
      <c r="H96" s="133"/>
      <c r="I96" s="510"/>
      <c r="J96" s="413"/>
      <c r="K96" s="396"/>
      <c r="L96" s="532"/>
      <c r="M96" s="535"/>
      <c r="N96" s="552"/>
      <c r="O96" s="538"/>
    </row>
    <row r="97" spans="2:15" x14ac:dyDescent="0.25">
      <c r="B97" s="400"/>
      <c r="C97" s="400"/>
      <c r="D97" s="407"/>
      <c r="E97" s="470"/>
      <c r="F97" s="416"/>
      <c r="G97" s="81">
        <v>5</v>
      </c>
      <c r="H97" s="133"/>
      <c r="I97" s="510"/>
      <c r="J97" s="413"/>
      <c r="K97" s="396"/>
      <c r="L97" s="532"/>
      <c r="M97" s="535"/>
      <c r="N97" s="552"/>
      <c r="O97" s="538"/>
    </row>
    <row r="98" spans="2:15" x14ac:dyDescent="0.25">
      <c r="B98" s="400"/>
      <c r="C98" s="400"/>
      <c r="D98" s="407"/>
      <c r="E98" s="470"/>
      <c r="F98" s="416"/>
      <c r="G98" s="81"/>
      <c r="H98" s="133"/>
      <c r="I98" s="510"/>
      <c r="J98" s="413"/>
      <c r="K98" s="396"/>
      <c r="L98" s="532"/>
      <c r="M98" s="535"/>
      <c r="N98" s="552"/>
      <c r="O98" s="538"/>
    </row>
    <row r="99" spans="2:15" x14ac:dyDescent="0.25">
      <c r="B99" s="400"/>
      <c r="C99" s="400"/>
      <c r="D99" s="407"/>
      <c r="E99" s="470"/>
      <c r="F99" s="416"/>
      <c r="G99" s="81"/>
      <c r="H99" s="206"/>
      <c r="I99" s="510"/>
      <c r="J99" s="413"/>
      <c r="K99" s="396"/>
      <c r="L99" s="532"/>
      <c r="M99" s="535"/>
      <c r="N99" s="552"/>
      <c r="O99" s="538"/>
    </row>
    <row r="100" spans="2:15" ht="117" customHeight="1" thickBot="1" x14ac:dyDescent="0.3">
      <c r="B100" s="401"/>
      <c r="C100" s="401"/>
      <c r="D100" s="408"/>
      <c r="E100" s="471"/>
      <c r="F100" s="417"/>
      <c r="G100" s="82"/>
      <c r="H100" s="133"/>
      <c r="I100" s="511"/>
      <c r="J100" s="414"/>
      <c r="K100" s="398"/>
      <c r="L100" s="532"/>
      <c r="M100" s="535"/>
      <c r="N100" s="552"/>
      <c r="O100" s="538"/>
    </row>
    <row r="101" spans="2:15" x14ac:dyDescent="0.25">
      <c r="B101" s="524"/>
      <c r="C101" s="445" t="s">
        <v>164</v>
      </c>
      <c r="D101" s="447" t="s">
        <v>8</v>
      </c>
      <c r="E101" s="464" t="s">
        <v>149</v>
      </c>
      <c r="F101" s="450" t="s">
        <v>150</v>
      </c>
      <c r="G101" s="475" t="s">
        <v>116</v>
      </c>
      <c r="H101" s="476"/>
      <c r="I101" s="477"/>
      <c r="J101" s="450" t="s">
        <v>151</v>
      </c>
      <c r="K101" s="514" t="s">
        <v>152</v>
      </c>
      <c r="L101" s="534"/>
      <c r="M101" s="537"/>
      <c r="N101" s="551"/>
      <c r="O101" s="539"/>
    </row>
    <row r="102" spans="2:15" x14ac:dyDescent="0.25">
      <c r="B102" s="524"/>
      <c r="C102" s="445"/>
      <c r="D102" s="448"/>
      <c r="E102" s="465"/>
      <c r="F102" s="450"/>
      <c r="G102" s="452" t="s">
        <v>13</v>
      </c>
      <c r="H102" s="454" t="s">
        <v>15</v>
      </c>
      <c r="I102" s="473" t="s">
        <v>119</v>
      </c>
      <c r="J102" s="450"/>
      <c r="K102" s="514"/>
      <c r="L102" s="534"/>
      <c r="M102" s="537"/>
      <c r="N102" s="551"/>
      <c r="O102" s="539"/>
    </row>
    <row r="103" spans="2:15" ht="14.4" thickBot="1" x14ac:dyDescent="0.3">
      <c r="B103" s="525"/>
      <c r="C103" s="446"/>
      <c r="D103" s="449"/>
      <c r="E103" s="466"/>
      <c r="F103" s="451"/>
      <c r="G103" s="453"/>
      <c r="H103" s="472"/>
      <c r="I103" s="474"/>
      <c r="J103" s="451"/>
      <c r="K103" s="515"/>
      <c r="L103" s="534"/>
      <c r="M103" s="537"/>
      <c r="N103" s="551"/>
      <c r="O103" s="539"/>
    </row>
    <row r="104" spans="2:15" x14ac:dyDescent="0.25">
      <c r="B104" s="399" t="str">
        <f>+LEFT(C104,3)</f>
        <v>3.1</v>
      </c>
      <c r="C104" s="399" t="s">
        <v>165</v>
      </c>
      <c r="D104" s="406" t="s">
        <v>166</v>
      </c>
      <c r="E104" s="421" t="s">
        <v>167</v>
      </c>
      <c r="F104" s="415">
        <v>3</v>
      </c>
      <c r="G104" s="83">
        <v>1</v>
      </c>
      <c r="H104" s="133" t="s">
        <v>158</v>
      </c>
      <c r="I104" s="370" t="s">
        <v>696</v>
      </c>
      <c r="J104" s="412">
        <v>3</v>
      </c>
      <c r="K104" s="513" t="str">
        <f>+IF(OR(ISBLANK(F104),ISBLANK(J104)),"",IF(OR(AND(F104=1,J104=1),AND(F104=1,J104=2),AND(F104=1,J104=3)),"Deficiencia de control mayor (diseño y ejecución)",IF(OR(AND(F104=2,J104=2),AND(F104=3,J104=1),AND(F104=3,J104=2),AND(F104=2,J104=1)),"Deficiencia de control (diseño o ejecución)",IF(AND(F104=2,J104=3),"Oportunidad de mejora","Mantenimiento del control"))))</f>
        <v>Mantenimiento del control</v>
      </c>
      <c r="L104" s="532">
        <f>+IF(K104="",0,IF(K104="Deficiencia de control mayor (diseño y ejecución)",4,IF(K104="Deficiencia de control (diseño o ejecución)",20,IF(K104="Oportunidad de mejora",40,60))))</f>
        <v>60</v>
      </c>
      <c r="M104" s="535">
        <v>0.28965000000000002</v>
      </c>
      <c r="N104" s="552">
        <f>+L104+M104</f>
        <v>60.289650000000002</v>
      </c>
      <c r="O104" s="538"/>
    </row>
    <row r="105" spans="2:15" ht="33.75" customHeight="1" thickBot="1" x14ac:dyDescent="0.3">
      <c r="B105" s="400"/>
      <c r="C105" s="400"/>
      <c r="D105" s="407"/>
      <c r="E105" s="422"/>
      <c r="F105" s="416"/>
      <c r="G105" s="81">
        <v>2</v>
      </c>
      <c r="H105" s="133" t="s">
        <v>168</v>
      </c>
      <c r="I105" s="372"/>
      <c r="J105" s="413"/>
      <c r="K105" s="396"/>
      <c r="L105" s="532"/>
      <c r="M105" s="535"/>
      <c r="N105" s="552"/>
      <c r="O105" s="538"/>
    </row>
    <row r="106" spans="2:15" ht="26.4" x14ac:dyDescent="0.25">
      <c r="B106" s="400"/>
      <c r="C106" s="400"/>
      <c r="D106" s="407"/>
      <c r="E106" s="422"/>
      <c r="F106" s="416"/>
      <c r="G106" s="81">
        <v>3</v>
      </c>
      <c r="H106" s="138" t="s">
        <v>683</v>
      </c>
      <c r="I106" s="372"/>
      <c r="J106" s="413"/>
      <c r="K106" s="396"/>
      <c r="L106" s="532"/>
      <c r="M106" s="535"/>
      <c r="N106" s="552"/>
      <c r="O106" s="538"/>
    </row>
    <row r="107" spans="2:15" x14ac:dyDescent="0.25">
      <c r="B107" s="400"/>
      <c r="C107" s="400"/>
      <c r="D107" s="407"/>
      <c r="E107" s="422"/>
      <c r="F107" s="416"/>
      <c r="G107" s="81" t="s">
        <v>135</v>
      </c>
      <c r="H107" s="81"/>
      <c r="I107" s="372"/>
      <c r="J107" s="413"/>
      <c r="K107" s="396"/>
      <c r="L107" s="532"/>
      <c r="M107" s="535"/>
      <c r="N107" s="552"/>
      <c r="O107" s="538"/>
    </row>
    <row r="108" spans="2:15" x14ac:dyDescent="0.25">
      <c r="B108" s="400"/>
      <c r="C108" s="400"/>
      <c r="D108" s="407"/>
      <c r="E108" s="422"/>
      <c r="F108" s="416"/>
      <c r="G108" s="81"/>
      <c r="H108" s="81"/>
      <c r="I108" s="372"/>
      <c r="J108" s="413"/>
      <c r="K108" s="396"/>
      <c r="L108" s="532"/>
      <c r="M108" s="535"/>
      <c r="N108" s="552"/>
      <c r="O108" s="538"/>
    </row>
    <row r="109" spans="2:15" x14ac:dyDescent="0.25">
      <c r="B109" s="400"/>
      <c r="C109" s="400"/>
      <c r="D109" s="407"/>
      <c r="E109" s="422"/>
      <c r="F109" s="416"/>
      <c r="G109" s="81"/>
      <c r="H109" s="81"/>
      <c r="I109" s="372"/>
      <c r="J109" s="413"/>
      <c r="K109" s="396"/>
      <c r="L109" s="532"/>
      <c r="M109" s="535"/>
      <c r="N109" s="552"/>
      <c r="O109" s="538"/>
    </row>
    <row r="110" spans="2:15" x14ac:dyDescent="0.25">
      <c r="B110" s="400"/>
      <c r="C110" s="400"/>
      <c r="D110" s="407"/>
      <c r="E110" s="422"/>
      <c r="F110" s="416"/>
      <c r="G110" s="81"/>
      <c r="H110" s="81"/>
      <c r="I110" s="372"/>
      <c r="J110" s="413"/>
      <c r="K110" s="396"/>
      <c r="L110" s="532"/>
      <c r="M110" s="535"/>
      <c r="N110" s="552"/>
      <c r="O110" s="538"/>
    </row>
    <row r="111" spans="2:15" ht="54" customHeight="1" thickBot="1" x14ac:dyDescent="0.3">
      <c r="B111" s="401"/>
      <c r="C111" s="401"/>
      <c r="D111" s="408"/>
      <c r="E111" s="423"/>
      <c r="F111" s="417"/>
      <c r="G111" s="82"/>
      <c r="H111" s="82"/>
      <c r="I111" s="373"/>
      <c r="J111" s="414"/>
      <c r="K111" s="398"/>
      <c r="L111" s="532"/>
      <c r="M111" s="535"/>
      <c r="N111" s="552"/>
      <c r="O111" s="538"/>
    </row>
    <row r="112" spans="2:15" x14ac:dyDescent="0.25">
      <c r="B112" s="399" t="str">
        <f>+LEFT(C112,3)</f>
        <v>3.2</v>
      </c>
      <c r="C112" s="409" t="s">
        <v>169</v>
      </c>
      <c r="D112" s="406" t="s">
        <v>170</v>
      </c>
      <c r="E112" s="370" t="s">
        <v>171</v>
      </c>
      <c r="F112" s="415">
        <v>3</v>
      </c>
      <c r="G112" s="83">
        <v>1</v>
      </c>
      <c r="H112" s="132" t="s">
        <v>158</v>
      </c>
      <c r="I112" s="370" t="s">
        <v>698</v>
      </c>
      <c r="J112" s="412">
        <v>3</v>
      </c>
      <c r="K112" s="513" t="str">
        <f>+IF(OR(ISBLANK(F112),ISBLANK(J112)),"",IF(OR(AND(F112=1,J112=1),AND(F112=1,J112=2),AND(F112=1,J112=3)),"Deficiencia de control mayor (diseño y ejecución)",IF(OR(AND(F112=2,J112=2),AND(F112=3,J112=1),AND(F112=3,J112=2),AND(F112=2,J112=1)),"Deficiencia de control (diseño o ejecución)",IF(AND(F112=2,J112=3),"Oportunidad de mejora","Mantenimiento del control"))))</f>
        <v>Mantenimiento del control</v>
      </c>
      <c r="L112" s="532">
        <f>+IF(K112="",0,IF(K112="Deficiencia de control mayor (diseño y ejecución)",4,IF(K112="Deficiencia de control (diseño o ejecución)",20,IF(K112="Oportunidad de mejora",40,60))))</f>
        <v>60</v>
      </c>
      <c r="M112" s="535">
        <v>0.38965300000000003</v>
      </c>
      <c r="N112" s="552">
        <f>+L112+M112</f>
        <v>60.389653000000003</v>
      </c>
      <c r="O112" s="538"/>
    </row>
    <row r="113" spans="2:15" x14ac:dyDescent="0.25">
      <c r="B113" s="400"/>
      <c r="C113" s="410"/>
      <c r="D113" s="407"/>
      <c r="E113" s="372"/>
      <c r="F113" s="416"/>
      <c r="G113" s="81">
        <v>2</v>
      </c>
      <c r="H113" s="133" t="s">
        <v>168</v>
      </c>
      <c r="I113" s="440"/>
      <c r="J113" s="413"/>
      <c r="K113" s="396"/>
      <c r="L113" s="532"/>
      <c r="M113" s="535"/>
      <c r="N113" s="552"/>
      <c r="O113" s="538"/>
    </row>
    <row r="114" spans="2:15" x14ac:dyDescent="0.25">
      <c r="B114" s="400"/>
      <c r="C114" s="410"/>
      <c r="D114" s="407"/>
      <c r="E114" s="372"/>
      <c r="F114" s="416"/>
      <c r="G114" s="81">
        <v>3</v>
      </c>
      <c r="H114" s="133" t="s">
        <v>172</v>
      </c>
      <c r="I114" s="440"/>
      <c r="J114" s="413"/>
      <c r="K114" s="396"/>
      <c r="L114" s="532"/>
      <c r="M114" s="535"/>
      <c r="N114" s="552"/>
      <c r="O114" s="538"/>
    </row>
    <row r="115" spans="2:15" x14ac:dyDescent="0.25">
      <c r="B115" s="400"/>
      <c r="C115" s="410"/>
      <c r="D115" s="407"/>
      <c r="E115" s="372"/>
      <c r="F115" s="416"/>
      <c r="G115" s="81" t="s">
        <v>135</v>
      </c>
      <c r="H115" s="216"/>
      <c r="I115" s="440"/>
      <c r="J115" s="413"/>
      <c r="K115" s="396"/>
      <c r="L115" s="532"/>
      <c r="M115" s="535"/>
      <c r="N115" s="552"/>
      <c r="O115" s="538"/>
    </row>
    <row r="116" spans="2:15" x14ac:dyDescent="0.25">
      <c r="B116" s="400"/>
      <c r="C116" s="410"/>
      <c r="D116" s="407"/>
      <c r="E116" s="372"/>
      <c r="F116" s="416"/>
      <c r="G116" s="81" t="s">
        <v>135</v>
      </c>
      <c r="H116" s="133"/>
      <c r="I116" s="440"/>
      <c r="J116" s="413"/>
      <c r="K116" s="396"/>
      <c r="L116" s="532"/>
      <c r="M116" s="535"/>
      <c r="N116" s="552"/>
      <c r="O116" s="538"/>
    </row>
    <row r="117" spans="2:15" x14ac:dyDescent="0.25">
      <c r="B117" s="400"/>
      <c r="C117" s="410"/>
      <c r="D117" s="407"/>
      <c r="E117" s="372"/>
      <c r="F117" s="416"/>
      <c r="G117" s="81"/>
      <c r="H117" s="133"/>
      <c r="I117" s="440"/>
      <c r="J117" s="413"/>
      <c r="K117" s="396"/>
      <c r="L117" s="532"/>
      <c r="M117" s="535"/>
      <c r="N117" s="552"/>
      <c r="O117" s="538"/>
    </row>
    <row r="118" spans="2:15" x14ac:dyDescent="0.25">
      <c r="B118" s="400"/>
      <c r="C118" s="410"/>
      <c r="D118" s="407"/>
      <c r="E118" s="372"/>
      <c r="F118" s="416"/>
      <c r="G118" s="81"/>
      <c r="H118" s="133"/>
      <c r="I118" s="440"/>
      <c r="J118" s="413"/>
      <c r="K118" s="396"/>
      <c r="L118" s="532"/>
      <c r="M118" s="535"/>
      <c r="N118" s="552"/>
      <c r="O118" s="538"/>
    </row>
    <row r="119" spans="2:15" ht="14.4" thickBot="1" x14ac:dyDescent="0.3">
      <c r="B119" s="401"/>
      <c r="C119" s="411"/>
      <c r="D119" s="408"/>
      <c r="E119" s="373"/>
      <c r="F119" s="417"/>
      <c r="G119" s="82"/>
      <c r="H119" s="131"/>
      <c r="I119" s="441"/>
      <c r="J119" s="414"/>
      <c r="K119" s="398"/>
      <c r="L119" s="532"/>
      <c r="M119" s="535"/>
      <c r="N119" s="552"/>
      <c r="O119" s="538"/>
    </row>
    <row r="120" spans="2:15" x14ac:dyDescent="0.25">
      <c r="B120" s="399" t="str">
        <f>+LEFT(C120,3)</f>
        <v>3.3</v>
      </c>
      <c r="C120" s="409" t="s">
        <v>173</v>
      </c>
      <c r="D120" s="406" t="s">
        <v>174</v>
      </c>
      <c r="E120" s="367" t="s">
        <v>699</v>
      </c>
      <c r="F120" s="402">
        <v>3</v>
      </c>
      <c r="G120" s="83">
        <v>1</v>
      </c>
      <c r="H120" s="143" t="s">
        <v>175</v>
      </c>
      <c r="I120" s="370" t="s">
        <v>701</v>
      </c>
      <c r="J120" s="403">
        <v>3</v>
      </c>
      <c r="K120" s="513" t="str">
        <f>+IF(OR(ISBLANK(F120),ISBLANK(J120)),"",IF(OR(AND(F120=1,J120=1),AND(F120=1,J120=2),AND(F120=1,J120=3)),"Deficiencia de control mayor (diseño y ejecución)",IF(OR(AND(F120=2,J120=2),AND(F120=3,J120=1),AND(F120=3,J120=2),AND(F120=2,J120=1)),"Deficiencia de control (diseño o ejecución)",IF(AND(F120=2,J120=3),"Oportunidad de mejora","Mantenimiento del control"))))</f>
        <v>Mantenimiento del control</v>
      </c>
      <c r="L120" s="532">
        <f>+IF(K120="",0,IF(K120="Deficiencia de control mayor (diseño y ejecución)",4,IF(K120="Deficiencia de control (diseño o ejecución)",20,IF(K120="Oportunidad de mejora",40,60))))</f>
        <v>60</v>
      </c>
      <c r="M120" s="535">
        <v>0.48964999999999997</v>
      </c>
      <c r="N120" s="552">
        <f>+L120+M120</f>
        <v>60.489649999999997</v>
      </c>
      <c r="O120" s="538"/>
    </row>
    <row r="121" spans="2:15" x14ac:dyDescent="0.25">
      <c r="B121" s="400"/>
      <c r="C121" s="410"/>
      <c r="D121" s="407"/>
      <c r="E121" s="378"/>
      <c r="F121" s="393"/>
      <c r="G121" s="81">
        <v>2</v>
      </c>
      <c r="H121" s="211" t="s">
        <v>176</v>
      </c>
      <c r="I121" s="372"/>
      <c r="J121" s="404"/>
      <c r="K121" s="396"/>
      <c r="L121" s="532"/>
      <c r="M121" s="535"/>
      <c r="N121" s="552"/>
      <c r="O121" s="538"/>
    </row>
    <row r="122" spans="2:15" ht="26.4" x14ac:dyDescent="0.25">
      <c r="B122" s="400"/>
      <c r="C122" s="410"/>
      <c r="D122" s="407"/>
      <c r="E122" s="378"/>
      <c r="F122" s="393"/>
      <c r="G122" s="81">
        <v>3</v>
      </c>
      <c r="H122" s="133" t="s">
        <v>177</v>
      </c>
      <c r="I122" s="372"/>
      <c r="J122" s="404"/>
      <c r="K122" s="396"/>
      <c r="L122" s="532"/>
      <c r="M122" s="535"/>
      <c r="N122" s="552"/>
      <c r="O122" s="538"/>
    </row>
    <row r="123" spans="2:15" ht="26.4" x14ac:dyDescent="0.25">
      <c r="B123" s="400"/>
      <c r="C123" s="410"/>
      <c r="D123" s="407"/>
      <c r="E123" s="378"/>
      <c r="F123" s="393"/>
      <c r="G123" s="81">
        <v>4</v>
      </c>
      <c r="H123" s="133" t="s">
        <v>178</v>
      </c>
      <c r="I123" s="372"/>
      <c r="J123" s="404"/>
      <c r="K123" s="396"/>
      <c r="L123" s="532"/>
      <c r="M123" s="535"/>
      <c r="N123" s="552"/>
      <c r="O123" s="538"/>
    </row>
    <row r="124" spans="2:15" x14ac:dyDescent="0.25">
      <c r="B124" s="400"/>
      <c r="C124" s="410"/>
      <c r="D124" s="407"/>
      <c r="E124" s="378"/>
      <c r="F124" s="393"/>
      <c r="G124" s="81">
        <v>5</v>
      </c>
      <c r="H124" s="197" t="s">
        <v>700</v>
      </c>
      <c r="I124" s="372"/>
      <c r="J124" s="404"/>
      <c r="K124" s="396"/>
      <c r="L124" s="532"/>
      <c r="M124" s="535"/>
      <c r="N124" s="552"/>
      <c r="O124" s="538"/>
    </row>
    <row r="125" spans="2:15" x14ac:dyDescent="0.25">
      <c r="B125" s="400"/>
      <c r="C125" s="410"/>
      <c r="D125" s="407"/>
      <c r="E125" s="378"/>
      <c r="F125" s="393"/>
      <c r="G125" s="81">
        <v>6</v>
      </c>
      <c r="H125" s="133"/>
      <c r="I125" s="372"/>
      <c r="J125" s="404"/>
      <c r="K125" s="396"/>
      <c r="L125" s="532"/>
      <c r="M125" s="535"/>
      <c r="N125" s="552"/>
      <c r="O125" s="538"/>
    </row>
    <row r="126" spans="2:15" x14ac:dyDescent="0.25">
      <c r="B126" s="400"/>
      <c r="C126" s="410"/>
      <c r="D126" s="407"/>
      <c r="E126" s="378"/>
      <c r="F126" s="393"/>
      <c r="G126" s="81"/>
      <c r="H126" s="197"/>
      <c r="I126" s="372"/>
      <c r="J126" s="404"/>
      <c r="K126" s="396"/>
      <c r="L126" s="532"/>
      <c r="M126" s="535"/>
      <c r="N126" s="552"/>
      <c r="O126" s="538"/>
    </row>
    <row r="127" spans="2:15" x14ac:dyDescent="0.25">
      <c r="B127" s="438"/>
      <c r="C127" s="410"/>
      <c r="D127" s="407"/>
      <c r="E127" s="378"/>
      <c r="F127" s="393"/>
      <c r="G127" s="200"/>
      <c r="H127" s="133"/>
      <c r="I127" s="372"/>
      <c r="J127" s="404"/>
      <c r="K127" s="397"/>
      <c r="L127" s="532"/>
      <c r="M127" s="535"/>
      <c r="N127" s="552"/>
      <c r="O127" s="538"/>
    </row>
    <row r="128" spans="2:15" ht="14.4" thickBot="1" x14ac:dyDescent="0.3">
      <c r="B128" s="401"/>
      <c r="C128" s="411"/>
      <c r="D128" s="408"/>
      <c r="E128" s="379"/>
      <c r="F128" s="394"/>
      <c r="G128" s="82"/>
      <c r="I128" s="373"/>
      <c r="J128" s="405"/>
      <c r="K128" s="398"/>
      <c r="L128" s="532"/>
      <c r="M128" s="535"/>
      <c r="N128" s="552"/>
      <c r="O128" s="538"/>
    </row>
    <row r="129" spans="2:15" x14ac:dyDescent="0.25">
      <c r="B129" s="526"/>
      <c r="C129" s="481" t="s">
        <v>180</v>
      </c>
      <c r="D129" s="447" t="s">
        <v>8</v>
      </c>
      <c r="E129" s="464" t="s">
        <v>149</v>
      </c>
      <c r="F129" s="450" t="s">
        <v>150</v>
      </c>
      <c r="G129" s="475" t="s">
        <v>116</v>
      </c>
      <c r="H129" s="476"/>
      <c r="I129" s="477"/>
      <c r="J129" s="450" t="s">
        <v>151</v>
      </c>
      <c r="K129" s="516" t="s">
        <v>152</v>
      </c>
      <c r="L129" s="534"/>
      <c r="M129" s="537"/>
      <c r="N129" s="551"/>
      <c r="O129" s="539"/>
    </row>
    <row r="130" spans="2:15" x14ac:dyDescent="0.25">
      <c r="B130" s="527"/>
      <c r="C130" s="482"/>
      <c r="D130" s="448"/>
      <c r="E130" s="465"/>
      <c r="F130" s="450"/>
      <c r="G130" s="452" t="s">
        <v>13</v>
      </c>
      <c r="H130" s="454" t="s">
        <v>15</v>
      </c>
      <c r="I130" s="473" t="s">
        <v>119</v>
      </c>
      <c r="J130" s="450"/>
      <c r="K130" s="514"/>
      <c r="L130" s="534"/>
      <c r="M130" s="537"/>
      <c r="N130" s="551"/>
      <c r="O130" s="539"/>
    </row>
    <row r="131" spans="2:15" ht="14.4" thickBot="1" x14ac:dyDescent="0.3">
      <c r="B131" s="527"/>
      <c r="C131" s="482"/>
      <c r="D131" s="449"/>
      <c r="E131" s="466"/>
      <c r="F131" s="451"/>
      <c r="G131" s="453"/>
      <c r="H131" s="472"/>
      <c r="I131" s="474"/>
      <c r="J131" s="451"/>
      <c r="K131" s="515"/>
      <c r="L131" s="534"/>
      <c r="M131" s="537"/>
      <c r="N131" s="551"/>
      <c r="O131" s="539"/>
    </row>
    <row r="132" spans="2:15" x14ac:dyDescent="0.25">
      <c r="B132" s="399" t="str">
        <f>+LEFT(C132,3)</f>
        <v>4.1</v>
      </c>
      <c r="C132" s="399" t="s">
        <v>181</v>
      </c>
      <c r="D132" s="406" t="s">
        <v>182</v>
      </c>
      <c r="E132" s="421" t="s">
        <v>702</v>
      </c>
      <c r="F132" s="415">
        <v>3</v>
      </c>
      <c r="G132" s="83">
        <v>1</v>
      </c>
      <c r="H132" s="132" t="s">
        <v>183</v>
      </c>
      <c r="I132" s="381" t="s">
        <v>703</v>
      </c>
      <c r="J132" s="402">
        <v>3</v>
      </c>
      <c r="K132" s="483" t="str">
        <f>+IF(OR(ISBLANK(F132),ISBLANK(J132)),"",IF(OR(AND(F132=1,J132=1),AND(F132=1,J132=2),AND(F132=1,J132=3)),"Deficiencia de control mayor (diseño y ejecución)",IF(OR(AND(F132=2,J132=2),AND(F132=3,J132=1),AND(F132=3,J132=2),AND(F132=2,J132=1)),"Deficiencia de control (diseño o ejecución)",IF(AND(F132=2,J132=3),"Oportunidad de mejora","Mantenimiento del control"))))</f>
        <v>Mantenimiento del control</v>
      </c>
      <c r="L132" s="532">
        <f>+IF(K132="",0,IF(K132="Deficiencia de control mayor (diseño y ejecución)",4,IF(K132="Deficiencia de control (diseño o ejecución)",20,IF(K132="Oportunidad de mejora",40,60))))</f>
        <v>60</v>
      </c>
      <c r="M132" s="535">
        <v>0.58965000000000001</v>
      </c>
      <c r="N132" s="552">
        <f>+L132+M132</f>
        <v>60.589649999999999</v>
      </c>
      <c r="O132" s="538"/>
    </row>
    <row r="133" spans="2:15" ht="20.25" customHeight="1" x14ac:dyDescent="0.25">
      <c r="B133" s="400"/>
      <c r="C133" s="400"/>
      <c r="D133" s="407"/>
      <c r="E133" s="422"/>
      <c r="F133" s="416"/>
      <c r="G133" s="81">
        <v>2</v>
      </c>
      <c r="H133" s="133" t="s">
        <v>184</v>
      </c>
      <c r="I133" s="382"/>
      <c r="J133" s="393"/>
      <c r="K133" s="483"/>
      <c r="L133" s="532"/>
      <c r="M133" s="535"/>
      <c r="N133" s="552"/>
      <c r="O133" s="538"/>
    </row>
    <row r="134" spans="2:15" x14ac:dyDescent="0.25">
      <c r="B134" s="400"/>
      <c r="C134" s="400"/>
      <c r="D134" s="407"/>
      <c r="E134" s="422"/>
      <c r="F134" s="416"/>
      <c r="G134" s="81">
        <v>3</v>
      </c>
      <c r="H134" s="197" t="s">
        <v>179</v>
      </c>
      <c r="I134" s="382"/>
      <c r="J134" s="393"/>
      <c r="K134" s="483"/>
      <c r="L134" s="532"/>
      <c r="M134" s="535"/>
      <c r="N134" s="552"/>
      <c r="O134" s="538"/>
    </row>
    <row r="135" spans="2:15" x14ac:dyDescent="0.25">
      <c r="B135" s="400"/>
      <c r="C135" s="400"/>
      <c r="D135" s="407"/>
      <c r="E135" s="422"/>
      <c r="F135" s="416"/>
      <c r="G135" s="81">
        <v>4</v>
      </c>
      <c r="H135" s="197" t="s">
        <v>185</v>
      </c>
      <c r="I135" s="382"/>
      <c r="J135" s="393"/>
      <c r="K135" s="483"/>
      <c r="L135" s="532"/>
      <c r="M135" s="535"/>
      <c r="N135" s="552"/>
      <c r="O135" s="538"/>
    </row>
    <row r="136" spans="2:15" x14ac:dyDescent="0.25">
      <c r="B136" s="400"/>
      <c r="C136" s="400"/>
      <c r="D136" s="407"/>
      <c r="E136" s="422"/>
      <c r="F136" s="416"/>
      <c r="G136" s="214"/>
      <c r="H136" s="216" t="s">
        <v>704</v>
      </c>
      <c r="I136" s="383"/>
      <c r="J136" s="393"/>
      <c r="K136" s="483"/>
      <c r="L136" s="532"/>
      <c r="M136" s="535"/>
      <c r="N136" s="552"/>
      <c r="O136" s="538"/>
    </row>
    <row r="137" spans="2:15" x14ac:dyDescent="0.25">
      <c r="B137" s="400"/>
      <c r="C137" s="400"/>
      <c r="D137" s="407"/>
      <c r="E137" s="422"/>
      <c r="F137" s="416"/>
      <c r="G137" s="81"/>
      <c r="H137" s="216"/>
      <c r="I137" s="382"/>
      <c r="J137" s="393"/>
      <c r="K137" s="483"/>
      <c r="L137" s="532"/>
      <c r="M137" s="535"/>
      <c r="N137" s="552"/>
      <c r="O137" s="538"/>
    </row>
    <row r="138" spans="2:15" ht="3.75" customHeight="1" x14ac:dyDescent="0.25">
      <c r="B138" s="400"/>
      <c r="C138" s="400"/>
      <c r="D138" s="407"/>
      <c r="E138" s="422"/>
      <c r="F138" s="416"/>
      <c r="G138" s="81"/>
      <c r="H138" s="203"/>
      <c r="I138" s="382"/>
      <c r="J138" s="393"/>
      <c r="K138" s="483"/>
      <c r="L138" s="532"/>
      <c r="M138" s="535"/>
      <c r="N138" s="552"/>
      <c r="O138" s="538"/>
    </row>
    <row r="139" spans="2:15" ht="14.4" thickBot="1" x14ac:dyDescent="0.3">
      <c r="B139" s="401"/>
      <c r="C139" s="401"/>
      <c r="D139" s="408"/>
      <c r="E139" s="423"/>
      <c r="F139" s="417"/>
      <c r="G139" s="82"/>
      <c r="H139" s="204"/>
      <c r="I139" s="384"/>
      <c r="J139" s="394"/>
      <c r="K139" s="483"/>
      <c r="L139" s="532"/>
      <c r="M139" s="535"/>
      <c r="N139" s="552"/>
      <c r="O139" s="538"/>
    </row>
    <row r="140" spans="2:15" ht="14.4" thickBot="1" x14ac:dyDescent="0.3">
      <c r="B140" s="521" t="str">
        <f>+LEFT(C140,3)</f>
        <v>4.2</v>
      </c>
      <c r="C140" s="399" t="s">
        <v>186</v>
      </c>
      <c r="D140" s="418" t="s">
        <v>182</v>
      </c>
      <c r="E140" s="421" t="s">
        <v>718</v>
      </c>
      <c r="F140" s="415">
        <v>3</v>
      </c>
      <c r="G140" s="83">
        <v>1</v>
      </c>
      <c r="H140" s="132" t="s">
        <v>187</v>
      </c>
      <c r="I140" s="370" t="s">
        <v>707</v>
      </c>
      <c r="J140" s="402">
        <v>3</v>
      </c>
      <c r="K140" s="483" t="str">
        <f>+IF(OR(ISBLANK(F140),ISBLANK(J140)),"",IF(OR(AND(F140=1,J140=1),AND(F140=1,J140=2),AND(F140=1,J140=3)),"Deficiencia de control mayor (diseño y ejecución)",IF(OR(AND(F140=2,J140=2),AND(F140=3,J140=1),AND(F140=3,J140=2),AND(F140=2,J140=1)),"Deficiencia de control (diseño o ejecución)",IF(AND(F140=2,J140=3),"Oportunidad de mejora","Mantenimiento del control"))))</f>
        <v>Mantenimiento del control</v>
      </c>
      <c r="L140" s="532">
        <f>+IF(K140="",0,IF(K140="Deficiencia de control mayor (diseño y ejecución)",4,IF(K140="Deficiencia de control (diseño o ejecución)",20,IF(K140="Oportunidad de mejora",40,60))))</f>
        <v>60</v>
      </c>
      <c r="M140" s="535">
        <v>0.68964999999999999</v>
      </c>
      <c r="N140" s="552">
        <f>+L140+M140</f>
        <v>60.68965</v>
      </c>
      <c r="O140" s="538"/>
    </row>
    <row r="141" spans="2:15" x14ac:dyDescent="0.25">
      <c r="B141" s="522"/>
      <c r="C141" s="400"/>
      <c r="D141" s="419"/>
      <c r="E141" s="422"/>
      <c r="F141" s="416"/>
      <c r="G141" s="81">
        <v>2</v>
      </c>
      <c r="H141" s="132" t="s">
        <v>705</v>
      </c>
      <c r="I141" s="385"/>
      <c r="J141" s="393"/>
      <c r="K141" s="483"/>
      <c r="L141" s="532"/>
      <c r="M141" s="535"/>
      <c r="N141" s="552"/>
      <c r="O141" s="538"/>
    </row>
    <row r="142" spans="2:15" x14ac:dyDescent="0.25">
      <c r="B142" s="522"/>
      <c r="C142" s="400"/>
      <c r="D142" s="419"/>
      <c r="E142" s="422"/>
      <c r="F142" s="416"/>
      <c r="G142" s="81">
        <v>3</v>
      </c>
      <c r="H142" s="197" t="s">
        <v>185</v>
      </c>
      <c r="I142" s="385"/>
      <c r="J142" s="393"/>
      <c r="K142" s="483"/>
      <c r="L142" s="532"/>
      <c r="M142" s="535"/>
      <c r="N142" s="552"/>
      <c r="O142" s="538"/>
    </row>
    <row r="143" spans="2:15" ht="66" x14ac:dyDescent="0.25">
      <c r="B143" s="522"/>
      <c r="C143" s="400"/>
      <c r="D143" s="419"/>
      <c r="E143" s="422"/>
      <c r="F143" s="416"/>
      <c r="G143" s="81">
        <v>4</v>
      </c>
      <c r="H143" s="133" t="s">
        <v>708</v>
      </c>
      <c r="I143" s="385"/>
      <c r="J143" s="393"/>
      <c r="K143" s="483"/>
      <c r="L143" s="532"/>
      <c r="M143" s="535"/>
      <c r="N143" s="552"/>
      <c r="O143" s="538"/>
    </row>
    <row r="144" spans="2:15" x14ac:dyDescent="0.25">
      <c r="B144" s="522"/>
      <c r="C144" s="400"/>
      <c r="D144" s="419"/>
      <c r="E144" s="422"/>
      <c r="F144" s="416"/>
      <c r="G144" s="81">
        <v>5</v>
      </c>
      <c r="H144" s="133" t="s">
        <v>706</v>
      </c>
      <c r="I144" s="385"/>
      <c r="J144" s="393"/>
      <c r="K144" s="483"/>
      <c r="L144" s="532"/>
      <c r="M144" s="535"/>
      <c r="N144" s="552"/>
      <c r="O144" s="538"/>
    </row>
    <row r="145" spans="2:15" x14ac:dyDescent="0.25">
      <c r="B145" s="522"/>
      <c r="C145" s="400"/>
      <c r="D145" s="419"/>
      <c r="E145" s="422"/>
      <c r="F145" s="416"/>
      <c r="G145" s="81"/>
      <c r="H145" s="133"/>
      <c r="I145" s="385"/>
      <c r="J145" s="393"/>
      <c r="K145" s="483"/>
      <c r="L145" s="532"/>
      <c r="M145" s="535"/>
      <c r="N145" s="552"/>
      <c r="O145" s="538"/>
    </row>
    <row r="146" spans="2:15" x14ac:dyDescent="0.25">
      <c r="B146" s="522"/>
      <c r="C146" s="400"/>
      <c r="D146" s="419"/>
      <c r="E146" s="422"/>
      <c r="F146" s="416"/>
      <c r="G146" s="81"/>
      <c r="H146" s="133"/>
      <c r="I146" s="385"/>
      <c r="J146" s="393"/>
      <c r="K146" s="483"/>
      <c r="L146" s="532"/>
      <c r="M146" s="535"/>
      <c r="N146" s="552"/>
      <c r="O146" s="538"/>
    </row>
    <row r="147" spans="2:15" ht="54" customHeight="1" thickBot="1" x14ac:dyDescent="0.3">
      <c r="B147" s="523"/>
      <c r="C147" s="401"/>
      <c r="D147" s="420"/>
      <c r="E147" s="423"/>
      <c r="F147" s="417"/>
      <c r="G147" s="82"/>
      <c r="H147" s="134"/>
      <c r="I147" s="386"/>
      <c r="J147" s="394"/>
      <c r="K147" s="483"/>
      <c r="L147" s="532"/>
      <c r="M147" s="535"/>
      <c r="N147" s="552"/>
      <c r="O147" s="538"/>
    </row>
    <row r="148" spans="2:15" ht="52.8" x14ac:dyDescent="0.25">
      <c r="B148" s="399" t="str">
        <f>+LEFT(C148,3)</f>
        <v>4.3</v>
      </c>
      <c r="C148" s="399" t="s">
        <v>188</v>
      </c>
      <c r="D148" s="406" t="s">
        <v>182</v>
      </c>
      <c r="E148" s="370" t="s">
        <v>719</v>
      </c>
      <c r="F148" s="402">
        <v>3</v>
      </c>
      <c r="G148" s="83">
        <v>1</v>
      </c>
      <c r="H148" s="132" t="s">
        <v>709</v>
      </c>
      <c r="I148" s="367" t="s">
        <v>714</v>
      </c>
      <c r="J148" s="402">
        <v>3</v>
      </c>
      <c r="K148" s="483" t="str">
        <f>+IF(OR(ISBLANK(F148),ISBLANK(J148)),"",IF(OR(AND(F148=1,J148=1),AND(F148=1,J148=2),AND(F148=1,J148=3)),"Deficiencia de control mayor (diseño y ejecución)",IF(OR(AND(F148=2,J148=2),AND(F148=3,J148=1),AND(F148=3,J148=2),AND(F148=2,J148=1)),"Deficiencia de control (diseño o ejecución)",IF(AND(F148=2,J148=3),"Oportunidad de mejora","Mantenimiento del control"))))</f>
        <v>Mantenimiento del control</v>
      </c>
      <c r="L148" s="532">
        <f>+IF(K148="",0,IF(K148="Deficiencia de control mayor (diseño y ejecución)",4,IF(K148="Deficiencia de control (diseño o ejecución)",20,IF(K148="Oportunidad de mejora",40,60))))</f>
        <v>60</v>
      </c>
      <c r="M148" s="535">
        <v>0.78964999999999996</v>
      </c>
      <c r="N148" s="552">
        <f>+L148+M148</f>
        <v>60.789650000000002</v>
      </c>
      <c r="O148" s="538"/>
    </row>
    <row r="149" spans="2:15" x14ac:dyDescent="0.25">
      <c r="B149" s="400"/>
      <c r="C149" s="400"/>
      <c r="D149" s="407"/>
      <c r="E149" s="372"/>
      <c r="F149" s="393"/>
      <c r="G149" s="81">
        <v>2</v>
      </c>
      <c r="H149" s="133"/>
      <c r="I149" s="378"/>
      <c r="J149" s="393"/>
      <c r="K149" s="483"/>
      <c r="L149" s="532"/>
      <c r="M149" s="535"/>
      <c r="N149" s="552"/>
      <c r="O149" s="538"/>
    </row>
    <row r="150" spans="2:15" x14ac:dyDescent="0.25">
      <c r="B150" s="400"/>
      <c r="C150" s="400"/>
      <c r="D150" s="407"/>
      <c r="E150" s="372"/>
      <c r="F150" s="393"/>
      <c r="G150" s="81">
        <v>3</v>
      </c>
      <c r="H150" s="133"/>
      <c r="I150" s="378"/>
      <c r="J150" s="393"/>
      <c r="K150" s="483"/>
      <c r="L150" s="532"/>
      <c r="M150" s="535"/>
      <c r="N150" s="552"/>
      <c r="O150" s="538"/>
    </row>
    <row r="151" spans="2:15" x14ac:dyDescent="0.25">
      <c r="B151" s="400"/>
      <c r="C151" s="400"/>
      <c r="D151" s="407"/>
      <c r="E151" s="372"/>
      <c r="F151" s="393"/>
      <c r="G151" s="81">
        <v>4</v>
      </c>
      <c r="H151" s="197"/>
      <c r="I151" s="378"/>
      <c r="J151" s="393"/>
      <c r="K151" s="483"/>
      <c r="L151" s="532"/>
      <c r="M151" s="535"/>
      <c r="N151" s="552"/>
      <c r="O151" s="538"/>
    </row>
    <row r="152" spans="2:15" x14ac:dyDescent="0.25">
      <c r="B152" s="400"/>
      <c r="C152" s="400"/>
      <c r="D152" s="407"/>
      <c r="E152" s="372"/>
      <c r="F152" s="393"/>
      <c r="G152" s="81"/>
      <c r="H152" s="133"/>
      <c r="I152" s="378"/>
      <c r="J152" s="393"/>
      <c r="K152" s="483"/>
      <c r="L152" s="532"/>
      <c r="M152" s="535"/>
      <c r="N152" s="552"/>
      <c r="O152" s="538"/>
    </row>
    <row r="153" spans="2:15" x14ac:dyDescent="0.25">
      <c r="B153" s="400"/>
      <c r="C153" s="400"/>
      <c r="D153" s="407"/>
      <c r="E153" s="372"/>
      <c r="F153" s="393"/>
      <c r="G153" s="81"/>
      <c r="H153" s="133"/>
      <c r="I153" s="378"/>
      <c r="J153" s="393"/>
      <c r="K153" s="483"/>
      <c r="L153" s="532"/>
      <c r="M153" s="535"/>
      <c r="N153" s="552"/>
      <c r="O153" s="538"/>
    </row>
    <row r="154" spans="2:15" x14ac:dyDescent="0.25">
      <c r="B154" s="400"/>
      <c r="C154" s="400"/>
      <c r="D154" s="407"/>
      <c r="E154" s="372"/>
      <c r="F154" s="393"/>
      <c r="G154" s="81"/>
      <c r="H154" s="133"/>
      <c r="I154" s="378"/>
      <c r="J154" s="393"/>
      <c r="K154" s="483"/>
      <c r="L154" s="532"/>
      <c r="M154" s="535"/>
      <c r="N154" s="552"/>
      <c r="O154" s="538"/>
    </row>
    <row r="155" spans="2:15" ht="14.4" thickBot="1" x14ac:dyDescent="0.3">
      <c r="B155" s="401"/>
      <c r="C155" s="401"/>
      <c r="D155" s="408"/>
      <c r="E155" s="373"/>
      <c r="F155" s="394"/>
      <c r="G155" s="82"/>
      <c r="H155" s="220"/>
      <c r="I155" s="379"/>
      <c r="J155" s="394"/>
      <c r="K155" s="483"/>
      <c r="L155" s="532"/>
      <c r="M155" s="535"/>
      <c r="N155" s="552"/>
      <c r="O155" s="538"/>
    </row>
    <row r="156" spans="2:15" ht="26.4" x14ac:dyDescent="0.25">
      <c r="B156" s="399" t="str">
        <f>+LEFT(C156,3)</f>
        <v>4.4</v>
      </c>
      <c r="C156" s="399" t="s">
        <v>189</v>
      </c>
      <c r="D156" s="406" t="s">
        <v>182</v>
      </c>
      <c r="E156" s="421" t="s">
        <v>713</v>
      </c>
      <c r="F156" s="402">
        <v>3</v>
      </c>
      <c r="G156" s="83">
        <v>1</v>
      </c>
      <c r="H156" s="132" t="s">
        <v>712</v>
      </c>
      <c r="I156" s="370" t="s">
        <v>716</v>
      </c>
      <c r="J156" s="402">
        <v>3</v>
      </c>
      <c r="K156" s="483" t="str">
        <f>+IF(OR(ISBLANK(F156),ISBLANK(J156)),"",IF(OR(AND(F156=1,J156=1),AND(F156=1,J156=2),AND(F156=1,J156=3)),"Deficiencia de control mayor (diseño y ejecución)",IF(OR(AND(F156=2,J156=2),AND(F156=3,J156=1),AND(F156=3,J156=2),AND(F156=2,J156=1)),"Deficiencia de control (diseño o ejecución)",IF(AND(F156=2,J156=3),"Oportunidad de mejora","Mantenimiento del control"))))</f>
        <v>Mantenimiento del control</v>
      </c>
      <c r="L156" s="532">
        <f>+IF(K156="",0,IF(K156="Deficiencia de control mayor (diseño y ejecución)",4,IF(K156="Deficiencia de control (diseño o ejecución)",20,IF(K156="Oportunidad de mejora",40,60))))</f>
        <v>60</v>
      </c>
      <c r="M156" s="535">
        <v>0.88965000000000005</v>
      </c>
      <c r="N156" s="552">
        <f>+L156+M156</f>
        <v>60.889650000000003</v>
      </c>
      <c r="O156" s="538"/>
    </row>
    <row r="157" spans="2:15" ht="26.4" x14ac:dyDescent="0.25">
      <c r="B157" s="400"/>
      <c r="C157" s="400"/>
      <c r="D157" s="407"/>
      <c r="E157" s="422"/>
      <c r="F157" s="393"/>
      <c r="G157" s="81">
        <v>2</v>
      </c>
      <c r="H157" s="133" t="s">
        <v>190</v>
      </c>
      <c r="I157" s="372"/>
      <c r="J157" s="393"/>
      <c r="K157" s="483"/>
      <c r="L157" s="532"/>
      <c r="M157" s="535"/>
      <c r="N157" s="552"/>
      <c r="O157" s="538"/>
    </row>
    <row r="158" spans="2:15" x14ac:dyDescent="0.25">
      <c r="B158" s="400"/>
      <c r="C158" s="400"/>
      <c r="D158" s="407"/>
      <c r="E158" s="422"/>
      <c r="F158" s="393"/>
      <c r="G158" s="81">
        <v>3</v>
      </c>
      <c r="H158" s="133" t="s">
        <v>710</v>
      </c>
      <c r="I158" s="372"/>
      <c r="J158" s="393"/>
      <c r="K158" s="483"/>
      <c r="L158" s="532"/>
      <c r="M158" s="535"/>
      <c r="N158" s="552"/>
      <c r="O158" s="538"/>
    </row>
    <row r="159" spans="2:15" x14ac:dyDescent="0.25">
      <c r="B159" s="400"/>
      <c r="C159" s="400"/>
      <c r="D159" s="407"/>
      <c r="E159" s="422"/>
      <c r="F159" s="393"/>
      <c r="G159" s="81">
        <v>4</v>
      </c>
      <c r="H159" s="212" t="s">
        <v>711</v>
      </c>
      <c r="I159" s="372"/>
      <c r="J159" s="393"/>
      <c r="K159" s="483"/>
      <c r="L159" s="532"/>
      <c r="M159" s="535"/>
      <c r="N159" s="552"/>
      <c r="O159" s="538"/>
    </row>
    <row r="160" spans="2:15" x14ac:dyDescent="0.25">
      <c r="B160" s="400"/>
      <c r="C160" s="400"/>
      <c r="D160" s="407"/>
      <c r="E160" s="422"/>
      <c r="F160" s="393"/>
      <c r="G160" s="81">
        <v>5</v>
      </c>
      <c r="H160" s="243" t="s">
        <v>160</v>
      </c>
      <c r="I160" s="372"/>
      <c r="J160" s="393"/>
      <c r="K160" s="483"/>
      <c r="L160" s="532"/>
      <c r="M160" s="535"/>
      <c r="N160" s="552"/>
      <c r="O160" s="538"/>
    </row>
    <row r="161" spans="1:15" ht="26.4" x14ac:dyDescent="0.25">
      <c r="B161" s="400"/>
      <c r="C161" s="400"/>
      <c r="D161" s="407"/>
      <c r="E161" s="422"/>
      <c r="F161" s="393"/>
      <c r="G161" s="81">
        <v>6</v>
      </c>
      <c r="H161" s="133" t="s">
        <v>715</v>
      </c>
      <c r="I161" s="372"/>
      <c r="J161" s="393"/>
      <c r="K161" s="483"/>
      <c r="L161" s="532"/>
      <c r="M161" s="535"/>
      <c r="N161" s="552"/>
      <c r="O161" s="538"/>
    </row>
    <row r="162" spans="1:15" ht="24.75" customHeight="1" x14ac:dyDescent="0.25">
      <c r="B162" s="400"/>
      <c r="C162" s="400"/>
      <c r="D162" s="407"/>
      <c r="E162" s="422"/>
      <c r="F162" s="393"/>
      <c r="G162" s="81"/>
      <c r="I162" s="372"/>
      <c r="J162" s="393"/>
      <c r="K162" s="483"/>
      <c r="L162" s="532"/>
      <c r="M162" s="535"/>
      <c r="N162" s="552"/>
      <c r="O162" s="538"/>
    </row>
    <row r="163" spans="1:15" ht="45" customHeight="1" thickBot="1" x14ac:dyDescent="0.3">
      <c r="B163" s="401"/>
      <c r="C163" s="401"/>
      <c r="D163" s="408"/>
      <c r="E163" s="423"/>
      <c r="F163" s="394"/>
      <c r="G163" s="82"/>
      <c r="H163" s="131"/>
      <c r="I163" s="373"/>
      <c r="J163" s="394"/>
      <c r="K163" s="483"/>
      <c r="L163" s="532"/>
      <c r="M163" s="535"/>
      <c r="N163" s="552"/>
      <c r="O163" s="538"/>
    </row>
    <row r="164" spans="1:15" x14ac:dyDescent="0.25">
      <c r="A164" s="147"/>
      <c r="B164" s="528" t="str">
        <f>+LEFT(C164,3)</f>
        <v>4.5</v>
      </c>
      <c r="C164" s="399" t="s">
        <v>191</v>
      </c>
      <c r="D164" s="406" t="s">
        <v>182</v>
      </c>
      <c r="E164" s="370" t="s">
        <v>720</v>
      </c>
      <c r="F164" s="490">
        <v>3</v>
      </c>
      <c r="G164" s="146">
        <v>1</v>
      </c>
      <c r="H164" s="133" t="s">
        <v>192</v>
      </c>
      <c r="I164" s="377" t="s">
        <v>721</v>
      </c>
      <c r="J164" s="402">
        <v>3</v>
      </c>
      <c r="K164" s="483" t="str">
        <f>+IF(OR(ISBLANK(F164),ISBLANK(J164)),"",IF(OR(AND(F164=1,J164=1),AND(F164=1,J164=2),AND(F164=1,J164=3)),"Deficiencia de control mayor (diseño y ejecución)",IF(OR(AND(F164=2,J164=2),AND(F164=3,J164=1),AND(F164=3,J164=2),AND(F164=2,J164=1)),"Deficiencia de control (diseño o ejecución)",IF(AND(F164=2,J164=3),"Oportunidad de mejora","Mantenimiento del control"))))</f>
        <v>Mantenimiento del control</v>
      </c>
      <c r="L164" s="532">
        <f>+IF(K164="",0,IF(K164="Deficiencia de control mayor (diseño y ejecución)",4,IF(K164="Deficiencia de control (diseño o ejecución)",20,IF(K164="Oportunidad de mejora",40,60))))</f>
        <v>60</v>
      </c>
      <c r="M164" s="535">
        <v>0.98965000000000003</v>
      </c>
      <c r="N164" s="557" t="s">
        <v>193</v>
      </c>
      <c r="O164" s="540"/>
    </row>
    <row r="165" spans="1:15" x14ac:dyDescent="0.25">
      <c r="A165" s="147"/>
      <c r="B165" s="529"/>
      <c r="C165" s="400"/>
      <c r="D165" s="407"/>
      <c r="E165" s="372"/>
      <c r="F165" s="491"/>
      <c r="G165" s="139">
        <v>2</v>
      </c>
      <c r="H165" s="133" t="s">
        <v>194</v>
      </c>
      <c r="I165" s="378"/>
      <c r="J165" s="393"/>
      <c r="K165" s="483"/>
      <c r="L165" s="532"/>
      <c r="M165" s="535"/>
      <c r="N165" s="557"/>
      <c r="O165" s="540"/>
    </row>
    <row r="166" spans="1:15" ht="26.4" x14ac:dyDescent="0.25">
      <c r="A166" s="147"/>
      <c r="B166" s="529"/>
      <c r="C166" s="400"/>
      <c r="D166" s="407"/>
      <c r="E166" s="372"/>
      <c r="F166" s="491"/>
      <c r="G166" s="139"/>
      <c r="H166" s="148" t="s">
        <v>717</v>
      </c>
      <c r="I166" s="378"/>
      <c r="J166" s="393"/>
      <c r="K166" s="483"/>
      <c r="L166" s="532"/>
      <c r="M166" s="535"/>
      <c r="N166" s="557"/>
      <c r="O166" s="540"/>
    </row>
    <row r="167" spans="1:15" x14ac:dyDescent="0.25">
      <c r="A167" s="147"/>
      <c r="B167" s="529"/>
      <c r="C167" s="400"/>
      <c r="D167" s="407"/>
      <c r="E167" s="372"/>
      <c r="F167" s="491"/>
      <c r="G167" s="139"/>
      <c r="H167" s="149"/>
      <c r="I167" s="378"/>
      <c r="J167" s="393"/>
      <c r="K167" s="483"/>
      <c r="L167" s="532"/>
      <c r="M167" s="535"/>
      <c r="N167" s="557"/>
      <c r="O167" s="540"/>
    </row>
    <row r="168" spans="1:15" x14ac:dyDescent="0.25">
      <c r="A168" s="147"/>
      <c r="B168" s="529"/>
      <c r="C168" s="400"/>
      <c r="D168" s="407"/>
      <c r="E168" s="372"/>
      <c r="F168" s="491"/>
      <c r="G168" s="139"/>
      <c r="H168" s="148"/>
      <c r="I168" s="378"/>
      <c r="J168" s="393"/>
      <c r="K168" s="483"/>
      <c r="L168" s="532"/>
      <c r="M168" s="535"/>
      <c r="N168" s="557"/>
      <c r="O168" s="540"/>
    </row>
    <row r="169" spans="1:15" x14ac:dyDescent="0.25">
      <c r="A169" s="147"/>
      <c r="B169" s="529"/>
      <c r="C169" s="400"/>
      <c r="D169" s="407"/>
      <c r="E169" s="372"/>
      <c r="F169" s="491"/>
      <c r="G169" s="139"/>
      <c r="H169" s="148"/>
      <c r="I169" s="378"/>
      <c r="J169" s="393"/>
      <c r="K169" s="483"/>
      <c r="L169" s="532"/>
      <c r="M169" s="535"/>
      <c r="N169" s="557"/>
      <c r="O169" s="540"/>
    </row>
    <row r="170" spans="1:15" x14ac:dyDescent="0.25">
      <c r="A170" s="147"/>
      <c r="B170" s="529"/>
      <c r="C170" s="400"/>
      <c r="D170" s="407"/>
      <c r="E170" s="372"/>
      <c r="F170" s="491"/>
      <c r="G170" s="139"/>
      <c r="H170" s="149"/>
      <c r="I170" s="378"/>
      <c r="J170" s="393"/>
      <c r="K170" s="483"/>
      <c r="L170" s="532"/>
      <c r="M170" s="535"/>
      <c r="N170" s="557"/>
      <c r="O170" s="540"/>
    </row>
    <row r="171" spans="1:15" ht="14.4" thickBot="1" x14ac:dyDescent="0.3">
      <c r="A171" s="147"/>
      <c r="B171" s="530"/>
      <c r="C171" s="401"/>
      <c r="D171" s="408"/>
      <c r="E171" s="373"/>
      <c r="F171" s="492"/>
      <c r="G171" s="144"/>
      <c r="H171" s="150"/>
      <c r="I171" s="379"/>
      <c r="J171" s="394"/>
      <c r="K171" s="483"/>
      <c r="L171" s="532"/>
      <c r="M171" s="535"/>
      <c r="N171" s="557"/>
      <c r="O171" s="540"/>
    </row>
    <row r="172" spans="1:15" x14ac:dyDescent="0.25">
      <c r="A172" s="147"/>
      <c r="B172" s="528" t="str">
        <f>+LEFT(C172,3)</f>
        <v>4.6</v>
      </c>
      <c r="C172" s="542" t="s">
        <v>195</v>
      </c>
      <c r="D172" s="406" t="s">
        <v>182</v>
      </c>
      <c r="E172" s="370" t="s">
        <v>725</v>
      </c>
      <c r="F172" s="490">
        <v>3</v>
      </c>
      <c r="G172" s="146">
        <v>1</v>
      </c>
      <c r="H172" s="197" t="s">
        <v>722</v>
      </c>
      <c r="I172" s="367" t="s">
        <v>726</v>
      </c>
      <c r="J172" s="402">
        <v>3</v>
      </c>
      <c r="K172" s="548" t="str">
        <f>+IF(OR(ISBLANK(F172),ISBLANK(J172)),"",IF(OR(AND(F172=1,J172=1),AND(F172=1,J172=2),AND(F172=1,J172=3)),"Deficiencia de control mayor (diseño y ejecución)",IF(OR(AND(F172=2,J172=2),AND(F172=3,J172=1),AND(F172=3,J172=2),AND(F172=2,J172=1)),"Deficiencia de control (diseño o ejecución)",IF(AND(F172=2,J172=3),"Oportunidad de mejora","Mantenimiento del control"))))</f>
        <v>Mantenimiento del control</v>
      </c>
      <c r="L172" s="532">
        <f>+IF(K172="",0,IF(K172="Deficiencia de control mayor (diseño y ejecución)",4,IF(K172="Deficiencia de control (diseño o ejecución)",20,IF(K172="Oportunidad de mejora",40,60))))</f>
        <v>60</v>
      </c>
      <c r="M172" s="535">
        <v>0.98965199999999998</v>
      </c>
      <c r="N172" s="555">
        <f>+L172+M172</f>
        <v>60.989652</v>
      </c>
      <c r="O172" s="389"/>
    </row>
    <row r="173" spans="1:15" ht="39.6" x14ac:dyDescent="0.25">
      <c r="A173" s="147"/>
      <c r="B173" s="529"/>
      <c r="C173" s="543"/>
      <c r="D173" s="407"/>
      <c r="E173" s="440"/>
      <c r="F173" s="491"/>
      <c r="G173" s="139"/>
      <c r="H173" s="212" t="s">
        <v>723</v>
      </c>
      <c r="I173" s="378"/>
      <c r="J173" s="393"/>
      <c r="K173" s="549"/>
      <c r="L173" s="532"/>
      <c r="M173" s="535"/>
      <c r="N173" s="555"/>
      <c r="O173" s="389"/>
    </row>
    <row r="174" spans="1:15" ht="39.6" x14ac:dyDescent="0.25">
      <c r="A174" s="147"/>
      <c r="B174" s="529"/>
      <c r="C174" s="543"/>
      <c r="D174" s="407"/>
      <c r="E174" s="440"/>
      <c r="F174" s="491"/>
      <c r="G174" s="139"/>
      <c r="H174" s="143" t="s">
        <v>724</v>
      </c>
      <c r="I174" s="378"/>
      <c r="J174" s="393"/>
      <c r="K174" s="549"/>
      <c r="L174" s="532"/>
      <c r="M174" s="535"/>
      <c r="N174" s="555"/>
      <c r="O174" s="389"/>
    </row>
    <row r="175" spans="1:15" x14ac:dyDescent="0.25">
      <c r="A175" s="147"/>
      <c r="B175" s="529"/>
      <c r="C175" s="543"/>
      <c r="D175" s="407"/>
      <c r="E175" s="440"/>
      <c r="F175" s="491"/>
      <c r="G175" s="139"/>
      <c r="H175" s="148"/>
      <c r="I175" s="378"/>
      <c r="J175" s="393"/>
      <c r="K175" s="549"/>
      <c r="L175" s="532"/>
      <c r="M175" s="535"/>
      <c r="N175" s="555"/>
      <c r="O175" s="389"/>
    </row>
    <row r="176" spans="1:15" x14ac:dyDescent="0.25">
      <c r="A176" s="147"/>
      <c r="B176" s="529"/>
      <c r="C176" s="543"/>
      <c r="D176" s="407"/>
      <c r="E176" s="440"/>
      <c r="F176" s="491"/>
      <c r="G176" s="139"/>
      <c r="H176" s="148"/>
      <c r="I176" s="378"/>
      <c r="J176" s="393"/>
      <c r="K176" s="549"/>
      <c r="L176" s="532"/>
      <c r="M176" s="535"/>
      <c r="N176" s="555"/>
      <c r="O176" s="389"/>
    </row>
    <row r="177" spans="1:15" x14ac:dyDescent="0.25">
      <c r="A177" s="147"/>
      <c r="B177" s="529"/>
      <c r="C177" s="543"/>
      <c r="D177" s="407"/>
      <c r="E177" s="440"/>
      <c r="F177" s="491"/>
      <c r="G177" s="139"/>
      <c r="H177" s="148"/>
      <c r="I177" s="378"/>
      <c r="J177" s="393"/>
      <c r="K177" s="549"/>
      <c r="L177" s="532"/>
      <c r="M177" s="535"/>
      <c r="N177" s="555"/>
      <c r="O177" s="389"/>
    </row>
    <row r="178" spans="1:15" x14ac:dyDescent="0.25">
      <c r="A178" s="147"/>
      <c r="B178" s="529"/>
      <c r="C178" s="543"/>
      <c r="D178" s="407"/>
      <c r="E178" s="440"/>
      <c r="F178" s="491"/>
      <c r="G178" s="139"/>
      <c r="H178" s="148"/>
      <c r="I178" s="378"/>
      <c r="J178" s="393"/>
      <c r="K178" s="549"/>
      <c r="L178" s="532"/>
      <c r="M178" s="535"/>
      <c r="N178" s="555"/>
      <c r="O178" s="389"/>
    </row>
    <row r="179" spans="1:15" ht="118.2" customHeight="1" thickBot="1" x14ac:dyDescent="0.3">
      <c r="A179" s="147"/>
      <c r="B179" s="530"/>
      <c r="C179" s="544"/>
      <c r="D179" s="408"/>
      <c r="E179" s="441"/>
      <c r="F179" s="492"/>
      <c r="G179" s="144"/>
      <c r="H179" s="151"/>
      <c r="I179" s="379"/>
      <c r="J179" s="394"/>
      <c r="K179" s="550"/>
      <c r="L179" s="532"/>
      <c r="M179" s="535"/>
      <c r="N179" s="555"/>
      <c r="O179" s="389"/>
    </row>
    <row r="180" spans="1:15" x14ac:dyDescent="0.25">
      <c r="A180" s="147"/>
      <c r="B180" s="528" t="str">
        <f>+LEFT(C180,3)</f>
        <v>4.7</v>
      </c>
      <c r="C180" s="399" t="s">
        <v>196</v>
      </c>
      <c r="D180" s="406" t="s">
        <v>182</v>
      </c>
      <c r="E180" s="421" t="s">
        <v>727</v>
      </c>
      <c r="F180" s="484">
        <v>3</v>
      </c>
      <c r="G180" s="81">
        <v>1</v>
      </c>
      <c r="H180" s="133" t="s">
        <v>197</v>
      </c>
      <c r="I180" s="370" t="s">
        <v>730</v>
      </c>
      <c r="J180" s="487">
        <v>3</v>
      </c>
      <c r="K180" s="517" t="str">
        <f>+IF(OR(ISBLANK(F180),ISBLANK(J180)),"",IF(OR(AND(F180=1,J180=1),AND(F180=1,J180=2),AND(F180=1,J180=3)),"Deficiencia de control mayor (diseño y ejecución)",IF(OR(AND(F180=2,J180=2),AND(F180=3,J180=1),AND(F180=3,J180=2),AND(F180=2,J180=1)),"Deficiencia de control (diseño o ejecución)",IF(AND(F180=2,J180=3),"Oportunidad de mejora","Mantenimiento del control"))))</f>
        <v>Mantenimiento del control</v>
      </c>
      <c r="L180" s="532">
        <f>+IF(K180="",0,IF(K180="Deficiencia de control mayor (diseño y ejecución)",4,IF(K180="Deficiencia de control (diseño o ejecución)",20,IF(K180="Oportunidad de mejora",40,60))))</f>
        <v>60</v>
      </c>
      <c r="M180" s="535">
        <v>1.8962300000000001</v>
      </c>
      <c r="N180" s="552">
        <f>+L180+M180</f>
        <v>61.896230000000003</v>
      </c>
      <c r="O180" s="538"/>
    </row>
    <row r="181" spans="1:15" ht="26.4" x14ac:dyDescent="0.25">
      <c r="A181" s="147"/>
      <c r="B181" s="529"/>
      <c r="C181" s="400"/>
      <c r="D181" s="407"/>
      <c r="E181" s="422"/>
      <c r="F181" s="485"/>
      <c r="G181" s="81">
        <v>2</v>
      </c>
      <c r="H181" s="262" t="s">
        <v>198</v>
      </c>
      <c r="I181" s="372"/>
      <c r="J181" s="488"/>
      <c r="K181" s="483"/>
      <c r="L181" s="532"/>
      <c r="M181" s="535"/>
      <c r="N181" s="552"/>
      <c r="O181" s="538"/>
    </row>
    <row r="182" spans="1:15" x14ac:dyDescent="0.25">
      <c r="A182" s="147"/>
      <c r="B182" s="529"/>
      <c r="C182" s="400"/>
      <c r="D182" s="407"/>
      <c r="E182" s="422"/>
      <c r="F182" s="485"/>
      <c r="G182" s="81">
        <v>3</v>
      </c>
      <c r="H182" s="133" t="s">
        <v>199</v>
      </c>
      <c r="I182" s="372"/>
      <c r="J182" s="488"/>
      <c r="K182" s="483"/>
      <c r="L182" s="532"/>
      <c r="M182" s="535"/>
      <c r="N182" s="552"/>
      <c r="O182" s="538"/>
    </row>
    <row r="183" spans="1:15" ht="22.5" customHeight="1" x14ac:dyDescent="0.25">
      <c r="A183" s="147"/>
      <c r="B183" s="529"/>
      <c r="C183" s="400"/>
      <c r="D183" s="407"/>
      <c r="E183" s="422"/>
      <c r="F183" s="485"/>
      <c r="G183" s="81">
        <v>4</v>
      </c>
      <c r="H183" s="127" t="s">
        <v>728</v>
      </c>
      <c r="I183" s="372"/>
      <c r="J183" s="488"/>
      <c r="K183" s="483"/>
      <c r="L183" s="532"/>
      <c r="M183" s="535"/>
      <c r="N183" s="552"/>
      <c r="O183" s="538"/>
    </row>
    <row r="184" spans="1:15" x14ac:dyDescent="0.25">
      <c r="A184" s="147"/>
      <c r="B184" s="529"/>
      <c r="C184" s="400"/>
      <c r="D184" s="407"/>
      <c r="E184" s="422"/>
      <c r="F184" s="485"/>
      <c r="G184" s="81"/>
      <c r="H184" s="133"/>
      <c r="I184" s="372"/>
      <c r="J184" s="488"/>
      <c r="K184" s="483"/>
      <c r="L184" s="532"/>
      <c r="M184" s="535"/>
      <c r="N184" s="552"/>
      <c r="O184" s="538"/>
    </row>
    <row r="185" spans="1:15" x14ac:dyDescent="0.25">
      <c r="A185" s="147"/>
      <c r="B185" s="529"/>
      <c r="C185" s="400"/>
      <c r="D185" s="407"/>
      <c r="E185" s="422"/>
      <c r="F185" s="485"/>
      <c r="G185" s="81"/>
      <c r="H185" s="133"/>
      <c r="I185" s="372"/>
      <c r="J185" s="488"/>
      <c r="K185" s="483"/>
      <c r="L185" s="532"/>
      <c r="M185" s="535"/>
      <c r="N185" s="552"/>
      <c r="O185" s="538"/>
    </row>
    <row r="186" spans="1:15" x14ac:dyDescent="0.25">
      <c r="A186" s="147"/>
      <c r="B186" s="529"/>
      <c r="C186" s="400"/>
      <c r="D186" s="407"/>
      <c r="E186" s="422"/>
      <c r="F186" s="485"/>
      <c r="G186" s="81"/>
      <c r="H186" s="133"/>
      <c r="I186" s="372"/>
      <c r="J186" s="488"/>
      <c r="K186" s="483"/>
      <c r="L186" s="532"/>
      <c r="M186" s="535"/>
      <c r="N186" s="552"/>
      <c r="O186" s="538"/>
    </row>
    <row r="187" spans="1:15" ht="59.1" customHeight="1" thickBot="1" x14ac:dyDescent="0.3">
      <c r="A187" s="147"/>
      <c r="B187" s="530"/>
      <c r="C187" s="401"/>
      <c r="D187" s="408"/>
      <c r="E187" s="423"/>
      <c r="F187" s="486"/>
      <c r="G187" s="81"/>
      <c r="H187" s="133"/>
      <c r="I187" s="373"/>
      <c r="J187" s="489"/>
      <c r="K187" s="483"/>
      <c r="L187" s="532"/>
      <c r="M187" s="535"/>
      <c r="N187" s="552"/>
      <c r="O187" s="538"/>
    </row>
    <row r="188" spans="1:15" x14ac:dyDescent="0.25">
      <c r="B188" s="526"/>
      <c r="C188" s="481" t="s">
        <v>200</v>
      </c>
      <c r="D188" s="447" t="s">
        <v>8</v>
      </c>
      <c r="E188" s="464" t="s">
        <v>149</v>
      </c>
      <c r="F188" s="450" t="s">
        <v>150</v>
      </c>
      <c r="G188" s="475" t="s">
        <v>116</v>
      </c>
      <c r="H188" s="476"/>
      <c r="I188" s="477"/>
      <c r="J188" s="450" t="s">
        <v>151</v>
      </c>
      <c r="K188" s="514" t="s">
        <v>152</v>
      </c>
      <c r="L188" s="534"/>
      <c r="M188" s="537"/>
      <c r="N188" s="551"/>
      <c r="O188" s="539"/>
    </row>
    <row r="189" spans="1:15" x14ac:dyDescent="0.25">
      <c r="B189" s="527"/>
      <c r="C189" s="482"/>
      <c r="D189" s="448"/>
      <c r="E189" s="465"/>
      <c r="F189" s="450"/>
      <c r="G189" s="452" t="s">
        <v>13</v>
      </c>
      <c r="H189" s="454" t="s">
        <v>15</v>
      </c>
      <c r="I189" s="473" t="s">
        <v>119</v>
      </c>
      <c r="J189" s="450"/>
      <c r="K189" s="514"/>
      <c r="L189" s="534"/>
      <c r="M189" s="537"/>
      <c r="N189" s="551"/>
      <c r="O189" s="539"/>
    </row>
    <row r="190" spans="1:15" ht="96" customHeight="1" thickBot="1" x14ac:dyDescent="0.3">
      <c r="B190" s="527"/>
      <c r="C190" s="482"/>
      <c r="D190" s="449"/>
      <c r="E190" s="466"/>
      <c r="F190" s="451"/>
      <c r="G190" s="453"/>
      <c r="H190" s="472"/>
      <c r="I190" s="474"/>
      <c r="J190" s="451"/>
      <c r="K190" s="515"/>
      <c r="L190" s="534"/>
      <c r="M190" s="537"/>
      <c r="N190" s="551"/>
      <c r="O190" s="539"/>
    </row>
    <row r="191" spans="1:15" ht="124.2" customHeight="1" x14ac:dyDescent="0.25">
      <c r="B191" s="399" t="str">
        <f>+LEFT(C191,3)</f>
        <v>5.1</v>
      </c>
      <c r="C191" s="399" t="s">
        <v>201</v>
      </c>
      <c r="D191" s="406" t="s">
        <v>202</v>
      </c>
      <c r="E191" s="421" t="s">
        <v>729</v>
      </c>
      <c r="F191" s="415">
        <v>3</v>
      </c>
      <c r="G191" s="83">
        <v>1</v>
      </c>
      <c r="H191" s="133" t="s">
        <v>158</v>
      </c>
      <c r="I191" s="387" t="s">
        <v>734</v>
      </c>
      <c r="J191" s="402">
        <v>3</v>
      </c>
      <c r="K191" s="483" t="str">
        <f>+IF(OR(ISBLANK(F191),ISBLANK(J191)),"",IF(OR(AND(F191=1,J191=1),AND(F191=1,J191=2),AND(F191=1,J191=3)),"Deficiencia de control mayor (diseño y ejecución)",IF(OR(AND(F191=2,J191=2),AND(F191=3,J191=1),AND(F191=3,J191=2),AND(F191=2,J191=1)),"Deficiencia de control (diseño o ejecución)",IF(AND(F191=2,J191=3),"Oportunidad de mejora","Mantenimiento del control"))))</f>
        <v>Mantenimiento del control</v>
      </c>
      <c r="L191" s="532">
        <f>+IF(K191="",0,IF(K191="Deficiencia de control mayor (diseño y ejecución)",4,IF(K191="Deficiencia de control (diseño o ejecución)",20,IF(K191="Oportunidad de mejora",40,60))))</f>
        <v>60</v>
      </c>
      <c r="M191" s="535">
        <v>1.1896</v>
      </c>
      <c r="N191" s="552">
        <f>+L191+M191</f>
        <v>61.189599999999999</v>
      </c>
      <c r="O191" s="538"/>
    </row>
    <row r="192" spans="1:15" x14ac:dyDescent="0.25">
      <c r="B192" s="400"/>
      <c r="C192" s="400"/>
      <c r="D192" s="407"/>
      <c r="E192" s="470"/>
      <c r="F192" s="416"/>
      <c r="G192" s="81">
        <v>2</v>
      </c>
      <c r="H192" s="244" t="s">
        <v>159</v>
      </c>
      <c r="I192" s="388"/>
      <c r="J192" s="393"/>
      <c r="K192" s="483"/>
      <c r="L192" s="532"/>
      <c r="M192" s="535"/>
      <c r="N192" s="552"/>
      <c r="O192" s="538"/>
    </row>
    <row r="193" spans="2:15" x14ac:dyDescent="0.25">
      <c r="B193" s="400"/>
      <c r="C193" s="400"/>
      <c r="D193" s="407"/>
      <c r="E193" s="470"/>
      <c r="F193" s="416"/>
      <c r="G193" s="81">
        <v>3</v>
      </c>
      <c r="H193" s="244" t="s">
        <v>160</v>
      </c>
      <c r="I193" s="388"/>
      <c r="J193" s="393"/>
      <c r="K193" s="483"/>
      <c r="L193" s="532"/>
      <c r="M193" s="535"/>
      <c r="N193" s="552"/>
      <c r="O193" s="538"/>
    </row>
    <row r="194" spans="2:15" ht="26.4" x14ac:dyDescent="0.25">
      <c r="B194" s="400"/>
      <c r="C194" s="400"/>
      <c r="D194" s="407"/>
      <c r="E194" s="470"/>
      <c r="F194" s="416"/>
      <c r="G194" s="81">
        <v>4</v>
      </c>
      <c r="H194" s="133" t="s">
        <v>704</v>
      </c>
      <c r="I194" s="388"/>
      <c r="J194" s="393"/>
      <c r="K194" s="483"/>
      <c r="L194" s="532"/>
      <c r="M194" s="535"/>
      <c r="N194" s="552"/>
      <c r="O194" s="538"/>
    </row>
    <row r="195" spans="2:15" x14ac:dyDescent="0.25">
      <c r="B195" s="400"/>
      <c r="C195" s="400"/>
      <c r="D195" s="407"/>
      <c r="E195" s="470"/>
      <c r="F195" s="416"/>
      <c r="G195" s="81"/>
      <c r="H195" s="245"/>
      <c r="I195" s="388"/>
      <c r="J195" s="393"/>
      <c r="K195" s="483"/>
      <c r="L195" s="532"/>
      <c r="M195" s="535"/>
      <c r="N195" s="552"/>
      <c r="O195" s="538"/>
    </row>
    <row r="196" spans="2:15" x14ac:dyDescent="0.25">
      <c r="B196" s="400"/>
      <c r="C196" s="400"/>
      <c r="D196" s="407"/>
      <c r="E196" s="470"/>
      <c r="F196" s="416"/>
      <c r="G196" s="81"/>
      <c r="H196" s="133"/>
      <c r="I196" s="388"/>
      <c r="J196" s="393"/>
      <c r="K196" s="483"/>
      <c r="L196" s="532"/>
      <c r="M196" s="535"/>
      <c r="N196" s="552"/>
      <c r="O196" s="538"/>
    </row>
    <row r="197" spans="2:15" ht="14.4" thickBot="1" x14ac:dyDescent="0.3">
      <c r="B197" s="400"/>
      <c r="C197" s="400"/>
      <c r="D197" s="407"/>
      <c r="E197" s="470"/>
      <c r="F197" s="416"/>
      <c r="G197" s="81"/>
      <c r="H197" s="133"/>
      <c r="I197" s="388"/>
      <c r="J197" s="393"/>
      <c r="K197" s="483"/>
      <c r="L197" s="532"/>
      <c r="M197" s="535"/>
      <c r="N197" s="552"/>
      <c r="O197" s="538"/>
    </row>
    <row r="198" spans="2:15" x14ac:dyDescent="0.25">
      <c r="B198" s="521" t="str">
        <f>+LEFT(C198,3)</f>
        <v>5.2</v>
      </c>
      <c r="C198" s="399" t="s">
        <v>203</v>
      </c>
      <c r="D198" s="406" t="s">
        <v>204</v>
      </c>
      <c r="E198" s="367" t="s">
        <v>733</v>
      </c>
      <c r="F198" s="402">
        <v>3</v>
      </c>
      <c r="G198" s="83">
        <v>1</v>
      </c>
      <c r="H198" s="133" t="s">
        <v>731</v>
      </c>
      <c r="I198" s="370" t="s">
        <v>737</v>
      </c>
      <c r="J198" s="402">
        <v>3</v>
      </c>
      <c r="K198" s="483" t="str">
        <f>+IF(OR(ISBLANK(F198),ISBLANK(J198)),"",IF(OR(AND(F198=1,J198=1),AND(F198=1,J198=2),AND(F198=1,J198=3)),"Deficiencia de control mayor (diseño y ejecución)",IF(OR(AND(F198=2,J198=2),AND(F198=3,J198=1),AND(F198=3,J198=2),AND(F198=2,J198=1)),"Deficiencia de control (diseño o ejecución)",IF(AND(F198=2,J198=3),"Oportunidad de mejora","Mantenimiento del control"))))</f>
        <v>Mantenimiento del control</v>
      </c>
      <c r="L198" s="532">
        <f>+IF(K198="",0,IF(K198="Deficiencia de control mayor (diseño y ejecución)",4,IF(K198="Deficiencia de control (diseño o ejecución)",20,IF(K198="Oportunidad de mejora",40,60))))</f>
        <v>60</v>
      </c>
      <c r="M198" s="535">
        <v>1.28965</v>
      </c>
      <c r="N198" s="552">
        <f>+L198+M198</f>
        <v>61.289650000000002</v>
      </c>
      <c r="O198" s="538"/>
    </row>
    <row r="199" spans="2:15" ht="26.4" x14ac:dyDescent="0.25">
      <c r="B199" s="522"/>
      <c r="C199" s="400"/>
      <c r="D199" s="407"/>
      <c r="E199" s="368"/>
      <c r="F199" s="393"/>
      <c r="G199" s="81">
        <v>2</v>
      </c>
      <c r="H199" s="133" t="s">
        <v>732</v>
      </c>
      <c r="I199" s="372"/>
      <c r="J199" s="393"/>
      <c r="K199" s="483"/>
      <c r="L199" s="532"/>
      <c r="M199" s="535"/>
      <c r="N199" s="552"/>
      <c r="O199" s="538"/>
    </row>
    <row r="200" spans="2:15" x14ac:dyDescent="0.25">
      <c r="B200" s="522"/>
      <c r="C200" s="400"/>
      <c r="D200" s="407"/>
      <c r="E200" s="368"/>
      <c r="F200" s="393"/>
      <c r="G200" s="81">
        <v>3</v>
      </c>
      <c r="H200" s="244"/>
      <c r="I200" s="372"/>
      <c r="J200" s="393"/>
      <c r="K200" s="483"/>
      <c r="L200" s="532"/>
      <c r="M200" s="535"/>
      <c r="N200" s="552"/>
      <c r="O200" s="538"/>
    </row>
    <row r="201" spans="2:15" x14ac:dyDescent="0.25">
      <c r="B201" s="522"/>
      <c r="C201" s="400"/>
      <c r="D201" s="407"/>
      <c r="E201" s="368"/>
      <c r="F201" s="393"/>
      <c r="G201" s="81">
        <v>4</v>
      </c>
      <c r="H201" s="244"/>
      <c r="I201" s="372"/>
      <c r="J201" s="393"/>
      <c r="K201" s="483"/>
      <c r="L201" s="532"/>
      <c r="M201" s="535"/>
      <c r="N201" s="552"/>
      <c r="O201" s="538"/>
    </row>
    <row r="202" spans="2:15" x14ac:dyDescent="0.25">
      <c r="B202" s="522"/>
      <c r="C202" s="400"/>
      <c r="D202" s="407"/>
      <c r="E202" s="368"/>
      <c r="F202" s="393"/>
      <c r="G202" s="81">
        <v>5</v>
      </c>
      <c r="H202" s="197"/>
      <c r="I202" s="372"/>
      <c r="J202" s="393"/>
      <c r="K202" s="483"/>
      <c r="L202" s="532"/>
      <c r="M202" s="535"/>
      <c r="N202" s="552"/>
      <c r="O202" s="538"/>
    </row>
    <row r="203" spans="2:15" x14ac:dyDescent="0.25">
      <c r="B203" s="522"/>
      <c r="C203" s="400"/>
      <c r="D203" s="407"/>
      <c r="E203" s="368"/>
      <c r="F203" s="393"/>
      <c r="G203" s="81"/>
      <c r="H203" s="133"/>
      <c r="I203" s="372"/>
      <c r="J203" s="393"/>
      <c r="K203" s="483"/>
      <c r="L203" s="532"/>
      <c r="M203" s="535"/>
      <c r="N203" s="552"/>
      <c r="O203" s="538"/>
    </row>
    <row r="204" spans="2:15" x14ac:dyDescent="0.25">
      <c r="B204" s="522"/>
      <c r="C204" s="400"/>
      <c r="D204" s="407"/>
      <c r="E204" s="368"/>
      <c r="F204" s="393"/>
      <c r="G204" s="81"/>
      <c r="H204" s="130"/>
      <c r="I204" s="372"/>
      <c r="J204" s="393"/>
      <c r="K204" s="483"/>
      <c r="L204" s="532"/>
      <c r="M204" s="535"/>
      <c r="N204" s="552"/>
      <c r="O204" s="538"/>
    </row>
    <row r="205" spans="2:15" ht="98.25" customHeight="1" thickBot="1" x14ac:dyDescent="0.3">
      <c r="B205" s="523"/>
      <c r="C205" s="401"/>
      <c r="D205" s="408"/>
      <c r="E205" s="369"/>
      <c r="F205" s="394"/>
      <c r="G205" s="82"/>
      <c r="H205" s="131"/>
      <c r="I205" s="373"/>
      <c r="J205" s="394"/>
      <c r="K205" s="483"/>
      <c r="L205" s="532"/>
      <c r="M205" s="535"/>
      <c r="N205" s="552"/>
      <c r="O205" s="538"/>
    </row>
    <row r="206" spans="2:15" s="13" customFormat="1" ht="52.8" x14ac:dyDescent="0.25">
      <c r="B206" s="399" t="str">
        <f>+LEFT(C206,3)</f>
        <v>5.3</v>
      </c>
      <c r="C206" s="399" t="s">
        <v>205</v>
      </c>
      <c r="D206" s="406" t="s">
        <v>206</v>
      </c>
      <c r="E206" s="370" t="s">
        <v>738</v>
      </c>
      <c r="F206" s="402">
        <v>3</v>
      </c>
      <c r="G206" s="81">
        <v>1</v>
      </c>
      <c r="H206" s="133" t="s">
        <v>735</v>
      </c>
      <c r="I206" s="363" t="s">
        <v>740</v>
      </c>
      <c r="J206" s="402">
        <v>3</v>
      </c>
      <c r="K206" s="483" t="str">
        <f>+IF(OR(ISBLANK(F206),ISBLANK(J206)),"",IF(OR(AND(F206=1,J206=1),AND(F206=1,J206=2),AND(F206=1,J206=3)),"Deficiencia de control mayor (diseño y ejecución)",IF(OR(AND(F206=2,J206=2),AND(F206=3,J206=1),AND(F206=3,J206=2),AND(F206=2,J206=1)),"Deficiencia de control (diseño o ejecución)",IF(AND(F206=2,J206=3),"Oportunidad de mejora","Mantenimiento del control"))))</f>
        <v>Mantenimiento del control</v>
      </c>
      <c r="L206" s="533">
        <f>+IF(K206="",0,IF(K206="Deficiencia de control mayor (diseño y ejecución)",4,IF(K206="Deficiencia de control (diseño o ejecución)",20,IF(K206="Oportunidad de mejora",40,60))))</f>
        <v>60</v>
      </c>
      <c r="M206" s="535">
        <v>1.3896299999999999</v>
      </c>
      <c r="N206" s="558">
        <f>+L206+M206</f>
        <v>61.389629999999997</v>
      </c>
      <c r="O206" s="541"/>
    </row>
    <row r="207" spans="2:15" s="13" customFormat="1" x14ac:dyDescent="0.25">
      <c r="B207" s="400"/>
      <c r="C207" s="400"/>
      <c r="D207" s="407"/>
      <c r="E207" s="372"/>
      <c r="F207" s="393"/>
      <c r="G207" s="81">
        <v>2</v>
      </c>
      <c r="H207" s="133" t="s">
        <v>736</v>
      </c>
      <c r="I207" s="364"/>
      <c r="J207" s="393"/>
      <c r="K207" s="483"/>
      <c r="L207" s="533"/>
      <c r="M207" s="535"/>
      <c r="N207" s="558"/>
      <c r="O207" s="541"/>
    </row>
    <row r="208" spans="2:15" s="13" customFormat="1" ht="37.5" customHeight="1" x14ac:dyDescent="0.25">
      <c r="B208" s="400"/>
      <c r="C208" s="400"/>
      <c r="D208" s="407"/>
      <c r="E208" s="372"/>
      <c r="F208" s="393"/>
      <c r="G208" s="81">
        <v>3</v>
      </c>
      <c r="H208" s="133" t="s">
        <v>739</v>
      </c>
      <c r="I208" s="364"/>
      <c r="J208" s="393"/>
      <c r="K208" s="483"/>
      <c r="L208" s="533"/>
      <c r="M208" s="535"/>
      <c r="N208" s="558"/>
      <c r="O208" s="541"/>
    </row>
    <row r="209" spans="2:15" s="13" customFormat="1" x14ac:dyDescent="0.25">
      <c r="B209" s="400"/>
      <c r="C209" s="400"/>
      <c r="D209" s="407"/>
      <c r="E209" s="372"/>
      <c r="F209" s="393"/>
      <c r="G209" s="81">
        <v>4</v>
      </c>
      <c r="H209" s="133"/>
      <c r="I209" s="364"/>
      <c r="J209" s="393"/>
      <c r="K209" s="483"/>
      <c r="L209" s="533"/>
      <c r="M209" s="535"/>
      <c r="N209" s="558"/>
      <c r="O209" s="541"/>
    </row>
    <row r="210" spans="2:15" s="13" customFormat="1" x14ac:dyDescent="0.25">
      <c r="B210" s="400"/>
      <c r="C210" s="400"/>
      <c r="D210" s="407"/>
      <c r="E210" s="372"/>
      <c r="F210" s="393"/>
      <c r="G210" s="81">
        <v>5</v>
      </c>
      <c r="I210" s="364"/>
      <c r="J210" s="393"/>
      <c r="K210" s="483"/>
      <c r="L210" s="533"/>
      <c r="M210" s="535"/>
      <c r="N210" s="558"/>
      <c r="O210" s="541"/>
    </row>
    <row r="211" spans="2:15" s="13" customFormat="1" x14ac:dyDescent="0.25">
      <c r="B211" s="400"/>
      <c r="C211" s="400"/>
      <c r="D211" s="407"/>
      <c r="E211" s="372"/>
      <c r="F211" s="393"/>
      <c r="G211" s="81">
        <v>6</v>
      </c>
      <c r="H211" s="133"/>
      <c r="I211" s="364"/>
      <c r="J211" s="393"/>
      <c r="K211" s="483"/>
      <c r="L211" s="533"/>
      <c r="M211" s="535"/>
      <c r="N211" s="558"/>
      <c r="O211" s="541"/>
    </row>
    <row r="212" spans="2:15" s="13" customFormat="1" x14ac:dyDescent="0.25">
      <c r="B212" s="400"/>
      <c r="C212" s="400"/>
      <c r="D212" s="407"/>
      <c r="E212" s="372"/>
      <c r="F212" s="393"/>
      <c r="G212" s="81">
        <v>7</v>
      </c>
      <c r="H212" s="133"/>
      <c r="I212" s="364"/>
      <c r="J212" s="393"/>
      <c r="K212" s="483"/>
      <c r="L212" s="533"/>
      <c r="M212" s="535"/>
      <c r="N212" s="558"/>
      <c r="O212" s="541"/>
    </row>
    <row r="213" spans="2:15" s="13" customFormat="1" x14ac:dyDescent="0.25">
      <c r="B213" s="438"/>
      <c r="C213" s="438"/>
      <c r="D213" s="407"/>
      <c r="E213" s="372"/>
      <c r="F213" s="393"/>
      <c r="G213" s="133"/>
      <c r="H213" s="133"/>
      <c r="I213" s="365"/>
      <c r="J213" s="393"/>
      <c r="K213" s="483"/>
      <c r="L213" s="533"/>
      <c r="M213" s="535"/>
      <c r="N213" s="558"/>
      <c r="O213" s="541"/>
    </row>
    <row r="214" spans="2:15" s="13" customFormat="1" x14ac:dyDescent="0.25">
      <c r="B214" s="438"/>
      <c r="C214" s="438"/>
      <c r="D214" s="407"/>
      <c r="E214" s="372"/>
      <c r="F214" s="393"/>
      <c r="G214" s="133"/>
      <c r="H214" s="133"/>
      <c r="I214" s="365"/>
      <c r="J214" s="393"/>
      <c r="K214" s="483"/>
      <c r="L214" s="533"/>
      <c r="M214" s="535"/>
      <c r="N214" s="558"/>
      <c r="O214" s="541"/>
    </row>
    <row r="215" spans="2:15" s="13" customFormat="1" ht="3.75" customHeight="1" thickBot="1" x14ac:dyDescent="0.3">
      <c r="B215" s="438"/>
      <c r="C215" s="438"/>
      <c r="D215" s="407"/>
      <c r="E215" s="372"/>
      <c r="F215" s="393"/>
      <c r="G215" s="133"/>
      <c r="H215" s="133"/>
      <c r="I215" s="365"/>
      <c r="J215" s="393"/>
      <c r="K215" s="483"/>
      <c r="L215" s="533"/>
      <c r="M215" s="535"/>
      <c r="N215" s="558"/>
      <c r="O215" s="541"/>
    </row>
    <row r="216" spans="2:15" s="13" customFormat="1" ht="14.4" hidden="1" thickBot="1" x14ac:dyDescent="0.3">
      <c r="B216" s="438"/>
      <c r="C216" s="438"/>
      <c r="D216" s="407"/>
      <c r="E216" s="372"/>
      <c r="F216" s="393"/>
      <c r="G216" s="133"/>
      <c r="H216" s="133"/>
      <c r="I216" s="365"/>
      <c r="J216" s="393"/>
      <c r="K216" s="483"/>
      <c r="L216" s="533"/>
      <c r="M216" s="535"/>
      <c r="N216" s="558"/>
      <c r="O216" s="541"/>
    </row>
    <row r="217" spans="2:15" s="13" customFormat="1" ht="14.4" hidden="1" thickBot="1" x14ac:dyDescent="0.3">
      <c r="B217" s="438"/>
      <c r="C217" s="438"/>
      <c r="D217" s="407"/>
      <c r="E217" s="372"/>
      <c r="F217" s="393"/>
      <c r="G217" s="133"/>
      <c r="H217" s="133"/>
      <c r="I217" s="365"/>
      <c r="J217" s="393"/>
      <c r="K217" s="483"/>
      <c r="L217" s="533"/>
      <c r="M217" s="535"/>
      <c r="N217" s="558"/>
      <c r="O217" s="541"/>
    </row>
    <row r="218" spans="2:15" s="13" customFormat="1" ht="14.4" hidden="1" thickBot="1" x14ac:dyDescent="0.3">
      <c r="B218" s="438"/>
      <c r="C218" s="438"/>
      <c r="D218" s="407"/>
      <c r="E218" s="372"/>
      <c r="F218" s="393"/>
      <c r="G218" s="133"/>
      <c r="H218" s="133"/>
      <c r="I218" s="365"/>
      <c r="J218" s="393"/>
      <c r="K218" s="483"/>
      <c r="L218" s="533"/>
      <c r="M218" s="535"/>
      <c r="N218" s="558"/>
      <c r="O218" s="541"/>
    </row>
    <row r="219" spans="2:15" s="13" customFormat="1" ht="14.4" hidden="1" thickBot="1" x14ac:dyDescent="0.3">
      <c r="B219" s="438"/>
      <c r="C219" s="438"/>
      <c r="D219" s="407"/>
      <c r="E219" s="372"/>
      <c r="F219" s="393"/>
      <c r="G219" s="133"/>
      <c r="H219" s="133"/>
      <c r="I219" s="365"/>
      <c r="J219" s="393"/>
      <c r="K219" s="483"/>
      <c r="L219" s="533"/>
      <c r="M219" s="535"/>
      <c r="N219" s="558"/>
      <c r="O219" s="541"/>
    </row>
    <row r="220" spans="2:15" s="13" customFormat="1" ht="14.4" hidden="1" thickBot="1" x14ac:dyDescent="0.3">
      <c r="B220" s="438"/>
      <c r="C220" s="438"/>
      <c r="D220" s="407"/>
      <c r="E220" s="372"/>
      <c r="F220" s="393"/>
      <c r="G220" s="133"/>
      <c r="H220" s="133"/>
      <c r="I220" s="365"/>
      <c r="J220" s="393"/>
      <c r="K220" s="483"/>
      <c r="L220" s="533"/>
      <c r="M220" s="535"/>
      <c r="N220" s="558"/>
      <c r="O220" s="541"/>
    </row>
    <row r="221" spans="2:15" s="13" customFormat="1" ht="14.4" hidden="1" thickBot="1" x14ac:dyDescent="0.3">
      <c r="B221" s="438"/>
      <c r="C221" s="438"/>
      <c r="D221" s="407"/>
      <c r="E221" s="372"/>
      <c r="F221" s="393"/>
      <c r="G221" s="133"/>
      <c r="H221" s="133"/>
      <c r="I221" s="365"/>
      <c r="J221" s="393"/>
      <c r="K221" s="483"/>
      <c r="L221" s="533"/>
      <c r="M221" s="535"/>
      <c r="N221" s="558"/>
      <c r="O221" s="541"/>
    </row>
    <row r="222" spans="2:15" s="13" customFormat="1" ht="96.75" hidden="1" customHeight="1" thickBot="1" x14ac:dyDescent="0.3">
      <c r="B222" s="401"/>
      <c r="C222" s="401"/>
      <c r="D222" s="408"/>
      <c r="E222" s="373"/>
      <c r="F222" s="394"/>
      <c r="G222" s="133"/>
      <c r="H222" s="134"/>
      <c r="I222" s="366"/>
      <c r="J222" s="394"/>
      <c r="K222" s="483"/>
      <c r="L222" s="533"/>
      <c r="M222" s="535"/>
      <c r="N222" s="558"/>
      <c r="O222" s="541"/>
    </row>
    <row r="223" spans="2:15" x14ac:dyDescent="0.25">
      <c r="B223" s="399" t="str">
        <f>+LEFT(C223,3)</f>
        <v>5.4</v>
      </c>
      <c r="C223" s="399" t="s">
        <v>209</v>
      </c>
      <c r="D223" s="406" t="s">
        <v>210</v>
      </c>
      <c r="E223" s="421" t="s">
        <v>211</v>
      </c>
      <c r="F223" s="415">
        <v>3</v>
      </c>
      <c r="G223" s="83">
        <v>1</v>
      </c>
      <c r="H223" s="203" t="s">
        <v>741</v>
      </c>
      <c r="I223" s="367" t="s">
        <v>744</v>
      </c>
      <c r="J223" s="402">
        <v>3</v>
      </c>
      <c r="K223" s="483" t="str">
        <f>+IF(OR(ISBLANK(F223),ISBLANK(J223)),"",IF(OR(AND(F223=1,J223=1),AND(F223=1,J223=2),AND(F223=1,J223=3)),"Deficiencia de control mayor (diseño y ejecución)",IF(OR(AND(F223=2,J223=2),AND(F223=3,J223=1),AND(F223=3,J223=2),AND(F223=2,J223=1)),"Deficiencia de control (diseño o ejecución)",IF(AND(F223=2,J223=3),"Oportunidad de mejora","Mantenimiento del control"))))</f>
        <v>Mantenimiento del control</v>
      </c>
      <c r="L223" s="532">
        <f>+IF(K223="",0,IF(K223="Deficiencia de control mayor (diseño y ejecución)",4,IF(K223="Deficiencia de control (diseño o ejecución)",20,IF(K223="Oportunidad de mejora",40,60))))</f>
        <v>60</v>
      </c>
      <c r="M223" s="535">
        <v>1.48963</v>
      </c>
      <c r="N223" s="552">
        <f>+L223+M223</f>
        <v>61.489629999999998</v>
      </c>
      <c r="O223" s="538"/>
    </row>
    <row r="224" spans="2:15" x14ac:dyDescent="0.25">
      <c r="B224" s="400"/>
      <c r="C224" s="400"/>
      <c r="D224" s="407"/>
      <c r="E224" s="470"/>
      <c r="F224" s="416"/>
      <c r="G224" s="81">
        <v>2</v>
      </c>
      <c r="H224" s="197" t="s">
        <v>742</v>
      </c>
      <c r="I224" s="368"/>
      <c r="J224" s="393"/>
      <c r="K224" s="483"/>
      <c r="L224" s="532"/>
      <c r="M224" s="535"/>
      <c r="N224" s="552"/>
      <c r="O224" s="538"/>
    </row>
    <row r="225" spans="2:15" x14ac:dyDescent="0.25">
      <c r="B225" s="400"/>
      <c r="C225" s="400"/>
      <c r="D225" s="407"/>
      <c r="E225" s="470"/>
      <c r="F225" s="416"/>
      <c r="G225" s="81">
        <v>3</v>
      </c>
      <c r="H225" s="197" t="s">
        <v>743</v>
      </c>
      <c r="I225" s="368"/>
      <c r="J225" s="393"/>
      <c r="K225" s="483"/>
      <c r="L225" s="532"/>
      <c r="M225" s="535"/>
      <c r="N225" s="552"/>
      <c r="O225" s="538"/>
    </row>
    <row r="226" spans="2:15" x14ac:dyDescent="0.25">
      <c r="B226" s="400"/>
      <c r="C226" s="400"/>
      <c r="D226" s="407"/>
      <c r="E226" s="470"/>
      <c r="F226" s="416"/>
      <c r="G226" s="81"/>
      <c r="H226" s="133"/>
      <c r="I226" s="368"/>
      <c r="J226" s="393"/>
      <c r="K226" s="483"/>
      <c r="L226" s="532"/>
      <c r="M226" s="535"/>
      <c r="N226" s="552"/>
      <c r="O226" s="538"/>
    </row>
    <row r="227" spans="2:15" x14ac:dyDescent="0.25">
      <c r="B227" s="400"/>
      <c r="C227" s="400"/>
      <c r="D227" s="407"/>
      <c r="E227" s="470"/>
      <c r="F227" s="416"/>
      <c r="G227" s="81"/>
      <c r="H227" s="133"/>
      <c r="I227" s="368"/>
      <c r="J227" s="393"/>
      <c r="K227" s="483"/>
      <c r="L227" s="532"/>
      <c r="M227" s="535"/>
      <c r="N227" s="552"/>
      <c r="O227" s="538"/>
    </row>
    <row r="228" spans="2:15" x14ac:dyDescent="0.25">
      <c r="B228" s="400"/>
      <c r="C228" s="400"/>
      <c r="D228" s="407"/>
      <c r="E228" s="470"/>
      <c r="F228" s="416"/>
      <c r="G228" s="81"/>
      <c r="H228" s="133"/>
      <c r="I228" s="368"/>
      <c r="J228" s="393"/>
      <c r="K228" s="483"/>
      <c r="L228" s="532"/>
      <c r="M228" s="535"/>
      <c r="N228" s="552"/>
      <c r="O228" s="538"/>
    </row>
    <row r="229" spans="2:15" x14ac:dyDescent="0.25">
      <c r="B229" s="400"/>
      <c r="C229" s="400"/>
      <c r="D229" s="407"/>
      <c r="E229" s="470"/>
      <c r="F229" s="416"/>
      <c r="G229" s="81"/>
      <c r="H229" s="130"/>
      <c r="I229" s="368"/>
      <c r="J229" s="393"/>
      <c r="K229" s="483"/>
      <c r="L229" s="532"/>
      <c r="M229" s="535"/>
      <c r="N229" s="552"/>
      <c r="O229" s="538"/>
    </row>
    <row r="230" spans="2:15" ht="14.4" thickBot="1" x14ac:dyDescent="0.3">
      <c r="B230" s="401"/>
      <c r="C230" s="401"/>
      <c r="D230" s="408"/>
      <c r="E230" s="471"/>
      <c r="F230" s="417"/>
      <c r="G230" s="82"/>
      <c r="H230" s="131"/>
      <c r="I230" s="369"/>
      <c r="J230" s="394"/>
      <c r="K230" s="483"/>
      <c r="L230" s="532"/>
      <c r="M230" s="535"/>
      <c r="N230" s="552"/>
      <c r="O230" s="538"/>
    </row>
    <row r="231" spans="2:15" x14ac:dyDescent="0.25">
      <c r="B231" s="399" t="str">
        <f>+LEFT(C231,3)</f>
        <v>5.5</v>
      </c>
      <c r="C231" s="399" t="s">
        <v>212</v>
      </c>
      <c r="D231" s="406" t="s">
        <v>213</v>
      </c>
      <c r="E231" s="370" t="s">
        <v>745</v>
      </c>
      <c r="F231" s="402">
        <v>3</v>
      </c>
      <c r="G231" s="83">
        <v>1</v>
      </c>
      <c r="H231" s="244" t="s">
        <v>747</v>
      </c>
      <c r="I231" s="370" t="s">
        <v>749</v>
      </c>
      <c r="J231" s="402">
        <v>3</v>
      </c>
      <c r="K231" s="483" t="str">
        <f>+IF(OR(ISBLANK(F231),ISBLANK(J231)),"",IF(OR(AND(F231=1,J231=1),AND(F231=1,J231=2),AND(F231=1,J231=3)),"Deficiencia de control mayor (diseño y ejecución)",IF(OR(AND(F231=2,J231=2),AND(F231=3,J231=1),AND(F231=3,J231=2),AND(F231=2,J231=1)),"Deficiencia de control (diseño o ejecución)",IF(AND(F231=2,J231=3),"Oportunidad de mejora","Mantenimiento del control"))))</f>
        <v>Mantenimiento del control</v>
      </c>
      <c r="L231" s="532">
        <f>+IF(K231="",0,IF(K231="Deficiencia de control mayor (diseño y ejecución)",4,IF(K231="Deficiencia de control (diseño o ejecución)",20,IF(K231="Oportunidad de mejora",40,60))))</f>
        <v>60</v>
      </c>
      <c r="M231" s="535">
        <v>1.58965</v>
      </c>
      <c r="N231" s="552">
        <f>+L231+M231</f>
        <v>61.589649999999999</v>
      </c>
      <c r="O231" s="538"/>
    </row>
    <row r="232" spans="2:15" x14ac:dyDescent="0.25">
      <c r="B232" s="400"/>
      <c r="C232" s="400"/>
      <c r="D232" s="407"/>
      <c r="E232" s="372"/>
      <c r="F232" s="393"/>
      <c r="G232" s="214">
        <v>2</v>
      </c>
      <c r="H232" s="197" t="s">
        <v>746</v>
      </c>
      <c r="I232" s="371"/>
      <c r="J232" s="393"/>
      <c r="K232" s="483"/>
      <c r="L232" s="532"/>
      <c r="M232" s="535"/>
      <c r="N232" s="552"/>
      <c r="O232" s="538"/>
    </row>
    <row r="233" spans="2:15" x14ac:dyDescent="0.25">
      <c r="B233" s="400"/>
      <c r="C233" s="400"/>
      <c r="D233" s="407"/>
      <c r="E233" s="372"/>
      <c r="F233" s="393"/>
      <c r="G233" s="214">
        <v>3</v>
      </c>
      <c r="H233" s="197"/>
      <c r="I233" s="371"/>
      <c r="J233" s="393"/>
      <c r="K233" s="483"/>
      <c r="L233" s="532"/>
      <c r="M233" s="535"/>
      <c r="N233" s="552"/>
      <c r="O233" s="538"/>
    </row>
    <row r="234" spans="2:15" x14ac:dyDescent="0.25">
      <c r="B234" s="400"/>
      <c r="C234" s="400"/>
      <c r="D234" s="407"/>
      <c r="E234" s="372"/>
      <c r="F234" s="393"/>
      <c r="G234" s="214"/>
      <c r="H234" s="222"/>
      <c r="I234" s="371"/>
      <c r="J234" s="393"/>
      <c r="K234" s="483"/>
      <c r="L234" s="532"/>
      <c r="M234" s="535"/>
      <c r="N234" s="552"/>
      <c r="O234" s="538"/>
    </row>
    <row r="235" spans="2:15" x14ac:dyDescent="0.25">
      <c r="B235" s="400"/>
      <c r="C235" s="400"/>
      <c r="D235" s="407"/>
      <c r="E235" s="372"/>
      <c r="F235" s="393"/>
      <c r="G235" s="81"/>
      <c r="H235" s="203"/>
      <c r="I235" s="372"/>
      <c r="J235" s="393"/>
      <c r="K235" s="483"/>
      <c r="L235" s="532"/>
      <c r="M235" s="535"/>
      <c r="N235" s="552"/>
      <c r="O235" s="538"/>
    </row>
    <row r="236" spans="2:15" x14ac:dyDescent="0.25">
      <c r="B236" s="400"/>
      <c r="C236" s="400"/>
      <c r="D236" s="407"/>
      <c r="E236" s="372"/>
      <c r="F236" s="393"/>
      <c r="G236" s="81"/>
      <c r="H236" s="130"/>
      <c r="I236" s="372"/>
      <c r="J236" s="393"/>
      <c r="K236" s="483"/>
      <c r="L236" s="532"/>
      <c r="M236" s="535"/>
      <c r="N236" s="552"/>
      <c r="O236" s="538"/>
    </row>
    <row r="237" spans="2:15" x14ac:dyDescent="0.25">
      <c r="B237" s="400"/>
      <c r="C237" s="400"/>
      <c r="D237" s="407"/>
      <c r="E237" s="372"/>
      <c r="F237" s="393"/>
      <c r="G237" s="81"/>
      <c r="H237" s="130"/>
      <c r="I237" s="372"/>
      <c r="J237" s="393"/>
      <c r="K237" s="483"/>
      <c r="L237" s="532"/>
      <c r="M237" s="535"/>
      <c r="N237" s="552"/>
      <c r="O237" s="538"/>
    </row>
    <row r="238" spans="2:15" ht="14.4" thickBot="1" x14ac:dyDescent="0.3">
      <c r="B238" s="401"/>
      <c r="C238" s="401"/>
      <c r="D238" s="408"/>
      <c r="E238" s="373"/>
      <c r="F238" s="394"/>
      <c r="G238" s="82"/>
      <c r="H238" s="131"/>
      <c r="I238" s="373"/>
      <c r="J238" s="394"/>
      <c r="K238" s="483"/>
      <c r="L238" s="532"/>
      <c r="M238" s="535"/>
      <c r="N238" s="552"/>
      <c r="O238" s="538"/>
    </row>
    <row r="239" spans="2:15" ht="21.75" customHeight="1" x14ac:dyDescent="0.25">
      <c r="B239" s="399" t="str">
        <f>+LEFT(C239,3)</f>
        <v>5.6</v>
      </c>
      <c r="C239" s="409" t="s">
        <v>214</v>
      </c>
      <c r="D239" s="406" t="s">
        <v>213</v>
      </c>
      <c r="E239" s="421" t="s">
        <v>215</v>
      </c>
      <c r="F239" s="415">
        <v>3</v>
      </c>
      <c r="G239" s="83">
        <v>1</v>
      </c>
      <c r="H239" s="203" t="s">
        <v>741</v>
      </c>
      <c r="I239" s="374" t="s">
        <v>750</v>
      </c>
      <c r="J239" s="402">
        <v>3</v>
      </c>
      <c r="K239" s="483" t="str">
        <f>+IF(OR(ISBLANK(F239),ISBLANK(J239)),"",IF(OR(AND(F239=1,J239=1),AND(F239=1,J239=2),AND(F239=1,J239=3)),"Deficiencia de control mayor (diseño y ejecución)",IF(OR(AND(F239=2,J239=2),AND(F239=3,J239=1),AND(F239=3,J239=2),AND(F239=2,J239=1)),"Deficiencia de control (diseño o ejecución)",IF(AND(F239=2,J239=3),"Oportunidad de mejora","Mantenimiento del control"))))</f>
        <v>Mantenimiento del control</v>
      </c>
      <c r="L239" s="532">
        <f>+IF(K239="",0,IF(K239="Deficiencia de control mayor (diseño y ejecución)",4,IF(K239="Deficiencia de control (diseño o ejecución)",20,IF(K239="Oportunidad de mejora",40,60))))</f>
        <v>60</v>
      </c>
      <c r="M239" s="535">
        <v>1.6896530000000001</v>
      </c>
      <c r="N239" s="552">
        <f>+L239+M239</f>
        <v>61.689653</v>
      </c>
      <c r="O239" s="538"/>
    </row>
    <row r="240" spans="2:15" ht="24.75" customHeight="1" x14ac:dyDescent="0.25">
      <c r="B240" s="400"/>
      <c r="C240" s="410"/>
      <c r="D240" s="407"/>
      <c r="E240" s="422"/>
      <c r="F240" s="416"/>
      <c r="G240" s="214">
        <v>2</v>
      </c>
      <c r="H240" s="197" t="s">
        <v>742</v>
      </c>
      <c r="I240" s="375"/>
      <c r="J240" s="393"/>
      <c r="K240" s="483"/>
      <c r="L240" s="532"/>
      <c r="M240" s="535"/>
      <c r="N240" s="552"/>
      <c r="O240" s="538"/>
    </row>
    <row r="241" spans="2:15" x14ac:dyDescent="0.25">
      <c r="B241" s="400"/>
      <c r="C241" s="410"/>
      <c r="D241" s="407"/>
      <c r="E241" s="422"/>
      <c r="F241" s="416"/>
      <c r="G241" s="214">
        <v>3</v>
      </c>
      <c r="H241" s="197" t="s">
        <v>743</v>
      </c>
      <c r="I241" s="375"/>
      <c r="J241" s="393"/>
      <c r="K241" s="483"/>
      <c r="L241" s="532"/>
      <c r="M241" s="535"/>
      <c r="N241" s="552"/>
      <c r="O241" s="538"/>
    </row>
    <row r="242" spans="2:15" x14ac:dyDescent="0.25">
      <c r="B242" s="400"/>
      <c r="C242" s="410"/>
      <c r="D242" s="407"/>
      <c r="E242" s="422"/>
      <c r="F242" s="416"/>
      <c r="G242" s="214">
        <v>4</v>
      </c>
      <c r="H242" s="222" t="s">
        <v>748</v>
      </c>
      <c r="I242" s="375"/>
      <c r="J242" s="393"/>
      <c r="K242" s="483"/>
      <c r="L242" s="532"/>
      <c r="M242" s="535"/>
      <c r="N242" s="552"/>
      <c r="O242" s="538"/>
    </row>
    <row r="243" spans="2:15" x14ac:dyDescent="0.25">
      <c r="B243" s="400"/>
      <c r="C243" s="410"/>
      <c r="D243" s="407"/>
      <c r="E243" s="422"/>
      <c r="F243" s="416"/>
      <c r="G243" s="214">
        <v>5</v>
      </c>
      <c r="H243" s="222"/>
      <c r="I243" s="375"/>
      <c r="J243" s="393"/>
      <c r="K243" s="483"/>
      <c r="L243" s="532"/>
      <c r="M243" s="535"/>
      <c r="N243" s="552"/>
      <c r="O243" s="538"/>
    </row>
    <row r="244" spans="2:15" x14ac:dyDescent="0.25">
      <c r="B244" s="400"/>
      <c r="C244" s="410"/>
      <c r="D244" s="407"/>
      <c r="E244" s="422"/>
      <c r="F244" s="416"/>
      <c r="G244" s="214">
        <v>6</v>
      </c>
      <c r="H244" s="222"/>
      <c r="I244" s="375"/>
      <c r="J244" s="393"/>
      <c r="K244" s="483"/>
      <c r="L244" s="532"/>
      <c r="M244" s="535"/>
      <c r="N244" s="552"/>
      <c r="O244" s="538"/>
    </row>
    <row r="245" spans="2:15" x14ac:dyDescent="0.25">
      <c r="B245" s="400"/>
      <c r="C245" s="410"/>
      <c r="D245" s="407"/>
      <c r="E245" s="422"/>
      <c r="F245" s="416"/>
      <c r="G245" s="214">
        <v>7</v>
      </c>
      <c r="H245" s="222"/>
      <c r="I245" s="375"/>
      <c r="J245" s="393"/>
      <c r="K245" s="483"/>
      <c r="L245" s="532"/>
      <c r="M245" s="535"/>
      <c r="N245" s="552"/>
      <c r="O245" s="538"/>
    </row>
    <row r="246" spans="2:15" x14ac:dyDescent="0.25">
      <c r="B246" s="438"/>
      <c r="C246" s="410"/>
      <c r="D246" s="407"/>
      <c r="E246" s="479"/>
      <c r="F246" s="480"/>
      <c r="G246" s="221">
        <v>8</v>
      </c>
      <c r="H246" s="222"/>
      <c r="I246" s="375"/>
      <c r="J246" s="393"/>
      <c r="K246" s="483"/>
      <c r="L246" s="532"/>
      <c r="M246" s="535"/>
      <c r="N246" s="552"/>
      <c r="O246" s="538"/>
    </row>
    <row r="247" spans="2:15" x14ac:dyDescent="0.25">
      <c r="B247" s="438"/>
      <c r="C247" s="410"/>
      <c r="D247" s="407"/>
      <c r="E247" s="479"/>
      <c r="F247" s="480"/>
      <c r="G247" s="221">
        <v>9</v>
      </c>
      <c r="H247" s="222"/>
      <c r="I247" s="375"/>
      <c r="J247" s="393"/>
      <c r="K247" s="483"/>
      <c r="L247" s="532"/>
      <c r="M247" s="535"/>
      <c r="N247" s="552"/>
      <c r="O247" s="538"/>
    </row>
    <row r="248" spans="2:15" x14ac:dyDescent="0.25">
      <c r="B248" s="438"/>
      <c r="C248" s="410"/>
      <c r="D248" s="407"/>
      <c r="E248" s="479"/>
      <c r="F248" s="480"/>
      <c r="G248" s="221">
        <v>10</v>
      </c>
      <c r="H248" s="222"/>
      <c r="I248" s="375"/>
      <c r="J248" s="393"/>
      <c r="K248" s="483"/>
      <c r="L248" s="532"/>
      <c r="M248" s="535"/>
      <c r="N248" s="552"/>
      <c r="O248" s="538"/>
    </row>
    <row r="249" spans="2:15" x14ac:dyDescent="0.25">
      <c r="B249" s="438"/>
      <c r="C249" s="410"/>
      <c r="D249" s="407"/>
      <c r="E249" s="479"/>
      <c r="F249" s="480"/>
      <c r="G249" s="221">
        <v>11</v>
      </c>
      <c r="H249" s="222"/>
      <c r="I249" s="375"/>
      <c r="J249" s="393"/>
      <c r="K249" s="483"/>
      <c r="L249" s="532"/>
      <c r="M249" s="535"/>
      <c r="N249" s="552"/>
      <c r="O249" s="538"/>
    </row>
    <row r="250" spans="2:15" x14ac:dyDescent="0.25">
      <c r="B250" s="438"/>
      <c r="C250" s="410"/>
      <c r="D250" s="407"/>
      <c r="E250" s="479"/>
      <c r="F250" s="480"/>
      <c r="G250" s="221">
        <v>12</v>
      </c>
      <c r="H250" s="222"/>
      <c r="I250" s="375"/>
      <c r="J250" s="393"/>
      <c r="K250" s="483"/>
      <c r="L250" s="532"/>
      <c r="M250" s="535"/>
      <c r="N250" s="552"/>
      <c r="O250" s="538"/>
    </row>
    <row r="251" spans="2:15" x14ac:dyDescent="0.25">
      <c r="B251" s="438"/>
      <c r="C251" s="410"/>
      <c r="D251" s="407"/>
      <c r="E251" s="479"/>
      <c r="F251" s="480"/>
      <c r="G251" s="221"/>
      <c r="H251" s="222"/>
      <c r="I251" s="375"/>
      <c r="J251" s="393"/>
      <c r="K251" s="483"/>
      <c r="L251" s="532"/>
      <c r="M251" s="535"/>
      <c r="N251" s="552"/>
      <c r="O251" s="538"/>
    </row>
    <row r="252" spans="2:15" x14ac:dyDescent="0.25">
      <c r="B252" s="438"/>
      <c r="C252" s="410"/>
      <c r="D252" s="407"/>
      <c r="E252" s="479"/>
      <c r="F252" s="480"/>
      <c r="G252" s="221"/>
      <c r="H252" s="222"/>
      <c r="I252" s="375"/>
      <c r="J252" s="393"/>
      <c r="K252" s="483"/>
      <c r="L252" s="532"/>
      <c r="M252" s="535"/>
      <c r="N252" s="552"/>
      <c r="O252" s="538"/>
    </row>
    <row r="253" spans="2:15" x14ac:dyDescent="0.25">
      <c r="B253" s="438"/>
      <c r="C253" s="410"/>
      <c r="D253" s="407"/>
      <c r="E253" s="479"/>
      <c r="F253" s="480"/>
      <c r="G253" s="221"/>
      <c r="H253" s="222"/>
      <c r="I253" s="375"/>
      <c r="J253" s="393"/>
      <c r="K253" s="483"/>
      <c r="L253" s="532"/>
      <c r="M253" s="535"/>
      <c r="N253" s="552"/>
      <c r="O253" s="538"/>
    </row>
    <row r="254" spans="2:15" ht="36" customHeight="1" thickBot="1" x14ac:dyDescent="0.3">
      <c r="B254" s="401"/>
      <c r="C254" s="478"/>
      <c r="D254" s="408"/>
      <c r="E254" s="423"/>
      <c r="F254" s="417"/>
      <c r="G254" s="82"/>
      <c r="H254" s="213"/>
      <c r="I254" s="376"/>
      <c r="J254" s="394"/>
      <c r="K254" s="483"/>
      <c r="L254" s="532"/>
      <c r="M254" s="535"/>
      <c r="N254" s="552"/>
      <c r="O254" s="538"/>
    </row>
  </sheetData>
  <mergeCells count="381">
    <mergeCell ref="N223:N230"/>
    <mergeCell ref="N231:N238"/>
    <mergeCell ref="N239:N254"/>
    <mergeCell ref="N32:N40"/>
    <mergeCell ref="E112:E119"/>
    <mergeCell ref="E148:E155"/>
    <mergeCell ref="E198:E205"/>
    <mergeCell ref="E206:E222"/>
    <mergeCell ref="E231:E238"/>
    <mergeCell ref="N148:N155"/>
    <mergeCell ref="N156:N163"/>
    <mergeCell ref="N164:N171"/>
    <mergeCell ref="N172:N179"/>
    <mergeCell ref="N180:N187"/>
    <mergeCell ref="N188:N190"/>
    <mergeCell ref="N191:N197"/>
    <mergeCell ref="N198:N205"/>
    <mergeCell ref="N206:N222"/>
    <mergeCell ref="N85:N92"/>
    <mergeCell ref="N93:N100"/>
    <mergeCell ref="N101:N103"/>
    <mergeCell ref="N104:N111"/>
    <mergeCell ref="N112:N119"/>
    <mergeCell ref="N120:N128"/>
    <mergeCell ref="N129:N131"/>
    <mergeCell ref="N132:N139"/>
    <mergeCell ref="N140:N147"/>
    <mergeCell ref="N21:N23"/>
    <mergeCell ref="N24:N31"/>
    <mergeCell ref="O32:O40"/>
    <mergeCell ref="N41:N49"/>
    <mergeCell ref="N50:N57"/>
    <mergeCell ref="N58:N65"/>
    <mergeCell ref="N66:N73"/>
    <mergeCell ref="N74:N76"/>
    <mergeCell ref="N77:N84"/>
    <mergeCell ref="O21:O23"/>
    <mergeCell ref="O24:O31"/>
    <mergeCell ref="O41:O49"/>
    <mergeCell ref="O50:O57"/>
    <mergeCell ref="O66:O73"/>
    <mergeCell ref="O74:O76"/>
    <mergeCell ref="O77:O84"/>
    <mergeCell ref="O85:O92"/>
    <mergeCell ref="O93:O100"/>
    <mergeCell ref="O58:O65"/>
    <mergeCell ref="C58:C65"/>
    <mergeCell ref="D58:D65"/>
    <mergeCell ref="E58:E65"/>
    <mergeCell ref="F58:F65"/>
    <mergeCell ref="J58:J65"/>
    <mergeCell ref="K58:K65"/>
    <mergeCell ref="C172:C179"/>
    <mergeCell ref="D172:D179"/>
    <mergeCell ref="E164:E171"/>
    <mergeCell ref="E172:E179"/>
    <mergeCell ref="F172:F179"/>
    <mergeCell ref="I172:I179"/>
    <mergeCell ref="J172:J179"/>
    <mergeCell ref="K172:K179"/>
    <mergeCell ref="C104:C111"/>
    <mergeCell ref="D104:D111"/>
    <mergeCell ref="E104:E111"/>
    <mergeCell ref="F104:F111"/>
    <mergeCell ref="J104:J111"/>
    <mergeCell ref="C129:C131"/>
    <mergeCell ref="D129:D131"/>
    <mergeCell ref="F129:F131"/>
    <mergeCell ref="J129:J131"/>
    <mergeCell ref="G130:G131"/>
    <mergeCell ref="K206:K222"/>
    <mergeCell ref="O231:O238"/>
    <mergeCell ref="O239:O254"/>
    <mergeCell ref="O101:O103"/>
    <mergeCell ref="O104:O111"/>
    <mergeCell ref="O112:O119"/>
    <mergeCell ref="O120:O128"/>
    <mergeCell ref="O129:O131"/>
    <mergeCell ref="O132:O139"/>
    <mergeCell ref="O140:O147"/>
    <mergeCell ref="O148:O155"/>
    <mergeCell ref="O156:O163"/>
    <mergeCell ref="O164:O171"/>
    <mergeCell ref="O180:O187"/>
    <mergeCell ref="O188:O190"/>
    <mergeCell ref="O191:O197"/>
    <mergeCell ref="O198:O205"/>
    <mergeCell ref="O206:O222"/>
    <mergeCell ref="O223:O230"/>
    <mergeCell ref="M231:M238"/>
    <mergeCell ref="M239:M254"/>
    <mergeCell ref="M101:M103"/>
    <mergeCell ref="M104:M111"/>
    <mergeCell ref="M112:M119"/>
    <mergeCell ref="M32:M40"/>
    <mergeCell ref="M191:M197"/>
    <mergeCell ref="M198:M205"/>
    <mergeCell ref="M206:M222"/>
    <mergeCell ref="M223:M230"/>
    <mergeCell ref="M21:M23"/>
    <mergeCell ref="M24:M31"/>
    <mergeCell ref="M41:M49"/>
    <mergeCell ref="M50:M57"/>
    <mergeCell ref="M66:M73"/>
    <mergeCell ref="M74:M76"/>
    <mergeCell ref="M77:M84"/>
    <mergeCell ref="M85:M92"/>
    <mergeCell ref="M93:M100"/>
    <mergeCell ref="M120:M128"/>
    <mergeCell ref="M129:M131"/>
    <mergeCell ref="M132:M139"/>
    <mergeCell ref="M140:M147"/>
    <mergeCell ref="M148:M155"/>
    <mergeCell ref="M156:M163"/>
    <mergeCell ref="M164:M171"/>
    <mergeCell ref="M180:M187"/>
    <mergeCell ref="M188:M190"/>
    <mergeCell ref="M58:M65"/>
    <mergeCell ref="M172:M179"/>
    <mergeCell ref="L231:L238"/>
    <mergeCell ref="L239:L254"/>
    <mergeCell ref="L101:L103"/>
    <mergeCell ref="L104:L111"/>
    <mergeCell ref="L112:L119"/>
    <mergeCell ref="L120:L128"/>
    <mergeCell ref="L129:L131"/>
    <mergeCell ref="L132:L139"/>
    <mergeCell ref="L140:L147"/>
    <mergeCell ref="L148:L155"/>
    <mergeCell ref="L156:L163"/>
    <mergeCell ref="L164:L171"/>
    <mergeCell ref="L180:L187"/>
    <mergeCell ref="L188:L190"/>
    <mergeCell ref="L191:L197"/>
    <mergeCell ref="L198:L205"/>
    <mergeCell ref="L206:L222"/>
    <mergeCell ref="L223:L230"/>
    <mergeCell ref="L172:L179"/>
    <mergeCell ref="L21:L23"/>
    <mergeCell ref="L24:L31"/>
    <mergeCell ref="L41:L49"/>
    <mergeCell ref="L50:L57"/>
    <mergeCell ref="L66:L73"/>
    <mergeCell ref="L74:L76"/>
    <mergeCell ref="L77:L84"/>
    <mergeCell ref="L85:L92"/>
    <mergeCell ref="L93:L100"/>
    <mergeCell ref="L58:L65"/>
    <mergeCell ref="L32:L40"/>
    <mergeCell ref="B164:B171"/>
    <mergeCell ref="B180:B187"/>
    <mergeCell ref="B188:B190"/>
    <mergeCell ref="B191:B197"/>
    <mergeCell ref="B198:B205"/>
    <mergeCell ref="B206:B222"/>
    <mergeCell ref="B223:B230"/>
    <mergeCell ref="B231:B238"/>
    <mergeCell ref="B239:B254"/>
    <mergeCell ref="B172:B179"/>
    <mergeCell ref="B101:B103"/>
    <mergeCell ref="B104:B111"/>
    <mergeCell ref="B112:B119"/>
    <mergeCell ref="B120:B128"/>
    <mergeCell ref="B129:B131"/>
    <mergeCell ref="B132:B139"/>
    <mergeCell ref="B140:B147"/>
    <mergeCell ref="B148:B155"/>
    <mergeCell ref="B156:B163"/>
    <mergeCell ref="B24:B31"/>
    <mergeCell ref="B21:B23"/>
    <mergeCell ref="B41:B49"/>
    <mergeCell ref="B50:B57"/>
    <mergeCell ref="B66:B73"/>
    <mergeCell ref="B74:B76"/>
    <mergeCell ref="B77:B84"/>
    <mergeCell ref="B85:B92"/>
    <mergeCell ref="B93:B100"/>
    <mergeCell ref="B32:B40"/>
    <mergeCell ref="B58:B65"/>
    <mergeCell ref="K239:K254"/>
    <mergeCell ref="K198:K205"/>
    <mergeCell ref="K21:K23"/>
    <mergeCell ref="K24:K31"/>
    <mergeCell ref="K41:K49"/>
    <mergeCell ref="K50:K57"/>
    <mergeCell ref="K66:K73"/>
    <mergeCell ref="K74:K76"/>
    <mergeCell ref="K101:K103"/>
    <mergeCell ref="K129:K131"/>
    <mergeCell ref="K188:K190"/>
    <mergeCell ref="K77:K84"/>
    <mergeCell ref="K85:K92"/>
    <mergeCell ref="K93:K100"/>
    <mergeCell ref="K104:K111"/>
    <mergeCell ref="K112:K119"/>
    <mergeCell ref="K120:K128"/>
    <mergeCell ref="K132:K139"/>
    <mergeCell ref="K140:K147"/>
    <mergeCell ref="K148:K155"/>
    <mergeCell ref="K156:K163"/>
    <mergeCell ref="K164:K171"/>
    <mergeCell ref="K180:K187"/>
    <mergeCell ref="K191:K197"/>
    <mergeCell ref="F231:F238"/>
    <mergeCell ref="E13:E14"/>
    <mergeCell ref="F13:J14"/>
    <mergeCell ref="F15:J15"/>
    <mergeCell ref="J132:J139"/>
    <mergeCell ref="J77:J84"/>
    <mergeCell ref="F66:F73"/>
    <mergeCell ref="J66:J73"/>
    <mergeCell ref="G22:G23"/>
    <mergeCell ref="H22:H23"/>
    <mergeCell ref="G21:I21"/>
    <mergeCell ref="I22:I23"/>
    <mergeCell ref="I24:I31"/>
    <mergeCell ref="I41:I49"/>
    <mergeCell ref="I50:I57"/>
    <mergeCell ref="I66:I73"/>
    <mergeCell ref="G74:I74"/>
    <mergeCell ref="I75:I76"/>
    <mergeCell ref="I77:I84"/>
    <mergeCell ref="I85:I92"/>
    <mergeCell ref="I93:I100"/>
    <mergeCell ref="G101:I101"/>
    <mergeCell ref="G188:I188"/>
    <mergeCell ref="I189:I190"/>
    <mergeCell ref="K223:K230"/>
    <mergeCell ref="K231:K238"/>
    <mergeCell ref="J231:J238"/>
    <mergeCell ref="J198:J205"/>
    <mergeCell ref="J206:J222"/>
    <mergeCell ref="C156:C163"/>
    <mergeCell ref="D156:D163"/>
    <mergeCell ref="E156:E163"/>
    <mergeCell ref="F156:F163"/>
    <mergeCell ref="J156:J163"/>
    <mergeCell ref="C180:C187"/>
    <mergeCell ref="D180:D187"/>
    <mergeCell ref="E180:E187"/>
    <mergeCell ref="F180:F187"/>
    <mergeCell ref="J180:J187"/>
    <mergeCell ref="C198:C205"/>
    <mergeCell ref="E188:E190"/>
    <mergeCell ref="C164:C171"/>
    <mergeCell ref="D164:D171"/>
    <mergeCell ref="D198:D205"/>
    <mergeCell ref="D206:D222"/>
    <mergeCell ref="D231:D238"/>
    <mergeCell ref="F164:F171"/>
    <mergeCell ref="F198:F205"/>
    <mergeCell ref="C239:C254"/>
    <mergeCell ref="D239:D254"/>
    <mergeCell ref="E239:E254"/>
    <mergeCell ref="F239:F254"/>
    <mergeCell ref="J239:J254"/>
    <mergeCell ref="H189:H190"/>
    <mergeCell ref="C188:C190"/>
    <mergeCell ref="D188:D190"/>
    <mergeCell ref="F188:F190"/>
    <mergeCell ref="J188:J190"/>
    <mergeCell ref="G189:G190"/>
    <mergeCell ref="J191:J197"/>
    <mergeCell ref="C223:C230"/>
    <mergeCell ref="D223:D230"/>
    <mergeCell ref="E223:E230"/>
    <mergeCell ref="F223:F230"/>
    <mergeCell ref="J223:J230"/>
    <mergeCell ref="C191:C197"/>
    <mergeCell ref="D191:D197"/>
    <mergeCell ref="E191:E197"/>
    <mergeCell ref="F191:F197"/>
    <mergeCell ref="C206:C222"/>
    <mergeCell ref="C231:C238"/>
    <mergeCell ref="F206:F222"/>
    <mergeCell ref="H130:H131"/>
    <mergeCell ref="E129:E131"/>
    <mergeCell ref="D112:D119"/>
    <mergeCell ref="I104:I111"/>
    <mergeCell ref="I112:I119"/>
    <mergeCell ref="G129:I129"/>
    <mergeCell ref="I130:I131"/>
    <mergeCell ref="C93:C100"/>
    <mergeCell ref="D93:D100"/>
    <mergeCell ref="E93:E100"/>
    <mergeCell ref="F93:F100"/>
    <mergeCell ref="J93:J100"/>
    <mergeCell ref="J101:J103"/>
    <mergeCell ref="G102:G103"/>
    <mergeCell ref="H102:H103"/>
    <mergeCell ref="C101:C103"/>
    <mergeCell ref="D101:D103"/>
    <mergeCell ref="F101:F103"/>
    <mergeCell ref="E101:E103"/>
    <mergeCell ref="I102:I103"/>
    <mergeCell ref="E74:E76"/>
    <mergeCell ref="C66:C73"/>
    <mergeCell ref="D66:D73"/>
    <mergeCell ref="E66:E73"/>
    <mergeCell ref="C85:C92"/>
    <mergeCell ref="D85:D92"/>
    <mergeCell ref="E85:E92"/>
    <mergeCell ref="F85:F92"/>
    <mergeCell ref="J85:J92"/>
    <mergeCell ref="C77:C84"/>
    <mergeCell ref="D77:D84"/>
    <mergeCell ref="E77:E84"/>
    <mergeCell ref="F77:F84"/>
    <mergeCell ref="J24:J31"/>
    <mergeCell ref="C41:C49"/>
    <mergeCell ref="D41:D49"/>
    <mergeCell ref="E41:E49"/>
    <mergeCell ref="F41:F49"/>
    <mergeCell ref="J41:J49"/>
    <mergeCell ref="C24:C31"/>
    <mergeCell ref="D24:D31"/>
    <mergeCell ref="E24:E31"/>
    <mergeCell ref="F24:F31"/>
    <mergeCell ref="I32:I40"/>
    <mergeCell ref="C140:C147"/>
    <mergeCell ref="D148:D155"/>
    <mergeCell ref="F148:F155"/>
    <mergeCell ref="C21:C23"/>
    <mergeCell ref="D21:D23"/>
    <mergeCell ref="F21:F23"/>
    <mergeCell ref="J21:J23"/>
    <mergeCell ref="E21:E23"/>
    <mergeCell ref="C18:K18"/>
    <mergeCell ref="C19:K19"/>
    <mergeCell ref="C50:C57"/>
    <mergeCell ref="D50:D57"/>
    <mergeCell ref="E50:E57"/>
    <mergeCell ref="F50:F57"/>
    <mergeCell ref="J50:J57"/>
    <mergeCell ref="C32:C40"/>
    <mergeCell ref="E32:E40"/>
    <mergeCell ref="F32:F40"/>
    <mergeCell ref="C74:C76"/>
    <mergeCell ref="D74:D76"/>
    <mergeCell ref="F74:F76"/>
    <mergeCell ref="J74:J76"/>
    <mergeCell ref="G75:G76"/>
    <mergeCell ref="H75:H76"/>
    <mergeCell ref="O172:O179"/>
    <mergeCell ref="A24:A31"/>
    <mergeCell ref="D32:D40"/>
    <mergeCell ref="J32:J40"/>
    <mergeCell ref="K32:K40"/>
    <mergeCell ref="C148:C155"/>
    <mergeCell ref="J164:J171"/>
    <mergeCell ref="J148:J155"/>
    <mergeCell ref="J120:J128"/>
    <mergeCell ref="F120:F128"/>
    <mergeCell ref="E120:E128"/>
    <mergeCell ref="D120:D128"/>
    <mergeCell ref="C120:C128"/>
    <mergeCell ref="C112:C119"/>
    <mergeCell ref="J112:J119"/>
    <mergeCell ref="F112:F119"/>
    <mergeCell ref="D140:D147"/>
    <mergeCell ref="E140:E147"/>
    <mergeCell ref="F140:F147"/>
    <mergeCell ref="J140:J147"/>
    <mergeCell ref="C132:C139"/>
    <mergeCell ref="D132:D139"/>
    <mergeCell ref="E132:E139"/>
    <mergeCell ref="F132:F139"/>
    <mergeCell ref="I206:I222"/>
    <mergeCell ref="I223:I230"/>
    <mergeCell ref="I231:I238"/>
    <mergeCell ref="I239:I254"/>
    <mergeCell ref="I164:I171"/>
    <mergeCell ref="I58:I65"/>
    <mergeCell ref="I120:I128"/>
    <mergeCell ref="I132:I139"/>
    <mergeCell ref="I140:I147"/>
    <mergeCell ref="I148:I155"/>
    <mergeCell ref="I156:I163"/>
    <mergeCell ref="I180:I187"/>
    <mergeCell ref="I198:I205"/>
    <mergeCell ref="I191:I197"/>
  </mergeCells>
  <dataValidations count="1">
    <dataValidation type="list" allowBlank="1" showInputMessage="1" showErrorMessage="1" sqref="F180:F187 J77:J100 J104:J128 F77:F100 J180 F104:F128 J239 F41:F73 F239:F254 F132:F148 J172 F206 F223:F231 J132 J140 J148 J156 J164 J191 J198 J206 J223 J231 F24:F32 J24:J32 F172 J41:J58 J66:J73 F156 F164 F191:F198" xr:uid="{00000000-0002-0000-0200-000000000000}">
      <formula1>"1,2,3"</formula1>
    </dataValidation>
  </dataValidations>
  <hyperlinks>
    <hyperlink ref="H85" r:id="rId1" xr:uid="{AD2267C2-BB95-47D5-8B4A-6B8C331C6F68}"/>
    <hyperlink ref="H86" r:id="rId2" xr:uid="{2E99D4C1-F6A1-46F0-97EE-C668707C7526}"/>
    <hyperlink ref="H87" r:id="rId3" xr:uid="{96403918-50EA-4536-8BF2-2A80B75928F2}"/>
    <hyperlink ref="H104" r:id="rId4" xr:uid="{191A3060-31E5-44F8-89D1-595E94AF602E}"/>
    <hyperlink ref="H191" r:id="rId5" xr:uid="{37D59AA5-632F-4CA9-BC3F-A1F5BBB61E75}"/>
    <hyperlink ref="H192" r:id="rId6" xr:uid="{18BFB787-AE8D-49E9-BDEB-116A96FEAD71}"/>
    <hyperlink ref="H193" r:id="rId7" xr:uid="{DA36A365-34C6-45DF-B024-BAEB4EA64E3B}"/>
    <hyperlink ref="H112" r:id="rId8" xr:uid="{A9A99675-8720-411E-9314-99FD5953BBC1}"/>
    <hyperlink ref="H114" r:id="rId9" xr:uid="{B1C70FFA-6BC3-43A8-95E0-5E209C422DD4}"/>
    <hyperlink ref="H122" r:id="rId10" xr:uid="{4B793C32-0656-4ADF-985A-19903CBF4042}"/>
    <hyperlink ref="H120" r:id="rId11" xr:uid="{C987C85B-9232-431F-BB55-E66755E71337}"/>
    <hyperlink ref="H123" r:id="rId12" xr:uid="{A13C185A-CC94-4AE8-A013-04DEBE887414}"/>
    <hyperlink ref="H121" r:id="rId13" xr:uid="{A4226EA7-4C8F-487D-A916-CB0A1726606C}"/>
    <hyperlink ref="H158" r:id="rId14" display="GCO-PC-04 V7 Comunicación interna" xr:uid="{0F3C4A7F-4E04-4C11-9AC1-1F1591245A4A}"/>
    <hyperlink ref="H159" r:id="rId15" display="GCO-PC-05 V3 Comunicación externa" xr:uid="{B6E08A70-AD57-4E3C-A73C-B738025F8AE1}"/>
    <hyperlink ref="H156" r:id="rId16" display="GCO-PL-01 V7 Plan Estratégico de Comunicaciones" xr:uid="{303C8589-BC6C-4E0B-AE7E-451148C0EC6D}"/>
    <hyperlink ref="H160" r:id="rId17" xr:uid="{7B1D730B-EA52-4395-BC43-988F6001888A}"/>
    <hyperlink ref="H157" r:id="rId18" xr:uid="{F0200A7B-6D20-4166-8BF6-E29EBB3F989F}"/>
    <hyperlink ref="H50" r:id="rId19" xr:uid="{A63F51A5-4EE2-4175-A85C-6A52AD527CDD}"/>
    <hyperlink ref="H52" r:id="rId20" xr:uid="{9B7162D5-AB5A-40EF-B497-7ACD20080E88}"/>
    <hyperlink ref="H142" r:id="rId21" display="https://uaespdc.sharepoint.com/:b:/s/oficinadecontrolinterno/EbTpIsgsXORHmoZVVavQfWsBeaBx0lQncrRBmroudMrBpQ?e=Nt2YM3" xr:uid="{AB69A937-470B-4AF3-88C9-8C3B6874AB6E}"/>
    <hyperlink ref="H105" r:id="rId22" display="https://uaespdc.sharepoint.com/sites/EQUIPOOAP266/Documentos%20compartidos/Forms/AllItems.aspx?id=%2Fsites%2FEQUIPOOAP266%2FDocumentos%20compartidos%2FSEGUIMIENTO%20A%20RIESGOS%202025&amp;p=true&amp;ct=1752507961512&amp;or=OWA%2DNT%2DMail&amp;cid=8a2a5521%2D8082%2D5faf%2D4d5c%2Daf4d88b2b871&amp;ga=1&amp;LOF=1" xr:uid="{5858C753-4A81-465C-B131-8544C7A29FC2}"/>
    <hyperlink ref="H113" r:id="rId23" display="https://uaespdc.sharepoint.com/sites/EQUIPOOAP266/Documentos%20compartidos/Forms/AllItems.aspx?id=%2Fsites%2FEQUIPOOAP266%2FDocumentos%20compartidos%2FSEGUIMIENTO%20A%20RIESGOS%202025&amp;p=true&amp;ct=1752507961512&amp;or=OWA%2DNT%2DMail&amp;cid=8a2a5521%2D8082%2D5faf%2D4d5c%2Daf4d88b2b871&amp;ga=1&amp;LOF=1" xr:uid="{6224BDF9-5F6B-4A73-837B-B01B3757CE71}"/>
    <hyperlink ref="H124" r:id="rId24" display="../../../../../../../../:p:/r/sites/EQUIPOOAP266/Documentos compartidos/ARCHIVO OAP 2025/ACTAS/COMIT%C3%89 INSTITUCIONAL DE GESTI%C3%93N Y DESEMPE%C3%91O/ACTA 1 ENERO 30 SESION ORDINARIA/PRESENTACION GENERAL CIGD.pptx?d=w979a4c53dd5f4c788bd5af45308789fe&amp;csf=1&amp;web=1&amp;e=KlWTBC" xr:uid="{116E031F-CE78-454B-861A-16E54AB14112}"/>
    <hyperlink ref="H134" r:id="rId25" display="../../../../../../../../:p:/r/sites/EQUIPOOAP266/Documentos compartidos/ARCHIVO OAP 2025/ACTAS/COMIT%C3%89 INSTITUCIONAL DE GESTI%C3%93N Y DESEMPE%C3%91O/ACTA 1 ENERO 30 SESION ORDINARIA/PRESENTACION GENERAL CIGD.pptx?d=w979a4c53dd5f4c788bd5af45308789fe&amp;csf=1&amp;web=1&amp;e=KlWTBC" xr:uid="{280FADF4-1CA6-45F5-AFC7-1FB99A7FDA73}"/>
    <hyperlink ref="H208" r:id="rId26" display="Procedimientos procesos Direccionamiento estratégico y Evaluacion y mejora" xr:uid="{DBFBF4E6-1ECF-4B34-B28F-8233727305B3}"/>
    <hyperlink ref="H66" r:id="rId27" xr:uid="{C07EEBC6-FCA3-4D46-AEB8-C932F8D1E4B0}"/>
    <hyperlink ref="H93" r:id="rId28" xr:uid="{5F053F2C-5292-429B-A668-3DD973F317A1}"/>
    <hyperlink ref="H94" r:id="rId29" xr:uid="{673AEF11-D0E9-4E41-A6C6-90839430087E}"/>
    <hyperlink ref="H95" r:id="rId30" xr:uid="{E2361C9F-A3A1-4A83-9031-79E7C294818D}"/>
    <hyperlink ref="H172" r:id="rId31" xr:uid="{5E1AA0FF-912B-4B3B-A5C6-DF360B9167E7}"/>
    <hyperlink ref="H173" r:id="rId32" xr:uid="{D27A441A-8BAD-4635-8774-EE673850C9D9}"/>
    <hyperlink ref="H174" r:id="rId33" xr:uid="{DB224B6A-B61C-41A4-9CD0-429DE1061457}"/>
    <hyperlink ref="H232" r:id="rId34" xr:uid="{20A2DF84-A2AB-4456-B36C-6B7A0952B213}"/>
    <hyperlink ref="H231" r:id="rId35" xr:uid="{DC497E2F-24D1-4BC2-9DA9-92A068C439B9}"/>
  </hyperlinks>
  <pageMargins left="0.7" right="0.7" top="0.75" bottom="0.75" header="0.3" footer="0.3"/>
  <pageSetup orientation="portrait" r:id="rId36"/>
  <drawing r:id="rId3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tabColor rgb="FF83A343"/>
  </sheetPr>
  <dimension ref="A10:O212"/>
  <sheetViews>
    <sheetView showGridLines="0" topLeftCell="B1" zoomScale="60" zoomScaleNormal="60" workbookViewId="0">
      <selection activeCell="H1" sqref="H1"/>
    </sheetView>
  </sheetViews>
  <sheetFormatPr baseColWidth="10" defaultColWidth="3.109375" defaultRowHeight="22.5" customHeight="1" x14ac:dyDescent="0.25"/>
  <cols>
    <col min="1" max="1" width="12" style="9" hidden="1" customWidth="1"/>
    <col min="2" max="2" width="28.44140625" style="9" customWidth="1"/>
    <col min="3" max="3" width="23.88671875" style="9" customWidth="1"/>
    <col min="4" max="4" width="97.109375" style="9" customWidth="1"/>
    <col min="5" max="5" width="7.44140625" style="9" customWidth="1"/>
    <col min="6" max="6" width="5.6640625" style="9" bestFit="1" customWidth="1"/>
    <col min="7" max="7" width="31" style="9" customWidth="1"/>
    <col min="8" max="8" width="75.88671875" style="9" customWidth="1"/>
    <col min="9" max="9" width="7.44140625" style="9" customWidth="1"/>
    <col min="10" max="10" width="16.109375" style="9" customWidth="1"/>
    <col min="11" max="11" width="4.6640625" style="53" customWidth="1"/>
    <col min="12" max="12" width="7.44140625" style="53" customWidth="1"/>
    <col min="13" max="13" width="6.33203125" style="54" customWidth="1"/>
    <col min="14" max="14" width="6.33203125" style="78" customWidth="1"/>
    <col min="15" max="15" width="3.109375" style="79" customWidth="1"/>
    <col min="16" max="16363" width="3.109375" style="9" customWidth="1"/>
    <col min="16364" max="16384" width="3.109375" style="9"/>
  </cols>
  <sheetData>
    <row r="10" spans="1:15" ht="19.649999999999999" customHeight="1" x14ac:dyDescent="0.25">
      <c r="B10" s="617" t="s">
        <v>216</v>
      </c>
      <c r="C10" s="617"/>
      <c r="D10" s="617"/>
      <c r="E10" s="617"/>
      <c r="F10" s="617"/>
      <c r="G10" s="617"/>
      <c r="H10" s="617"/>
      <c r="I10" s="617"/>
      <c r="J10" s="617"/>
    </row>
    <row r="11" spans="1:15" ht="71.25" customHeight="1" x14ac:dyDescent="0.25">
      <c r="B11" s="432" t="s">
        <v>217</v>
      </c>
      <c r="C11" s="432"/>
      <c r="D11" s="432"/>
      <c r="E11" s="432"/>
      <c r="F11" s="432"/>
      <c r="G11" s="432"/>
      <c r="H11" s="432"/>
      <c r="I11" s="432"/>
      <c r="J11" s="432"/>
    </row>
    <row r="12" spans="1:15" ht="9.9" customHeight="1" x14ac:dyDescent="0.25">
      <c r="B12" s="10"/>
      <c r="C12" s="10"/>
      <c r="E12" s="11"/>
    </row>
    <row r="13" spans="1:15" ht="36.75" customHeight="1" x14ac:dyDescent="0.25">
      <c r="A13" s="627" t="s">
        <v>111</v>
      </c>
      <c r="B13" s="589" t="s">
        <v>218</v>
      </c>
      <c r="C13" s="595" t="s">
        <v>8</v>
      </c>
      <c r="D13" s="595" t="s">
        <v>219</v>
      </c>
      <c r="E13" s="614" t="s">
        <v>220</v>
      </c>
      <c r="F13" s="620" t="s">
        <v>116</v>
      </c>
      <c r="G13" s="621"/>
      <c r="H13" s="621"/>
      <c r="I13" s="614" t="s">
        <v>221</v>
      </c>
      <c r="J13" s="614" t="s">
        <v>152</v>
      </c>
      <c r="K13" s="570"/>
      <c r="L13" s="570"/>
      <c r="M13" s="625"/>
      <c r="N13" s="568"/>
      <c r="O13" s="567"/>
    </row>
    <row r="14" spans="1:15" ht="29.25" customHeight="1" x14ac:dyDescent="0.25">
      <c r="A14" s="590"/>
      <c r="B14" s="590"/>
      <c r="C14" s="596"/>
      <c r="D14" s="596"/>
      <c r="E14" s="614"/>
      <c r="F14" s="587" t="s">
        <v>13</v>
      </c>
      <c r="G14" s="595" t="s">
        <v>15</v>
      </c>
      <c r="H14" s="595" t="s">
        <v>222</v>
      </c>
      <c r="I14" s="614"/>
      <c r="J14" s="614"/>
      <c r="K14" s="570"/>
      <c r="L14" s="570"/>
      <c r="M14" s="625"/>
      <c r="N14" s="568"/>
      <c r="O14" s="567"/>
    </row>
    <row r="15" spans="1:15" ht="99.75" customHeight="1" thickBot="1" x14ac:dyDescent="0.3">
      <c r="A15" s="591"/>
      <c r="B15" s="591"/>
      <c r="C15" s="597"/>
      <c r="D15" s="597"/>
      <c r="E15" s="615"/>
      <c r="F15" s="588"/>
      <c r="G15" s="616"/>
      <c r="H15" s="616"/>
      <c r="I15" s="615"/>
      <c r="J15" s="615"/>
      <c r="K15" s="570"/>
      <c r="L15" s="570"/>
      <c r="M15" s="625"/>
      <c r="N15" s="568"/>
      <c r="O15" s="567"/>
    </row>
    <row r="16" spans="1:15" ht="27" customHeight="1" x14ac:dyDescent="0.25">
      <c r="A16" s="521" t="str">
        <f>+LEFT(B16,3)</f>
        <v>6.1</v>
      </c>
      <c r="B16" s="629" t="s">
        <v>223</v>
      </c>
      <c r="C16" s="406" t="s">
        <v>224</v>
      </c>
      <c r="D16" s="421" t="s">
        <v>225</v>
      </c>
      <c r="E16" s="415">
        <v>3</v>
      </c>
      <c r="F16" s="83">
        <v>1</v>
      </c>
      <c r="G16" s="20" t="s">
        <v>751</v>
      </c>
      <c r="H16" s="370" t="s">
        <v>758</v>
      </c>
      <c r="I16" s="412">
        <v>3</v>
      </c>
      <c r="J16" s="513" t="str">
        <f>+IF(OR(ISBLANK(E16),ISBLANK(I16)),"",IF(OR(AND(E16=1,I16=1),AND(E16=1,I16=2),AND(E16=1,I16=3)),"Deficiencia de control mayor (diseño y ejecución)",IF(OR(AND(E16=2,I16=2),AND(E16=3,I16=1),AND(E16=3,I16=2),AND(E16=2,I16=1)),"Deficiencia de control (diseño o ejecución)",IF(AND(E16=2,I16=3),"Oportunidad de mejora","Mantenimiento del control"))))</f>
        <v>Mantenimiento del control</v>
      </c>
      <c r="K16" s="532">
        <f>+IF(J16="",75,IF(J16="Deficiencia de control mayor (diseño y ejecución)",80,IF(J16="Deficiencia de control (diseño o ejecución)",100,IF(J16="Oportunidad de mejora",120,140))))</f>
        <v>140</v>
      </c>
      <c r="L16" s="533">
        <v>1.7896000000000001</v>
      </c>
      <c r="M16" s="558">
        <f>+K16+L16</f>
        <v>141.78960000000001</v>
      </c>
      <c r="O16" s="566"/>
    </row>
    <row r="17" spans="1:15" ht="13.8" x14ac:dyDescent="0.25">
      <c r="A17" s="522"/>
      <c r="B17" s="630"/>
      <c r="C17" s="407"/>
      <c r="D17" s="422"/>
      <c r="E17" s="416"/>
      <c r="F17" s="81">
        <v>2</v>
      </c>
      <c r="G17" s="20" t="s">
        <v>752</v>
      </c>
      <c r="H17" s="372"/>
      <c r="I17" s="413"/>
      <c r="J17" s="396"/>
      <c r="K17" s="532"/>
      <c r="L17" s="533"/>
      <c r="M17" s="558"/>
      <c r="O17" s="566"/>
    </row>
    <row r="18" spans="1:15" ht="13.8" x14ac:dyDescent="0.25">
      <c r="A18" s="522"/>
      <c r="B18" s="630"/>
      <c r="C18" s="407"/>
      <c r="D18" s="422"/>
      <c r="E18" s="416"/>
      <c r="F18" s="81">
        <v>3</v>
      </c>
      <c r="G18" s="20" t="s">
        <v>753</v>
      </c>
      <c r="H18" s="372"/>
      <c r="I18" s="413"/>
      <c r="J18" s="396"/>
      <c r="K18" s="532"/>
      <c r="L18" s="533"/>
      <c r="M18" s="558"/>
      <c r="O18" s="566"/>
    </row>
    <row r="19" spans="1:15" ht="13.8" x14ac:dyDescent="0.25">
      <c r="A19" s="522"/>
      <c r="B19" s="630"/>
      <c r="C19" s="407"/>
      <c r="D19" s="422"/>
      <c r="E19" s="416"/>
      <c r="F19" s="81">
        <v>4</v>
      </c>
      <c r="G19" s="20" t="s">
        <v>754</v>
      </c>
      <c r="H19" s="372"/>
      <c r="I19" s="413"/>
      <c r="J19" s="396"/>
      <c r="K19" s="532"/>
      <c r="L19" s="533"/>
      <c r="M19" s="558"/>
      <c r="O19" s="566"/>
    </row>
    <row r="20" spans="1:15" ht="13.8" x14ac:dyDescent="0.25">
      <c r="A20" s="522"/>
      <c r="B20" s="630"/>
      <c r="C20" s="407"/>
      <c r="D20" s="422"/>
      <c r="E20" s="416"/>
      <c r="F20" s="81">
        <v>5</v>
      </c>
      <c r="G20" s="20" t="s">
        <v>755</v>
      </c>
      <c r="H20" s="372"/>
      <c r="I20" s="413"/>
      <c r="J20" s="396"/>
      <c r="K20" s="532"/>
      <c r="L20" s="533"/>
      <c r="M20" s="558"/>
      <c r="O20" s="566"/>
    </row>
    <row r="21" spans="1:15" ht="13.8" x14ac:dyDescent="0.25">
      <c r="A21" s="522"/>
      <c r="B21" s="630"/>
      <c r="C21" s="407"/>
      <c r="D21" s="422"/>
      <c r="E21" s="416"/>
      <c r="F21" s="81">
        <v>6</v>
      </c>
      <c r="G21" s="20" t="s">
        <v>756</v>
      </c>
      <c r="H21" s="372"/>
      <c r="I21" s="413"/>
      <c r="J21" s="396"/>
      <c r="K21" s="532"/>
      <c r="L21" s="533"/>
      <c r="M21" s="558"/>
      <c r="O21" s="566"/>
    </row>
    <row r="22" spans="1:15" ht="13.8" x14ac:dyDescent="0.25">
      <c r="A22" s="522"/>
      <c r="B22" s="630"/>
      <c r="C22" s="407"/>
      <c r="D22" s="422"/>
      <c r="E22" s="416"/>
      <c r="F22" s="81">
        <v>7</v>
      </c>
      <c r="G22" s="20" t="s">
        <v>757</v>
      </c>
      <c r="H22" s="372"/>
      <c r="I22" s="413"/>
      <c r="J22" s="396"/>
      <c r="K22" s="532"/>
      <c r="L22" s="533"/>
      <c r="M22" s="558"/>
      <c r="O22" s="566"/>
    </row>
    <row r="23" spans="1:15" ht="13.8" x14ac:dyDescent="0.25">
      <c r="A23" s="522"/>
      <c r="B23" s="630"/>
      <c r="C23" s="407"/>
      <c r="D23" s="422"/>
      <c r="E23" s="416"/>
      <c r="F23" s="81"/>
      <c r="G23" s="133"/>
      <c r="H23" s="372"/>
      <c r="I23" s="413"/>
      <c r="J23" s="396"/>
      <c r="K23" s="532"/>
      <c r="L23" s="533"/>
      <c r="M23" s="558"/>
      <c r="O23" s="566"/>
    </row>
    <row r="24" spans="1:15" ht="13.8" x14ac:dyDescent="0.25">
      <c r="A24" s="522"/>
      <c r="B24" s="630"/>
      <c r="C24" s="407"/>
      <c r="D24" s="422"/>
      <c r="E24" s="416"/>
      <c r="F24" s="81"/>
      <c r="G24" s="244"/>
      <c r="H24" s="372"/>
      <c r="I24" s="413"/>
      <c r="J24" s="396"/>
      <c r="K24" s="532"/>
      <c r="L24" s="533"/>
      <c r="M24" s="558"/>
      <c r="O24" s="566"/>
    </row>
    <row r="25" spans="1:15" ht="13.8" x14ac:dyDescent="0.25">
      <c r="A25" s="522"/>
      <c r="B25" s="630"/>
      <c r="C25" s="407"/>
      <c r="D25" s="422"/>
      <c r="E25" s="416"/>
      <c r="F25" s="81"/>
      <c r="G25" s="133"/>
      <c r="H25" s="372"/>
      <c r="I25" s="413"/>
      <c r="J25" s="396"/>
      <c r="K25" s="532"/>
      <c r="L25" s="533"/>
      <c r="M25" s="558"/>
      <c r="O25" s="566"/>
    </row>
    <row r="26" spans="1:15" ht="13.8" x14ac:dyDescent="0.25">
      <c r="A26" s="522"/>
      <c r="B26" s="630"/>
      <c r="C26" s="407"/>
      <c r="D26" s="422"/>
      <c r="E26" s="416"/>
      <c r="F26" s="81"/>
      <c r="G26" s="244"/>
      <c r="H26" s="372"/>
      <c r="I26" s="413"/>
      <c r="J26" s="396"/>
      <c r="K26" s="532"/>
      <c r="L26" s="533"/>
      <c r="M26" s="558"/>
      <c r="O26" s="566"/>
    </row>
    <row r="27" spans="1:15" ht="111" customHeight="1" thickBot="1" x14ac:dyDescent="0.3">
      <c r="A27" s="523"/>
      <c r="B27" s="631"/>
      <c r="C27" s="408"/>
      <c r="D27" s="423"/>
      <c r="E27" s="417"/>
      <c r="F27" s="82"/>
      <c r="G27" s="134"/>
      <c r="H27" s="373"/>
      <c r="I27" s="414"/>
      <c r="J27" s="398"/>
      <c r="K27" s="532"/>
      <c r="L27" s="533"/>
      <c r="M27" s="558"/>
      <c r="O27" s="566"/>
    </row>
    <row r="28" spans="1:15" ht="22.5" customHeight="1" x14ac:dyDescent="0.25">
      <c r="A28" s="622" t="str">
        <f>+LEFT(B28,3)</f>
        <v>6.2</v>
      </c>
      <c r="B28" s="571" t="s">
        <v>226</v>
      </c>
      <c r="C28" s="406" t="s">
        <v>227</v>
      </c>
      <c r="D28" s="421" t="s">
        <v>767</v>
      </c>
      <c r="E28" s="415">
        <v>3</v>
      </c>
      <c r="F28" s="83">
        <v>1</v>
      </c>
      <c r="G28" s="301" t="s">
        <v>759</v>
      </c>
      <c r="H28" s="370" t="s">
        <v>766</v>
      </c>
      <c r="I28" s="415">
        <v>3</v>
      </c>
      <c r="J28" s="513" t="str">
        <f>+IF(OR(ISBLANK(E28),ISBLANK(I28)),"",IF(OR(AND(E28=1,I28=1),AND(E28=1,I28=2),AND(E28=1,I28=3)),"Deficiencia de control mayor (diseño y ejecución)",IF(OR(AND(E28=2,I28=2),AND(E28=3,I28=1),AND(E28=3,I28=2),AND(E28=2,I28=1)),"Deficiencia de control (diseño o ejecución)",IF(AND(E28=2,I28=3),"Oportunidad de mejora","Mantenimiento del control"))))</f>
        <v>Mantenimiento del control</v>
      </c>
      <c r="K28" s="532">
        <f>+IF(J28="",75,IF(J28="Deficiencia de control mayor (diseño y ejecución)",80,IF(J28="Deficiencia de control (diseño o ejecución)",100,IF(J28="Oportunidad de mejora",120,140))))</f>
        <v>140</v>
      </c>
      <c r="L28" s="533">
        <v>1.8895999999999999</v>
      </c>
      <c r="M28" s="558">
        <f>+K28+L28</f>
        <v>141.8896</v>
      </c>
      <c r="N28" s="541"/>
      <c r="O28" s="566"/>
    </row>
    <row r="29" spans="1:15" ht="22.5" customHeight="1" x14ac:dyDescent="0.25">
      <c r="A29" s="623"/>
      <c r="B29" s="572"/>
      <c r="C29" s="407"/>
      <c r="D29" s="422"/>
      <c r="E29" s="416"/>
      <c r="F29" s="81">
        <v>2</v>
      </c>
      <c r="G29" s="20" t="s">
        <v>760</v>
      </c>
      <c r="H29" s="372"/>
      <c r="I29" s="416"/>
      <c r="J29" s="396"/>
      <c r="K29" s="532"/>
      <c r="L29" s="533"/>
      <c r="M29" s="558"/>
      <c r="N29" s="541"/>
      <c r="O29" s="566"/>
    </row>
    <row r="30" spans="1:15" ht="22.5" customHeight="1" x14ac:dyDescent="0.25">
      <c r="A30" s="623"/>
      <c r="B30" s="572"/>
      <c r="C30" s="407"/>
      <c r="D30" s="422"/>
      <c r="E30" s="416"/>
      <c r="F30" s="81">
        <v>3</v>
      </c>
      <c r="G30" s="20" t="s">
        <v>761</v>
      </c>
      <c r="H30" s="372"/>
      <c r="I30" s="416"/>
      <c r="J30" s="396"/>
      <c r="K30" s="532"/>
      <c r="L30" s="533"/>
      <c r="M30" s="558"/>
      <c r="N30" s="541"/>
      <c r="O30" s="566"/>
    </row>
    <row r="31" spans="1:15" ht="22.5" customHeight="1" x14ac:dyDescent="0.25">
      <c r="A31" s="623"/>
      <c r="B31" s="572"/>
      <c r="C31" s="407"/>
      <c r="D31" s="422"/>
      <c r="E31" s="416"/>
      <c r="F31" s="81">
        <v>4</v>
      </c>
      <c r="G31" s="301" t="s">
        <v>762</v>
      </c>
      <c r="H31" s="372"/>
      <c r="I31" s="416"/>
      <c r="J31" s="396"/>
      <c r="K31" s="532"/>
      <c r="L31" s="533"/>
      <c r="M31" s="558"/>
      <c r="N31" s="541"/>
      <c r="O31" s="566"/>
    </row>
    <row r="32" spans="1:15" ht="22.5" customHeight="1" x14ac:dyDescent="0.25">
      <c r="A32" s="623"/>
      <c r="B32" s="572"/>
      <c r="C32" s="407"/>
      <c r="D32" s="422"/>
      <c r="E32" s="416"/>
      <c r="F32" s="81">
        <v>5</v>
      </c>
      <c r="G32" s="20" t="s">
        <v>763</v>
      </c>
      <c r="H32" s="372"/>
      <c r="I32" s="416"/>
      <c r="J32" s="396"/>
      <c r="K32" s="532"/>
      <c r="L32" s="533"/>
      <c r="M32" s="558"/>
      <c r="N32" s="541"/>
      <c r="O32" s="566"/>
    </row>
    <row r="33" spans="1:15" ht="22.5" customHeight="1" x14ac:dyDescent="0.25">
      <c r="A33" s="623"/>
      <c r="B33" s="572"/>
      <c r="C33" s="407"/>
      <c r="D33" s="422"/>
      <c r="E33" s="416"/>
      <c r="F33" s="81">
        <v>6</v>
      </c>
      <c r="G33" s="20" t="s">
        <v>764</v>
      </c>
      <c r="H33" s="372"/>
      <c r="I33" s="416"/>
      <c r="J33" s="396"/>
      <c r="K33" s="532"/>
      <c r="L33" s="533"/>
      <c r="M33" s="558"/>
      <c r="N33" s="541"/>
      <c r="O33" s="566"/>
    </row>
    <row r="34" spans="1:15" ht="11.1" customHeight="1" x14ac:dyDescent="0.25">
      <c r="A34" s="623"/>
      <c r="B34" s="572"/>
      <c r="C34" s="407"/>
      <c r="D34" s="422"/>
      <c r="E34" s="416"/>
      <c r="F34" s="81">
        <v>7</v>
      </c>
      <c r="G34" s="20" t="s">
        <v>765</v>
      </c>
      <c r="H34" s="372"/>
      <c r="I34" s="416"/>
      <c r="J34" s="396"/>
      <c r="K34" s="532"/>
      <c r="L34" s="533"/>
      <c r="M34" s="558"/>
      <c r="N34" s="541"/>
      <c r="O34" s="566"/>
    </row>
    <row r="35" spans="1:15" ht="85.5" customHeight="1" thickBot="1" x14ac:dyDescent="0.3">
      <c r="A35" s="624"/>
      <c r="B35" s="574"/>
      <c r="C35" s="408"/>
      <c r="D35" s="423"/>
      <c r="E35" s="417"/>
      <c r="F35" s="82"/>
      <c r="H35" s="373"/>
      <c r="I35" s="417"/>
      <c r="J35" s="398"/>
      <c r="K35" s="532"/>
      <c r="L35" s="533"/>
      <c r="M35" s="558"/>
      <c r="N35" s="541"/>
      <c r="O35" s="566"/>
    </row>
    <row r="36" spans="1:15" ht="22.5" customHeight="1" x14ac:dyDescent="0.25">
      <c r="A36" s="571" t="str">
        <f>+LEFT(B36,3)</f>
        <v>6.3</v>
      </c>
      <c r="B36" s="571" t="s">
        <v>228</v>
      </c>
      <c r="C36" s="406" t="s">
        <v>229</v>
      </c>
      <c r="D36" s="421" t="s">
        <v>778</v>
      </c>
      <c r="E36" s="415">
        <v>3</v>
      </c>
      <c r="F36" s="83">
        <v>1</v>
      </c>
      <c r="G36" s="302" t="s">
        <v>769</v>
      </c>
      <c r="H36" s="370" t="s">
        <v>768</v>
      </c>
      <c r="I36" s="415">
        <v>3</v>
      </c>
      <c r="J36" s="513" t="str">
        <f>+IF(OR(ISBLANK(E36),ISBLANK(I36)),"",IF(OR(AND(E36=1,I36=1),AND(E36=1,I36=2),AND(E36=1,I36=3)),"Deficiencia de control mayor (diseño y ejecución)",IF(OR(AND(E36=2,I36=2),AND(E36=3,I36=1),AND(E36=3,I36=2),AND(E36=2,I36=1)),"Deficiencia de control (diseño o ejecución)",IF(AND(E36=2,I36=3),"Oportunidad de mejora","Mantenimiento del control"))))</f>
        <v>Mantenimiento del control</v>
      </c>
      <c r="K36" s="532">
        <f>+IF(J36="",75,IF(J36="Deficiencia de control mayor (diseño y ejecución)",80,IF(J36="Deficiencia de control (diseño o ejecución)",100,IF(J36="Oportunidad de mejora",120,140))))</f>
        <v>140</v>
      </c>
      <c r="L36" s="533">
        <v>1.9754</v>
      </c>
      <c r="M36" s="558">
        <f>+K36+L36</f>
        <v>141.97540000000001</v>
      </c>
      <c r="N36" s="541"/>
      <c r="O36" s="566"/>
    </row>
    <row r="37" spans="1:15" ht="13.8" x14ac:dyDescent="0.25">
      <c r="A37" s="572"/>
      <c r="B37" s="572"/>
      <c r="C37" s="407"/>
      <c r="D37" s="470"/>
      <c r="E37" s="416"/>
      <c r="F37" s="81">
        <v>2</v>
      </c>
      <c r="G37" s="301" t="s">
        <v>770</v>
      </c>
      <c r="H37" s="372"/>
      <c r="I37" s="416"/>
      <c r="J37" s="396"/>
      <c r="K37" s="532"/>
      <c r="L37" s="533"/>
      <c r="M37" s="558"/>
      <c r="N37" s="541"/>
      <c r="O37" s="566"/>
    </row>
    <row r="38" spans="1:15" ht="13.8" x14ac:dyDescent="0.25">
      <c r="A38" s="572"/>
      <c r="B38" s="572"/>
      <c r="C38" s="407"/>
      <c r="D38" s="470"/>
      <c r="E38" s="416"/>
      <c r="F38" s="81">
        <v>3</v>
      </c>
      <c r="G38" s="20" t="s">
        <v>771</v>
      </c>
      <c r="H38" s="372"/>
      <c r="I38" s="416"/>
      <c r="J38" s="396"/>
      <c r="K38" s="532"/>
      <c r="L38" s="533"/>
      <c r="M38" s="558"/>
      <c r="N38" s="541"/>
      <c r="O38" s="566"/>
    </row>
    <row r="39" spans="1:15" ht="13.8" x14ac:dyDescent="0.25">
      <c r="A39" s="572"/>
      <c r="B39" s="572"/>
      <c r="C39" s="407"/>
      <c r="D39" s="470"/>
      <c r="E39" s="416"/>
      <c r="F39" s="81">
        <v>4</v>
      </c>
      <c r="G39" s="20" t="s">
        <v>772</v>
      </c>
      <c r="H39" s="372"/>
      <c r="I39" s="416"/>
      <c r="J39" s="396"/>
      <c r="K39" s="532"/>
      <c r="L39" s="533"/>
      <c r="M39" s="558"/>
      <c r="N39" s="541"/>
      <c r="O39" s="566"/>
    </row>
    <row r="40" spans="1:15" ht="13.8" x14ac:dyDescent="0.25">
      <c r="A40" s="572"/>
      <c r="B40" s="572"/>
      <c r="C40" s="407"/>
      <c r="D40" s="470"/>
      <c r="E40" s="416"/>
      <c r="F40" s="81">
        <v>5</v>
      </c>
      <c r="G40" s="20" t="s">
        <v>773</v>
      </c>
      <c r="H40" s="372"/>
      <c r="I40" s="416"/>
      <c r="J40" s="396"/>
      <c r="K40" s="532"/>
      <c r="L40" s="533"/>
      <c r="M40" s="558"/>
      <c r="N40" s="541"/>
      <c r="O40" s="566"/>
    </row>
    <row r="41" spans="1:15" ht="22.5" customHeight="1" x14ac:dyDescent="0.25">
      <c r="A41" s="572"/>
      <c r="B41" s="572"/>
      <c r="C41" s="407"/>
      <c r="D41" s="470"/>
      <c r="E41" s="416"/>
      <c r="F41" s="81">
        <v>6</v>
      </c>
      <c r="G41" s="20" t="s">
        <v>774</v>
      </c>
      <c r="H41" s="372"/>
      <c r="I41" s="416"/>
      <c r="J41" s="396"/>
      <c r="K41" s="532"/>
      <c r="L41" s="533"/>
      <c r="M41" s="558"/>
      <c r="N41" s="541"/>
      <c r="O41" s="566"/>
    </row>
    <row r="42" spans="1:15" ht="13.8" x14ac:dyDescent="0.25">
      <c r="A42" s="572"/>
      <c r="B42" s="572"/>
      <c r="C42" s="407"/>
      <c r="D42" s="470"/>
      <c r="E42" s="416"/>
      <c r="F42" s="81">
        <v>7</v>
      </c>
      <c r="G42" s="20" t="s">
        <v>775</v>
      </c>
      <c r="H42" s="372"/>
      <c r="I42" s="416"/>
      <c r="J42" s="396"/>
      <c r="K42" s="532"/>
      <c r="L42" s="533"/>
      <c r="M42" s="558"/>
      <c r="N42" s="541"/>
      <c r="O42" s="566"/>
    </row>
    <row r="43" spans="1:15" ht="13.8" x14ac:dyDescent="0.25">
      <c r="A43" s="573"/>
      <c r="B43" s="573"/>
      <c r="C43" s="407"/>
      <c r="D43" s="598"/>
      <c r="E43" s="480"/>
      <c r="F43" s="200">
        <v>8</v>
      </c>
      <c r="G43" s="20" t="s">
        <v>776</v>
      </c>
      <c r="H43" s="372"/>
      <c r="I43" s="480"/>
      <c r="J43" s="397"/>
      <c r="K43" s="532"/>
      <c r="L43" s="533"/>
      <c r="M43" s="558"/>
      <c r="N43" s="541"/>
      <c r="O43" s="566"/>
    </row>
    <row r="44" spans="1:15" ht="13.8" x14ac:dyDescent="0.25">
      <c r="A44" s="573"/>
      <c r="B44" s="573"/>
      <c r="C44" s="407"/>
      <c r="D44" s="598"/>
      <c r="E44" s="480"/>
      <c r="F44" s="200">
        <v>9</v>
      </c>
      <c r="G44" s="20" t="s">
        <v>777</v>
      </c>
      <c r="H44" s="372"/>
      <c r="I44" s="480"/>
      <c r="J44" s="397"/>
      <c r="K44" s="532"/>
      <c r="L44" s="533"/>
      <c r="M44" s="558"/>
      <c r="N44" s="541"/>
      <c r="O44" s="566"/>
    </row>
    <row r="45" spans="1:15" ht="13.8" x14ac:dyDescent="0.25">
      <c r="A45" s="573"/>
      <c r="B45" s="573"/>
      <c r="C45" s="407"/>
      <c r="D45" s="598"/>
      <c r="E45" s="480"/>
      <c r="F45" s="200"/>
      <c r="G45" s="244"/>
      <c r="H45" s="372"/>
      <c r="I45" s="480"/>
      <c r="J45" s="397"/>
      <c r="K45" s="532"/>
      <c r="L45" s="533"/>
      <c r="M45" s="558"/>
      <c r="N45" s="541"/>
      <c r="O45" s="566"/>
    </row>
    <row r="46" spans="1:15" ht="13.8" x14ac:dyDescent="0.25">
      <c r="A46" s="573"/>
      <c r="B46" s="573"/>
      <c r="C46" s="407"/>
      <c r="D46" s="598"/>
      <c r="E46" s="480"/>
      <c r="F46" s="200"/>
      <c r="G46" s="133"/>
      <c r="H46" s="372"/>
      <c r="I46" s="480"/>
      <c r="J46" s="397"/>
      <c r="K46" s="532"/>
      <c r="L46" s="533"/>
      <c r="M46" s="558"/>
      <c r="N46" s="541"/>
      <c r="O46" s="566"/>
    </row>
    <row r="47" spans="1:15" ht="13.8" x14ac:dyDescent="0.25">
      <c r="A47" s="573"/>
      <c r="B47" s="573"/>
      <c r="C47" s="407"/>
      <c r="D47" s="598"/>
      <c r="E47" s="480"/>
      <c r="F47" s="200"/>
      <c r="G47" s="133"/>
      <c r="H47" s="372"/>
      <c r="I47" s="480"/>
      <c r="J47" s="397"/>
      <c r="K47" s="532"/>
      <c r="L47" s="533"/>
      <c r="M47" s="558"/>
      <c r="N47" s="541"/>
      <c r="O47" s="566"/>
    </row>
    <row r="48" spans="1:15" ht="14.4" thickBot="1" x14ac:dyDescent="0.3">
      <c r="A48" s="574"/>
      <c r="B48" s="574"/>
      <c r="C48" s="408"/>
      <c r="D48" s="471"/>
      <c r="E48" s="417"/>
      <c r="F48" s="82"/>
      <c r="G48" s="209"/>
      <c r="H48" s="373"/>
      <c r="I48" s="417"/>
      <c r="J48" s="398"/>
      <c r="K48" s="532"/>
      <c r="L48" s="533"/>
      <c r="M48" s="558"/>
      <c r="N48" s="541"/>
      <c r="O48" s="566"/>
    </row>
    <row r="49" spans="1:15" ht="22.5" customHeight="1" x14ac:dyDescent="0.25">
      <c r="A49" s="628"/>
      <c r="B49" s="589" t="s">
        <v>231</v>
      </c>
      <c r="C49" s="595" t="s">
        <v>8</v>
      </c>
      <c r="D49" s="561" t="s">
        <v>219</v>
      </c>
      <c r="E49" s="576" t="s">
        <v>220</v>
      </c>
      <c r="F49" s="601" t="s">
        <v>116</v>
      </c>
      <c r="G49" s="602"/>
      <c r="H49" s="603"/>
      <c r="I49" s="576" t="s">
        <v>221</v>
      </c>
      <c r="J49" s="618" t="s">
        <v>152</v>
      </c>
      <c r="K49" s="569"/>
      <c r="L49" s="569"/>
      <c r="M49" s="626"/>
      <c r="N49" s="568"/>
      <c r="O49" s="567"/>
    </row>
    <row r="50" spans="1:15" ht="22.5" customHeight="1" x14ac:dyDescent="0.25">
      <c r="A50" s="590"/>
      <c r="B50" s="590"/>
      <c r="C50" s="596"/>
      <c r="D50" s="583"/>
      <c r="E50" s="576"/>
      <c r="F50" s="604" t="s">
        <v>13</v>
      </c>
      <c r="G50" s="559" t="s">
        <v>15</v>
      </c>
      <c r="H50" s="599" t="s">
        <v>222</v>
      </c>
      <c r="I50" s="576"/>
      <c r="J50" s="618"/>
      <c r="K50" s="569"/>
      <c r="L50" s="569"/>
      <c r="M50" s="626"/>
      <c r="N50" s="568"/>
      <c r="O50" s="567"/>
    </row>
    <row r="51" spans="1:15" ht="91.5" customHeight="1" thickBot="1" x14ac:dyDescent="0.3">
      <c r="A51" s="591"/>
      <c r="B51" s="591"/>
      <c r="C51" s="597"/>
      <c r="D51" s="584"/>
      <c r="E51" s="577"/>
      <c r="F51" s="605"/>
      <c r="G51" s="560"/>
      <c r="H51" s="600"/>
      <c r="I51" s="577"/>
      <c r="J51" s="619"/>
      <c r="K51" s="569"/>
      <c r="L51" s="569"/>
      <c r="M51" s="626"/>
      <c r="N51" s="568"/>
      <c r="O51" s="567"/>
    </row>
    <row r="52" spans="1:15" ht="25.5" customHeight="1" x14ac:dyDescent="0.25">
      <c r="A52" s="622" t="str">
        <f>+LEFT(B52,3)</f>
        <v>7.1</v>
      </c>
      <c r="B52" s="578" t="s">
        <v>232</v>
      </c>
      <c r="C52" s="406" t="s">
        <v>224</v>
      </c>
      <c r="D52" s="421" t="s">
        <v>782</v>
      </c>
      <c r="E52" s="415">
        <v>3</v>
      </c>
      <c r="F52" s="83">
        <v>1</v>
      </c>
      <c r="G52" s="132" t="s">
        <v>158</v>
      </c>
      <c r="H52" s="421" t="s">
        <v>779</v>
      </c>
      <c r="I52" s="415">
        <v>3</v>
      </c>
      <c r="J52" s="513" t="str">
        <f>+IF(OR(ISBLANK(E52),ISBLANK(I52)),"",IF(OR(AND(E52=1,I52=1),AND(E52=1,I52=2),AND(E52=1,I52=3)),"Deficiencia de control mayor (diseño y ejecución)",IF(OR(AND(E52=2,I52=2),AND(E52=3,I52=1),AND(E52=3,I52=2),AND(E52=2,I52=1)),"Deficiencia de control (diseño o ejecución)",IF(AND(E52=2,I52=3),"Oportunidad de mejora","Mantenimiento del control"))))</f>
        <v>Mantenimiento del control</v>
      </c>
      <c r="K52" s="532">
        <f>+IF(J52="",75,IF(J52="Deficiencia de control mayor (diseño y ejecución)",80,IF(J52="Deficiencia de control (diseño o ejecución)",100,IF(J52="Oportunidad de mejora",120,140))))</f>
        <v>140</v>
      </c>
      <c r="L52" s="533">
        <v>2.0895999999999999</v>
      </c>
      <c r="M52" s="558">
        <f>+K52+L52</f>
        <v>142.08959999999999</v>
      </c>
      <c r="N52" s="541"/>
      <c r="O52" s="566"/>
    </row>
    <row r="53" spans="1:15" ht="13.8" x14ac:dyDescent="0.25">
      <c r="A53" s="623"/>
      <c r="B53" s="579"/>
      <c r="C53" s="407"/>
      <c r="D53" s="422"/>
      <c r="E53" s="416"/>
      <c r="F53" s="81">
        <v>2</v>
      </c>
      <c r="G53" s="203" t="s">
        <v>780</v>
      </c>
      <c r="H53" s="422"/>
      <c r="I53" s="416"/>
      <c r="J53" s="396"/>
      <c r="K53" s="532"/>
      <c r="L53" s="533"/>
      <c r="M53" s="558"/>
      <c r="N53" s="541"/>
      <c r="O53" s="566"/>
    </row>
    <row r="54" spans="1:15" ht="13.8" x14ac:dyDescent="0.25">
      <c r="A54" s="623"/>
      <c r="B54" s="579"/>
      <c r="C54" s="407"/>
      <c r="D54" s="422"/>
      <c r="E54" s="416"/>
      <c r="F54" s="81">
        <v>3</v>
      </c>
      <c r="G54" s="244" t="s">
        <v>781</v>
      </c>
      <c r="H54" s="422"/>
      <c r="I54" s="416"/>
      <c r="J54" s="396"/>
      <c r="K54" s="532"/>
      <c r="L54" s="533"/>
      <c r="M54" s="558"/>
      <c r="N54" s="541"/>
      <c r="O54" s="566"/>
    </row>
    <row r="55" spans="1:15" ht="13.8" x14ac:dyDescent="0.25">
      <c r="A55" s="623"/>
      <c r="B55" s="579"/>
      <c r="C55" s="407"/>
      <c r="D55" s="422"/>
      <c r="E55" s="416"/>
      <c r="F55" s="81">
        <v>4</v>
      </c>
      <c r="G55" s="133"/>
      <c r="H55" s="422"/>
      <c r="I55" s="416"/>
      <c r="J55" s="396"/>
      <c r="K55" s="532"/>
      <c r="L55" s="533"/>
      <c r="M55" s="558"/>
      <c r="N55" s="541"/>
      <c r="O55" s="566"/>
    </row>
    <row r="56" spans="1:15" ht="13.8" x14ac:dyDescent="0.25">
      <c r="A56" s="623"/>
      <c r="B56" s="579"/>
      <c r="C56" s="407"/>
      <c r="D56" s="422"/>
      <c r="E56" s="416"/>
      <c r="F56" s="81">
        <v>5</v>
      </c>
      <c r="G56" s="303"/>
      <c r="H56" s="422"/>
      <c r="I56" s="416"/>
      <c r="J56" s="396"/>
      <c r="K56" s="532"/>
      <c r="L56" s="533"/>
      <c r="M56" s="558"/>
      <c r="N56" s="541"/>
      <c r="O56" s="566"/>
    </row>
    <row r="57" spans="1:15" ht="13.8" x14ac:dyDescent="0.25">
      <c r="A57" s="623"/>
      <c r="B57" s="579"/>
      <c r="C57" s="407"/>
      <c r="D57" s="422"/>
      <c r="E57" s="416"/>
      <c r="F57" s="81">
        <v>6</v>
      </c>
      <c r="G57" s="303"/>
      <c r="H57" s="422"/>
      <c r="I57" s="416"/>
      <c r="J57" s="396"/>
      <c r="K57" s="532"/>
      <c r="L57" s="533"/>
      <c r="M57" s="558"/>
      <c r="N57" s="541"/>
      <c r="O57" s="566"/>
    </row>
    <row r="58" spans="1:15" ht="13.8" x14ac:dyDescent="0.25">
      <c r="A58" s="623"/>
      <c r="B58" s="579"/>
      <c r="C58" s="407"/>
      <c r="D58" s="422"/>
      <c r="E58" s="416"/>
      <c r="F58" s="81"/>
      <c r="H58" s="422"/>
      <c r="I58" s="416"/>
      <c r="J58" s="396"/>
      <c r="K58" s="532"/>
      <c r="L58" s="533"/>
      <c r="M58" s="558"/>
      <c r="N58" s="541"/>
      <c r="O58" s="566"/>
    </row>
    <row r="59" spans="1:15" ht="2.4" customHeight="1" x14ac:dyDescent="0.25">
      <c r="A59" s="623"/>
      <c r="B59" s="580"/>
      <c r="C59" s="407"/>
      <c r="D59" s="479"/>
      <c r="E59" s="480"/>
      <c r="F59" s="200"/>
      <c r="H59" s="479"/>
      <c r="I59" s="480"/>
      <c r="J59" s="397"/>
      <c r="K59" s="532"/>
      <c r="L59" s="533"/>
      <c r="M59" s="558"/>
      <c r="N59" s="541"/>
      <c r="O59" s="566"/>
    </row>
    <row r="60" spans="1:15" ht="112.5" customHeight="1" thickBot="1" x14ac:dyDescent="0.3">
      <c r="A60" s="624"/>
      <c r="B60" s="581"/>
      <c r="C60" s="408"/>
      <c r="D60" s="423"/>
      <c r="E60" s="417"/>
      <c r="F60" s="82"/>
      <c r="G60" s="134"/>
      <c r="H60" s="479"/>
      <c r="I60" s="417"/>
      <c r="J60" s="398"/>
      <c r="K60" s="532"/>
      <c r="L60" s="533"/>
      <c r="M60" s="558"/>
      <c r="N60" s="541"/>
      <c r="O60" s="566"/>
    </row>
    <row r="61" spans="1:15" ht="26.4" x14ac:dyDescent="0.25">
      <c r="A61" s="622" t="str">
        <f>+LEFT(B61,3)</f>
        <v>7.2</v>
      </c>
      <c r="B61" s="571" t="s">
        <v>234</v>
      </c>
      <c r="C61" s="406" t="s">
        <v>235</v>
      </c>
      <c r="D61" s="421" t="s">
        <v>786</v>
      </c>
      <c r="E61" s="415">
        <v>3</v>
      </c>
      <c r="F61" s="83">
        <v>1</v>
      </c>
      <c r="G61" s="132" t="s">
        <v>158</v>
      </c>
      <c r="H61" s="421" t="s">
        <v>785</v>
      </c>
      <c r="I61" s="415">
        <v>2</v>
      </c>
      <c r="J61" s="513" t="str">
        <f>+IF(OR(ISBLANK(E61),ISBLANK(I61)),"",IF(OR(AND(E61=1,I61=1),AND(E61=1,I61=2),AND(E61=1,I61=3)),"Deficiencia de control mayor (diseño y ejecución)",IF(OR(AND(E61=2,I61=2),AND(E61=3,I61=1),AND(E61=3,I61=2),AND(E61=2,I61=1)),"Deficiencia de control (diseño o ejecución)",IF(AND(E61=2,I61=3),"Oportunidad de mejora","Mantenimiento del control"))))</f>
        <v>Deficiencia de control (diseño o ejecución)</v>
      </c>
      <c r="K61" s="532">
        <f>+IF(J61="",75,IF(J61="Deficiencia de control mayor (diseño y ejecución)",80,IF(J61="Deficiencia de control (diseño o ejecución)",100,IF(J61="Oportunidad de mejora",120,140))))</f>
        <v>100</v>
      </c>
      <c r="L61" s="533">
        <v>2.1456</v>
      </c>
      <c r="M61" s="558">
        <f>+K61+L61</f>
        <v>102.1456</v>
      </c>
      <c r="N61" s="541"/>
      <c r="O61" s="566"/>
    </row>
    <row r="62" spans="1:15" ht="26.4" x14ac:dyDescent="0.25">
      <c r="A62" s="623"/>
      <c r="B62" s="572"/>
      <c r="C62" s="407"/>
      <c r="D62" s="422"/>
      <c r="E62" s="416"/>
      <c r="F62" s="81">
        <v>2</v>
      </c>
      <c r="G62" s="133" t="s">
        <v>168</v>
      </c>
      <c r="H62" s="422"/>
      <c r="I62" s="416"/>
      <c r="J62" s="396"/>
      <c r="K62" s="532"/>
      <c r="L62" s="533"/>
      <c r="M62" s="558"/>
      <c r="N62" s="541"/>
      <c r="O62" s="566"/>
    </row>
    <row r="63" spans="1:15" ht="13.8" x14ac:dyDescent="0.25">
      <c r="A63" s="623"/>
      <c r="B63" s="572"/>
      <c r="C63" s="407"/>
      <c r="D63" s="422"/>
      <c r="E63" s="416"/>
      <c r="F63" s="81">
        <v>3</v>
      </c>
      <c r="G63" s="244" t="s">
        <v>233</v>
      </c>
      <c r="H63" s="422"/>
      <c r="I63" s="416"/>
      <c r="J63" s="396"/>
      <c r="K63" s="532"/>
      <c r="L63" s="533"/>
      <c r="M63" s="558"/>
      <c r="N63" s="541"/>
      <c r="O63" s="566"/>
    </row>
    <row r="64" spans="1:15" ht="13.8" x14ac:dyDescent="0.25">
      <c r="A64" s="623"/>
      <c r="B64" s="572"/>
      <c r="C64" s="407"/>
      <c r="D64" s="422"/>
      <c r="E64" s="416"/>
      <c r="F64" s="81">
        <v>4</v>
      </c>
      <c r="G64" s="133" t="s">
        <v>172</v>
      </c>
      <c r="H64" s="422"/>
      <c r="I64" s="416"/>
      <c r="J64" s="396"/>
      <c r="K64" s="532"/>
      <c r="L64" s="533"/>
      <c r="M64" s="558"/>
      <c r="N64" s="541"/>
      <c r="O64" s="566"/>
    </row>
    <row r="65" spans="1:15" ht="13.8" x14ac:dyDescent="0.25">
      <c r="A65" s="623"/>
      <c r="B65" s="572"/>
      <c r="C65" s="407"/>
      <c r="D65" s="422"/>
      <c r="E65" s="416"/>
      <c r="F65" s="81">
        <v>5</v>
      </c>
      <c r="G65" s="133" t="s">
        <v>783</v>
      </c>
      <c r="H65" s="422"/>
      <c r="I65" s="416"/>
      <c r="J65" s="396"/>
      <c r="K65" s="532"/>
      <c r="L65" s="533"/>
      <c r="M65" s="558"/>
      <c r="N65" s="541"/>
      <c r="O65" s="566"/>
    </row>
    <row r="66" spans="1:15" ht="13.8" x14ac:dyDescent="0.25">
      <c r="A66" s="623"/>
      <c r="B66" s="572"/>
      <c r="C66" s="407"/>
      <c r="D66" s="422"/>
      <c r="E66" s="416"/>
      <c r="F66" s="81">
        <v>6</v>
      </c>
      <c r="G66" s="303"/>
      <c r="H66" s="422"/>
      <c r="I66" s="416"/>
      <c r="J66" s="396"/>
      <c r="K66" s="532"/>
      <c r="L66" s="533"/>
      <c r="M66" s="558"/>
      <c r="N66" s="541"/>
      <c r="O66" s="566"/>
    </row>
    <row r="67" spans="1:15" ht="13.8" x14ac:dyDescent="0.25">
      <c r="A67" s="623"/>
      <c r="B67" s="572"/>
      <c r="C67" s="407"/>
      <c r="D67" s="422"/>
      <c r="E67" s="416"/>
      <c r="F67" s="81">
        <v>7</v>
      </c>
      <c r="G67" s="133"/>
      <c r="H67" s="422"/>
      <c r="I67" s="416"/>
      <c r="J67" s="396"/>
      <c r="K67" s="532"/>
      <c r="L67" s="533"/>
      <c r="M67" s="558"/>
      <c r="N67" s="541"/>
      <c r="O67" s="566"/>
    </row>
    <row r="68" spans="1:15" ht="13.8" x14ac:dyDescent="0.25">
      <c r="A68" s="623"/>
      <c r="B68" s="573"/>
      <c r="C68" s="407"/>
      <c r="D68" s="479"/>
      <c r="E68" s="480"/>
      <c r="F68" s="200"/>
      <c r="G68" s="133"/>
      <c r="H68" s="479"/>
      <c r="I68" s="480"/>
      <c r="J68" s="397"/>
      <c r="K68" s="532"/>
      <c r="L68" s="533"/>
      <c r="M68" s="558"/>
      <c r="N68" s="541"/>
      <c r="O68" s="566"/>
    </row>
    <row r="69" spans="1:15" ht="13.8" x14ac:dyDescent="0.25">
      <c r="A69" s="623"/>
      <c r="B69" s="573"/>
      <c r="C69" s="407"/>
      <c r="D69" s="479"/>
      <c r="E69" s="480"/>
      <c r="F69" s="200"/>
      <c r="H69" s="479"/>
      <c r="I69" s="480"/>
      <c r="J69" s="397"/>
      <c r="K69" s="532"/>
      <c r="L69" s="533"/>
      <c r="M69" s="558"/>
      <c r="N69" s="541"/>
      <c r="O69" s="566"/>
    </row>
    <row r="70" spans="1:15" ht="0.6" customHeight="1" x14ac:dyDescent="0.25">
      <c r="A70" s="623"/>
      <c r="B70" s="573"/>
      <c r="C70" s="407"/>
      <c r="D70" s="479"/>
      <c r="E70" s="480"/>
      <c r="F70" s="200"/>
      <c r="G70" s="244"/>
      <c r="H70" s="479"/>
      <c r="I70" s="480"/>
      <c r="J70" s="397"/>
      <c r="K70" s="532"/>
      <c r="L70" s="533"/>
      <c r="M70" s="558"/>
      <c r="N70" s="541"/>
      <c r="O70" s="566"/>
    </row>
    <row r="71" spans="1:15" ht="157.19999999999999" customHeight="1" thickBot="1" x14ac:dyDescent="0.3">
      <c r="A71" s="624"/>
      <c r="B71" s="574"/>
      <c r="C71" s="408"/>
      <c r="D71" s="423"/>
      <c r="E71" s="417"/>
      <c r="F71" s="82"/>
      <c r="G71" s="134"/>
      <c r="H71" s="423"/>
      <c r="I71" s="417"/>
      <c r="J71" s="398"/>
      <c r="K71" s="532"/>
      <c r="L71" s="533"/>
      <c r="M71" s="558"/>
      <c r="N71" s="541"/>
      <c r="O71" s="566"/>
    </row>
    <row r="72" spans="1:15" ht="26.4" x14ac:dyDescent="0.25">
      <c r="A72" s="622" t="str">
        <f>+LEFT(B72,3)</f>
        <v>7.3</v>
      </c>
      <c r="B72" s="571" t="s">
        <v>236</v>
      </c>
      <c r="C72" s="406" t="s">
        <v>235</v>
      </c>
      <c r="D72" s="421" t="s">
        <v>237</v>
      </c>
      <c r="E72" s="415">
        <v>3</v>
      </c>
      <c r="F72" s="83">
        <v>1</v>
      </c>
      <c r="G72" s="132" t="s">
        <v>158</v>
      </c>
      <c r="H72" s="421" t="s">
        <v>787</v>
      </c>
      <c r="I72" s="415">
        <v>2</v>
      </c>
      <c r="J72" s="513" t="str">
        <f>+IF(OR(ISBLANK(E72),ISBLANK(I72)),"",IF(OR(AND(E72=1,I72=1),AND(E72=1,I72=2),AND(E72=1,I72=3)),"Deficiencia de control mayor (diseño y ejecución)",IF(OR(AND(E72=2,I72=2),AND(E72=3,I72=1),AND(E72=3,I72=2),AND(E72=2,I72=1)),"Deficiencia de control (diseño o ejecución)",IF(AND(E72=2,I72=3),"Oportunidad de mejora","Mantenimiento del control"))))</f>
        <v>Deficiencia de control (diseño o ejecución)</v>
      </c>
      <c r="K72" s="532">
        <f>+IF(J72="",75,IF(J72="Deficiencia de control mayor (diseño y ejecución)",80,IF(J72="Deficiencia de control (diseño o ejecución)",100,IF(J72="Oportunidad de mejora",120,140))))</f>
        <v>100</v>
      </c>
      <c r="L72" s="533">
        <v>2.2364999999999999</v>
      </c>
      <c r="M72" s="558">
        <f>+K72+L72</f>
        <v>102.23650000000001</v>
      </c>
      <c r="N72" s="541"/>
      <c r="O72" s="566"/>
    </row>
    <row r="73" spans="1:15" ht="39.6" x14ac:dyDescent="0.25">
      <c r="A73" s="623"/>
      <c r="B73" s="572"/>
      <c r="C73" s="407"/>
      <c r="D73" s="606"/>
      <c r="E73" s="416"/>
      <c r="F73" s="81">
        <v>2</v>
      </c>
      <c r="G73" s="133" t="s">
        <v>788</v>
      </c>
      <c r="H73" s="422"/>
      <c r="I73" s="416"/>
      <c r="J73" s="396"/>
      <c r="K73" s="532"/>
      <c r="L73" s="533"/>
      <c r="M73" s="558"/>
      <c r="N73" s="541"/>
      <c r="O73" s="566"/>
    </row>
    <row r="74" spans="1:15" ht="13.8" x14ac:dyDescent="0.25">
      <c r="A74" s="623"/>
      <c r="B74" s="572"/>
      <c r="C74" s="407"/>
      <c r="D74" s="606"/>
      <c r="E74" s="416"/>
      <c r="F74" s="81">
        <v>3</v>
      </c>
      <c r="G74" s="244" t="s">
        <v>789</v>
      </c>
      <c r="H74" s="422"/>
      <c r="I74" s="416"/>
      <c r="J74" s="396"/>
      <c r="K74" s="532"/>
      <c r="L74" s="533"/>
      <c r="M74" s="558"/>
      <c r="N74" s="541"/>
      <c r="O74" s="566"/>
    </row>
    <row r="75" spans="1:15" ht="13.8" x14ac:dyDescent="0.25">
      <c r="A75" s="623"/>
      <c r="B75" s="572"/>
      <c r="C75" s="407"/>
      <c r="D75" s="606"/>
      <c r="E75" s="416"/>
      <c r="F75" s="81">
        <v>4</v>
      </c>
      <c r="G75" s="133" t="s">
        <v>172</v>
      </c>
      <c r="H75" s="422"/>
      <c r="I75" s="416"/>
      <c r="J75" s="396"/>
      <c r="K75" s="532"/>
      <c r="L75" s="533"/>
      <c r="M75" s="558"/>
      <c r="N75" s="541"/>
      <c r="O75" s="566"/>
    </row>
    <row r="76" spans="1:15" ht="13.8" x14ac:dyDescent="0.25">
      <c r="A76" s="623"/>
      <c r="B76" s="572"/>
      <c r="C76" s="407"/>
      <c r="D76" s="606"/>
      <c r="E76" s="416"/>
      <c r="F76" s="81">
        <v>5</v>
      </c>
      <c r="G76" s="303" t="s">
        <v>784</v>
      </c>
      <c r="H76" s="422"/>
      <c r="I76" s="416"/>
      <c r="J76" s="396"/>
      <c r="K76" s="532"/>
      <c r="L76" s="533"/>
      <c r="M76" s="558"/>
      <c r="N76" s="541"/>
      <c r="O76" s="566"/>
    </row>
    <row r="77" spans="1:15" ht="13.8" x14ac:dyDescent="0.25">
      <c r="A77" s="623"/>
      <c r="B77" s="572"/>
      <c r="C77" s="407"/>
      <c r="D77" s="606"/>
      <c r="E77" s="416"/>
      <c r="F77" s="81">
        <v>6</v>
      </c>
      <c r="G77" s="303"/>
      <c r="H77" s="422"/>
      <c r="I77" s="416"/>
      <c r="J77" s="396"/>
      <c r="K77" s="532"/>
      <c r="L77" s="533"/>
      <c r="M77" s="558"/>
      <c r="N77" s="541"/>
      <c r="O77" s="566"/>
    </row>
    <row r="78" spans="1:15" ht="13.8" x14ac:dyDescent="0.25">
      <c r="A78" s="623"/>
      <c r="B78" s="572"/>
      <c r="C78" s="407"/>
      <c r="D78" s="606"/>
      <c r="E78" s="416"/>
      <c r="F78" s="81">
        <v>7</v>
      </c>
      <c r="G78" s="133"/>
      <c r="H78" s="422"/>
      <c r="I78" s="416"/>
      <c r="J78" s="396"/>
      <c r="K78" s="532"/>
      <c r="L78" s="533"/>
      <c r="M78" s="558"/>
      <c r="N78" s="541"/>
      <c r="O78" s="566"/>
    </row>
    <row r="79" spans="1:15" ht="13.8" x14ac:dyDescent="0.25">
      <c r="A79" s="623"/>
      <c r="B79" s="573"/>
      <c r="C79" s="407"/>
      <c r="D79" s="607"/>
      <c r="E79" s="480"/>
      <c r="F79" s="200"/>
      <c r="G79" s="133"/>
      <c r="H79" s="479"/>
      <c r="I79" s="480"/>
      <c r="J79" s="397"/>
      <c r="K79" s="532"/>
      <c r="L79" s="533"/>
      <c r="M79" s="558"/>
      <c r="N79" s="541"/>
      <c r="O79" s="566"/>
    </row>
    <row r="80" spans="1:15" ht="13.8" x14ac:dyDescent="0.25">
      <c r="A80" s="623"/>
      <c r="B80" s="573"/>
      <c r="C80" s="407"/>
      <c r="D80" s="607"/>
      <c r="E80" s="480"/>
      <c r="F80" s="200"/>
      <c r="H80" s="479"/>
      <c r="I80" s="480"/>
      <c r="J80" s="397"/>
      <c r="K80" s="532"/>
      <c r="L80" s="533"/>
      <c r="M80" s="558"/>
      <c r="N80" s="541"/>
      <c r="O80" s="566"/>
    </row>
    <row r="81" spans="1:15" ht="41.1" customHeight="1" thickBot="1" x14ac:dyDescent="0.3">
      <c r="A81" s="624"/>
      <c r="B81" s="574"/>
      <c r="C81" s="408"/>
      <c r="D81" s="608"/>
      <c r="E81" s="417"/>
      <c r="F81" s="82"/>
      <c r="G81" s="134"/>
      <c r="H81" s="423"/>
      <c r="I81" s="417"/>
      <c r="J81" s="398"/>
      <c r="K81" s="532"/>
      <c r="L81" s="533"/>
      <c r="M81" s="558"/>
      <c r="N81" s="541"/>
      <c r="O81" s="566"/>
    </row>
    <row r="82" spans="1:15" ht="13.8" x14ac:dyDescent="0.25">
      <c r="A82" s="622" t="str">
        <f>+LEFT(B82,3)</f>
        <v>7.4</v>
      </c>
      <c r="B82" s="571" t="s">
        <v>239</v>
      </c>
      <c r="C82" s="406" t="s">
        <v>240</v>
      </c>
      <c r="D82" s="421" t="s">
        <v>790</v>
      </c>
      <c r="E82" s="415">
        <v>3</v>
      </c>
      <c r="F82" s="83">
        <v>1</v>
      </c>
      <c r="G82" s="20" t="s">
        <v>792</v>
      </c>
      <c r="H82" s="370" t="s">
        <v>791</v>
      </c>
      <c r="I82" s="415">
        <v>3</v>
      </c>
      <c r="J82" s="513" t="str">
        <f>+IF(OR(ISBLANK(E82),ISBLANK(I82)),"",IF(OR(AND(E82=1,I82=1),AND(E82=1,I82=2),AND(E82=1,I82=3)),"Deficiencia de control mayor (diseño y ejecución)",IF(OR(AND(E82=2,I82=2),AND(E82=3,I82=1),AND(E82=3,I82=2),AND(E82=2,I82=1)),"Deficiencia de control (diseño o ejecución)",IF(AND(E82=2,I82=3),"Oportunidad de mejora","Mantenimiento del control"))))</f>
        <v>Mantenimiento del control</v>
      </c>
      <c r="K82" s="532">
        <f>+IF(J82="",75,IF(J82="Deficiencia de control mayor (diseño y ejecución)",80,IF(J82="Deficiencia de control (diseño o ejecución)",100,IF(J82="Oportunidad de mejora",120,140))))</f>
        <v>140</v>
      </c>
      <c r="L82" s="533">
        <v>2.3896000000000002</v>
      </c>
      <c r="M82" s="558">
        <f>+K82+L82</f>
        <v>142.3896</v>
      </c>
      <c r="N82" s="541"/>
      <c r="O82" s="566"/>
    </row>
    <row r="83" spans="1:15" ht="13.8" x14ac:dyDescent="0.25">
      <c r="A83" s="623"/>
      <c r="B83" s="572"/>
      <c r="C83" s="407"/>
      <c r="D83" s="422"/>
      <c r="E83" s="416"/>
      <c r="F83" s="81">
        <v>2</v>
      </c>
      <c r="G83" s="20" t="s">
        <v>793</v>
      </c>
      <c r="H83" s="440"/>
      <c r="I83" s="416"/>
      <c r="J83" s="396"/>
      <c r="K83" s="532"/>
      <c r="L83" s="533"/>
      <c r="M83" s="558"/>
      <c r="N83" s="541"/>
      <c r="O83" s="566"/>
    </row>
    <row r="84" spans="1:15" ht="13.8" x14ac:dyDescent="0.25">
      <c r="A84" s="623"/>
      <c r="B84" s="572"/>
      <c r="C84" s="407"/>
      <c r="D84" s="422"/>
      <c r="E84" s="416"/>
      <c r="F84" s="81">
        <v>3</v>
      </c>
      <c r="G84" s="20" t="s">
        <v>794</v>
      </c>
      <c r="H84" s="440"/>
      <c r="I84" s="416"/>
      <c r="J84" s="396"/>
      <c r="K84" s="532"/>
      <c r="L84" s="533"/>
      <c r="M84" s="558"/>
      <c r="N84" s="541"/>
      <c r="O84" s="566"/>
    </row>
    <row r="85" spans="1:15" ht="13.8" x14ac:dyDescent="0.25">
      <c r="A85" s="623"/>
      <c r="B85" s="572"/>
      <c r="C85" s="407"/>
      <c r="D85" s="422"/>
      <c r="E85" s="416"/>
      <c r="F85" s="81">
        <v>4</v>
      </c>
      <c r="G85" s="20" t="s">
        <v>795</v>
      </c>
      <c r="H85" s="440"/>
      <c r="I85" s="416"/>
      <c r="J85" s="396"/>
      <c r="K85" s="532"/>
      <c r="L85" s="533"/>
      <c r="M85" s="558"/>
      <c r="N85" s="541"/>
      <c r="O85" s="566"/>
    </row>
    <row r="86" spans="1:15" ht="13.8" x14ac:dyDescent="0.25">
      <c r="A86" s="623"/>
      <c r="B86" s="572"/>
      <c r="C86" s="407"/>
      <c r="D86" s="422"/>
      <c r="E86" s="416"/>
      <c r="F86" s="81">
        <v>5</v>
      </c>
      <c r="G86" s="20" t="s">
        <v>796</v>
      </c>
      <c r="H86" s="440"/>
      <c r="I86" s="416"/>
      <c r="J86" s="396"/>
      <c r="K86" s="532"/>
      <c r="L86" s="533"/>
      <c r="M86" s="558"/>
      <c r="N86" s="541"/>
      <c r="O86" s="566"/>
    </row>
    <row r="87" spans="1:15" ht="10.199999999999999" customHeight="1" x14ac:dyDescent="0.25">
      <c r="A87" s="623"/>
      <c r="B87" s="572"/>
      <c r="C87" s="407"/>
      <c r="D87" s="422"/>
      <c r="E87" s="416"/>
      <c r="F87" s="81">
        <v>6</v>
      </c>
      <c r="G87" s="20" t="s">
        <v>797</v>
      </c>
      <c r="H87" s="440"/>
      <c r="I87" s="416"/>
      <c r="J87" s="396"/>
      <c r="K87" s="532"/>
      <c r="L87" s="533"/>
      <c r="M87" s="558"/>
      <c r="N87" s="541"/>
      <c r="O87" s="566"/>
    </row>
    <row r="88" spans="1:15" ht="10.5" customHeight="1" x14ac:dyDescent="0.25">
      <c r="A88" s="623"/>
      <c r="B88" s="572"/>
      <c r="C88" s="407"/>
      <c r="D88" s="422"/>
      <c r="E88" s="416"/>
      <c r="F88" s="81">
        <v>7</v>
      </c>
      <c r="G88" s="20" t="s">
        <v>798</v>
      </c>
      <c r="H88" s="440"/>
      <c r="I88" s="416"/>
      <c r="J88" s="396"/>
      <c r="K88" s="532"/>
      <c r="L88" s="533"/>
      <c r="M88" s="558"/>
      <c r="N88" s="541"/>
      <c r="O88" s="566"/>
    </row>
    <row r="89" spans="1:15" ht="27" customHeight="1" x14ac:dyDescent="0.25">
      <c r="A89" s="623"/>
      <c r="B89" s="573"/>
      <c r="C89" s="407"/>
      <c r="D89" s="479"/>
      <c r="E89" s="480"/>
      <c r="F89" s="200">
        <v>8</v>
      </c>
      <c r="G89" s="20" t="s">
        <v>799</v>
      </c>
      <c r="H89" s="440"/>
      <c r="I89" s="480"/>
      <c r="J89" s="397"/>
      <c r="K89" s="532"/>
      <c r="L89" s="533"/>
      <c r="M89" s="558"/>
      <c r="N89" s="541"/>
      <c r="O89" s="566"/>
    </row>
    <row r="90" spans="1:15" ht="50.4" customHeight="1" thickBot="1" x14ac:dyDescent="0.3">
      <c r="A90" s="624"/>
      <c r="B90" s="574"/>
      <c r="C90" s="408"/>
      <c r="D90" s="423"/>
      <c r="E90" s="417"/>
      <c r="F90" s="82"/>
      <c r="G90" s="209"/>
      <c r="H90" s="441"/>
      <c r="I90" s="417"/>
      <c r="J90" s="398"/>
      <c r="K90" s="532"/>
      <c r="L90" s="533"/>
      <c r="M90" s="558"/>
      <c r="N90" s="541"/>
      <c r="O90" s="566"/>
    </row>
    <row r="91" spans="1:15" ht="26.4" x14ac:dyDescent="0.25">
      <c r="A91" s="622" t="str">
        <f>+LEFT(B91,3)</f>
        <v>7.5</v>
      </c>
      <c r="B91" s="571" t="s">
        <v>241</v>
      </c>
      <c r="C91" s="406" t="s">
        <v>242</v>
      </c>
      <c r="D91" s="421" t="s">
        <v>804</v>
      </c>
      <c r="E91" s="415">
        <v>3</v>
      </c>
      <c r="F91" s="83">
        <v>1</v>
      </c>
      <c r="G91" s="132" t="s">
        <v>158</v>
      </c>
      <c r="H91" s="370" t="s">
        <v>800</v>
      </c>
      <c r="I91" s="415">
        <v>3</v>
      </c>
      <c r="J91" s="513" t="str">
        <f>+IF(OR(ISBLANK(E91),ISBLANK(I91)),"",IF(OR(AND(E91=1,I91=1),AND(E91=1,I91=2),AND(E91=1,I91=3)),"Deficiencia de control mayor (diseño y ejecución)",IF(OR(AND(E91=2,I91=2),AND(E91=3,I91=1),AND(E91=3,I91=2),AND(E91=2,I91=1)),"Deficiencia de control (diseño o ejecución)",IF(AND(E91=2,I91=3),"Oportunidad de mejora","Mantenimiento del control"))))</f>
        <v>Mantenimiento del control</v>
      </c>
      <c r="K91" s="532">
        <f>+IF(J91="",75,IF(J91="Deficiencia de control mayor (diseño y ejecución)",80,IF(J91="Deficiencia de control (diseño o ejecución)",100,IF(J91="Oportunidad de mejora",120,140))))</f>
        <v>140</v>
      </c>
      <c r="L91" s="533">
        <v>2.4563000000000001</v>
      </c>
      <c r="M91" s="558">
        <f>+K91+L91</f>
        <v>142.4563</v>
      </c>
      <c r="N91" s="541"/>
      <c r="O91" s="566"/>
    </row>
    <row r="92" spans="1:15" ht="26.4" x14ac:dyDescent="0.25">
      <c r="A92" s="623"/>
      <c r="B92" s="572"/>
      <c r="C92" s="407"/>
      <c r="D92" s="422"/>
      <c r="E92" s="416"/>
      <c r="F92" s="81">
        <v>2</v>
      </c>
      <c r="G92" s="133" t="s">
        <v>168</v>
      </c>
      <c r="H92" s="440"/>
      <c r="I92" s="416"/>
      <c r="J92" s="396"/>
      <c r="K92" s="532"/>
      <c r="L92" s="533"/>
      <c r="M92" s="558"/>
      <c r="N92" s="541"/>
      <c r="O92" s="566"/>
    </row>
    <row r="93" spans="1:15" ht="13.8" x14ac:dyDescent="0.25">
      <c r="A93" s="623"/>
      <c r="B93" s="572"/>
      <c r="C93" s="407"/>
      <c r="D93" s="422"/>
      <c r="E93" s="416"/>
      <c r="F93" s="81">
        <v>3</v>
      </c>
      <c r="G93" s="244" t="s">
        <v>243</v>
      </c>
      <c r="H93" s="440"/>
      <c r="I93" s="416"/>
      <c r="J93" s="396"/>
      <c r="K93" s="532"/>
      <c r="L93" s="533"/>
      <c r="M93" s="558"/>
      <c r="N93" s="541"/>
      <c r="O93" s="566"/>
    </row>
    <row r="94" spans="1:15" ht="13.8" x14ac:dyDescent="0.25">
      <c r="A94" s="623"/>
      <c r="B94" s="572"/>
      <c r="C94" s="407"/>
      <c r="D94" s="422"/>
      <c r="E94" s="416"/>
      <c r="F94" s="81">
        <v>4</v>
      </c>
      <c r="G94" s="133" t="s">
        <v>172</v>
      </c>
      <c r="H94" s="440"/>
      <c r="I94" s="416"/>
      <c r="J94" s="396"/>
      <c r="K94" s="532"/>
      <c r="L94" s="533"/>
      <c r="M94" s="558"/>
      <c r="N94" s="541"/>
      <c r="O94" s="566"/>
    </row>
    <row r="95" spans="1:15" ht="13.8" x14ac:dyDescent="0.25">
      <c r="A95" s="623"/>
      <c r="B95" s="572"/>
      <c r="C95" s="407"/>
      <c r="D95" s="422"/>
      <c r="E95" s="416"/>
      <c r="F95" s="81">
        <v>5</v>
      </c>
      <c r="G95" s="303" t="s">
        <v>238</v>
      </c>
      <c r="H95" s="440"/>
      <c r="I95" s="416"/>
      <c r="J95" s="396"/>
      <c r="K95" s="532"/>
      <c r="L95" s="533"/>
      <c r="M95" s="558"/>
      <c r="N95" s="541"/>
      <c r="O95" s="566"/>
    </row>
    <row r="96" spans="1:15" ht="13.8" x14ac:dyDescent="0.25">
      <c r="A96" s="623"/>
      <c r="B96" s="572"/>
      <c r="C96" s="407"/>
      <c r="D96" s="422"/>
      <c r="E96" s="416"/>
      <c r="F96" s="81">
        <v>6</v>
      </c>
      <c r="G96" s="303"/>
      <c r="H96" s="440"/>
      <c r="I96" s="416"/>
      <c r="J96" s="396"/>
      <c r="K96" s="532"/>
      <c r="L96" s="533"/>
      <c r="M96" s="558"/>
      <c r="N96" s="541"/>
      <c r="O96" s="566"/>
    </row>
    <row r="97" spans="1:15" ht="13.8" x14ac:dyDescent="0.25">
      <c r="A97" s="623"/>
      <c r="B97" s="572"/>
      <c r="C97" s="407"/>
      <c r="D97" s="422"/>
      <c r="E97" s="416"/>
      <c r="F97" s="81">
        <v>7</v>
      </c>
      <c r="G97" s="133"/>
      <c r="H97" s="440"/>
      <c r="I97" s="416"/>
      <c r="J97" s="396"/>
      <c r="K97" s="532"/>
      <c r="L97" s="533"/>
      <c r="M97" s="558"/>
      <c r="N97" s="541"/>
      <c r="O97" s="566"/>
    </row>
    <row r="98" spans="1:15" ht="13.8" x14ac:dyDescent="0.25">
      <c r="A98" s="623"/>
      <c r="B98" s="573"/>
      <c r="C98" s="407"/>
      <c r="D98" s="479"/>
      <c r="E98" s="480"/>
      <c r="F98" s="200"/>
      <c r="G98" s="246"/>
      <c r="H98" s="440"/>
      <c r="I98" s="480"/>
      <c r="J98" s="397"/>
      <c r="K98" s="532"/>
      <c r="L98" s="533"/>
      <c r="M98" s="558"/>
      <c r="N98" s="541"/>
      <c r="O98" s="566"/>
    </row>
    <row r="99" spans="1:15" ht="13.8" x14ac:dyDescent="0.25">
      <c r="A99" s="623"/>
      <c r="B99" s="573"/>
      <c r="C99" s="407"/>
      <c r="D99" s="479"/>
      <c r="E99" s="480"/>
      <c r="F99" s="200"/>
      <c r="G99" s="233"/>
      <c r="H99" s="440"/>
      <c r="I99" s="480"/>
      <c r="J99" s="397"/>
      <c r="K99" s="532"/>
      <c r="L99" s="533"/>
      <c r="M99" s="558"/>
      <c r="N99" s="541"/>
      <c r="O99" s="566"/>
    </row>
    <row r="100" spans="1:15" ht="13.8" x14ac:dyDescent="0.25">
      <c r="A100" s="623"/>
      <c r="B100" s="573"/>
      <c r="C100" s="407"/>
      <c r="D100" s="479"/>
      <c r="E100" s="480"/>
      <c r="F100" s="200"/>
      <c r="G100" s="233"/>
      <c r="H100" s="440"/>
      <c r="I100" s="480"/>
      <c r="J100" s="397"/>
      <c r="K100" s="532"/>
      <c r="L100" s="533"/>
      <c r="M100" s="558"/>
      <c r="N100" s="541"/>
      <c r="O100" s="566"/>
    </row>
    <row r="101" spans="1:15" ht="8.1" customHeight="1" thickBot="1" x14ac:dyDescent="0.3">
      <c r="A101" s="624"/>
      <c r="B101" s="574"/>
      <c r="C101" s="408"/>
      <c r="D101" s="423"/>
      <c r="E101" s="417"/>
      <c r="F101" s="82"/>
      <c r="G101" s="234"/>
      <c r="H101" s="441"/>
      <c r="I101" s="417"/>
      <c r="J101" s="398"/>
      <c r="K101" s="532"/>
      <c r="L101" s="533"/>
      <c r="M101" s="558"/>
      <c r="N101" s="541"/>
      <c r="O101" s="566"/>
    </row>
    <row r="102" spans="1:15" ht="22.5" customHeight="1" x14ac:dyDescent="0.25">
      <c r="A102" s="592"/>
      <c r="B102" s="592" t="s">
        <v>244</v>
      </c>
      <c r="C102" s="595" t="s">
        <v>8</v>
      </c>
      <c r="D102" s="561" t="s">
        <v>219</v>
      </c>
      <c r="E102" s="576" t="s">
        <v>220</v>
      </c>
      <c r="F102" s="609" t="s">
        <v>116</v>
      </c>
      <c r="G102" s="610"/>
      <c r="H102" s="610"/>
      <c r="I102" s="576" t="s">
        <v>221</v>
      </c>
      <c r="J102" s="618" t="s">
        <v>152</v>
      </c>
      <c r="K102" s="569"/>
      <c r="L102" s="569"/>
      <c r="M102" s="626"/>
      <c r="N102" s="568"/>
      <c r="O102" s="567"/>
    </row>
    <row r="103" spans="1:15" ht="22.5" customHeight="1" x14ac:dyDescent="0.25">
      <c r="A103" s="593"/>
      <c r="B103" s="593"/>
      <c r="C103" s="596"/>
      <c r="D103" s="583"/>
      <c r="E103" s="576"/>
      <c r="F103" s="585" t="s">
        <v>13</v>
      </c>
      <c r="G103" s="561" t="s">
        <v>15</v>
      </c>
      <c r="H103" s="561" t="s">
        <v>222</v>
      </c>
      <c r="I103" s="576"/>
      <c r="J103" s="618"/>
      <c r="K103" s="569"/>
      <c r="L103" s="569"/>
      <c r="M103" s="626"/>
      <c r="N103" s="568"/>
      <c r="O103" s="567"/>
    </row>
    <row r="104" spans="1:15" ht="72" customHeight="1" thickBot="1" x14ac:dyDescent="0.3">
      <c r="A104" s="594"/>
      <c r="B104" s="594"/>
      <c r="C104" s="597"/>
      <c r="D104" s="584"/>
      <c r="E104" s="577"/>
      <c r="F104" s="586"/>
      <c r="G104" s="562"/>
      <c r="H104" s="562"/>
      <c r="I104" s="577"/>
      <c r="J104" s="619"/>
      <c r="K104" s="569"/>
      <c r="L104" s="569"/>
      <c r="M104" s="626"/>
      <c r="N104" s="568"/>
      <c r="O104" s="567"/>
    </row>
    <row r="105" spans="1:15" ht="26.4" x14ac:dyDescent="0.25">
      <c r="A105" s="622" t="str">
        <f>+LEFT(B105,3)</f>
        <v>8.1</v>
      </c>
      <c r="B105" s="571" t="s">
        <v>245</v>
      </c>
      <c r="C105" s="406" t="s">
        <v>224</v>
      </c>
      <c r="D105" s="421" t="s">
        <v>246</v>
      </c>
      <c r="E105" s="415">
        <v>3</v>
      </c>
      <c r="F105" s="83">
        <v>1</v>
      </c>
      <c r="G105" s="132" t="s">
        <v>158</v>
      </c>
      <c r="H105" s="421" t="s">
        <v>801</v>
      </c>
      <c r="I105" s="415">
        <v>3</v>
      </c>
      <c r="J105" s="513" t="str">
        <f>+IF(OR(ISBLANK(E105),ISBLANK(I105)),"",IF(OR(AND(E105=1,I105=1),AND(E105=1,I105=2),AND(E105=1,I105=3)),"Deficiencia de control mayor (diseño y ejecución)",IF(OR(AND(E105=2,I105=2),AND(E105=3,I105=1),AND(E105=3,I105=2),AND(E105=2,I105=1)),"Deficiencia de control (diseño o ejecución)",IF(AND(E105=2,I105=3),"Oportunidad de mejora","Mantenimiento del control"))))</f>
        <v>Mantenimiento del control</v>
      </c>
      <c r="K105" s="532">
        <f>+IF(J105="",75,IF(J105="Deficiencia de control mayor (diseño y ejecución)",80,IF(J105="Deficiencia de control (diseño o ejecución)",100,IF(J105="Oportunidad de mejora",120,140))))</f>
        <v>140</v>
      </c>
      <c r="L105" s="533">
        <v>2.5457999999999998</v>
      </c>
      <c r="M105" s="558">
        <f>+K105+L105</f>
        <v>142.54579999999999</v>
      </c>
      <c r="N105" s="541"/>
      <c r="O105" s="566"/>
    </row>
    <row r="106" spans="1:15" ht="13.8" x14ac:dyDescent="0.25">
      <c r="A106" s="623"/>
      <c r="B106" s="572"/>
      <c r="C106" s="407"/>
      <c r="D106" s="422"/>
      <c r="E106" s="416"/>
      <c r="F106" s="81">
        <v>2</v>
      </c>
      <c r="G106" s="133" t="s">
        <v>172</v>
      </c>
      <c r="H106" s="422"/>
      <c r="I106" s="416"/>
      <c r="J106" s="396"/>
      <c r="K106" s="532"/>
      <c r="L106" s="533"/>
      <c r="M106" s="558"/>
      <c r="N106" s="541"/>
      <c r="O106" s="566"/>
    </row>
    <row r="107" spans="1:15" ht="13.8" x14ac:dyDescent="0.25">
      <c r="A107" s="623"/>
      <c r="B107" s="572"/>
      <c r="C107" s="407"/>
      <c r="D107" s="422"/>
      <c r="E107" s="416"/>
      <c r="F107" s="81">
        <v>3</v>
      </c>
      <c r="G107" s="244" t="s">
        <v>247</v>
      </c>
      <c r="H107" s="422"/>
      <c r="I107" s="416"/>
      <c r="J107" s="396"/>
      <c r="K107" s="532"/>
      <c r="L107" s="533"/>
      <c r="M107" s="558"/>
      <c r="N107" s="541"/>
      <c r="O107" s="566"/>
    </row>
    <row r="108" spans="1:15" ht="13.8" x14ac:dyDescent="0.25">
      <c r="A108" s="623"/>
      <c r="B108" s="572"/>
      <c r="C108" s="407"/>
      <c r="D108" s="422"/>
      <c r="E108" s="416"/>
      <c r="F108" s="81">
        <v>4</v>
      </c>
      <c r="G108" s="197" t="s">
        <v>802</v>
      </c>
      <c r="H108" s="422"/>
      <c r="I108" s="416"/>
      <c r="J108" s="396"/>
      <c r="K108" s="532"/>
      <c r="L108" s="533"/>
      <c r="M108" s="558"/>
      <c r="N108" s="541"/>
      <c r="O108" s="566"/>
    </row>
    <row r="109" spans="1:15" ht="13.8" x14ac:dyDescent="0.25">
      <c r="A109" s="623"/>
      <c r="B109" s="572"/>
      <c r="C109" s="407"/>
      <c r="D109" s="422"/>
      <c r="E109" s="416"/>
      <c r="F109" s="81">
        <v>5</v>
      </c>
      <c r="G109" s="197" t="s">
        <v>803</v>
      </c>
      <c r="H109" s="422"/>
      <c r="I109" s="416"/>
      <c r="J109" s="396"/>
      <c r="K109" s="532"/>
      <c r="L109" s="533"/>
      <c r="M109" s="558"/>
      <c r="N109" s="541"/>
      <c r="O109" s="566"/>
    </row>
    <row r="110" spans="1:15" ht="13.8" x14ac:dyDescent="0.25">
      <c r="A110" s="623"/>
      <c r="B110" s="572"/>
      <c r="C110" s="407"/>
      <c r="D110" s="422"/>
      <c r="E110" s="416"/>
      <c r="F110" s="81">
        <v>6</v>
      </c>
      <c r="G110" s="133"/>
      <c r="H110" s="422"/>
      <c r="I110" s="416"/>
      <c r="J110" s="396"/>
      <c r="K110" s="532"/>
      <c r="L110" s="533"/>
      <c r="M110" s="558"/>
      <c r="N110" s="541"/>
      <c r="O110" s="566"/>
    </row>
    <row r="111" spans="1:15" ht="13.8" x14ac:dyDescent="0.25">
      <c r="A111" s="623"/>
      <c r="B111" s="572"/>
      <c r="C111" s="407"/>
      <c r="D111" s="422"/>
      <c r="E111" s="416"/>
      <c r="F111" s="81">
        <v>7</v>
      </c>
      <c r="G111" s="133"/>
      <c r="H111" s="422"/>
      <c r="I111" s="416"/>
      <c r="J111" s="396"/>
      <c r="K111" s="532"/>
      <c r="L111" s="533"/>
      <c r="M111" s="558"/>
      <c r="N111" s="541"/>
      <c r="O111" s="566"/>
    </row>
    <row r="112" spans="1:15" ht="13.8" x14ac:dyDescent="0.25">
      <c r="A112" s="623"/>
      <c r="B112" s="573"/>
      <c r="C112" s="407"/>
      <c r="D112" s="479"/>
      <c r="E112" s="480"/>
      <c r="F112" s="200">
        <v>8</v>
      </c>
      <c r="G112" s="244"/>
      <c r="H112" s="479"/>
      <c r="I112" s="480"/>
      <c r="J112" s="397"/>
      <c r="K112" s="532"/>
      <c r="L112" s="533"/>
      <c r="M112" s="558"/>
      <c r="N112" s="541"/>
      <c r="O112" s="566"/>
    </row>
    <row r="113" spans="1:15" ht="13.8" x14ac:dyDescent="0.25">
      <c r="A113" s="623"/>
      <c r="B113" s="573"/>
      <c r="C113" s="407"/>
      <c r="D113" s="479"/>
      <c r="E113" s="480"/>
      <c r="F113" s="200"/>
      <c r="G113" s="197"/>
      <c r="H113" s="479"/>
      <c r="I113" s="480"/>
      <c r="J113" s="397"/>
      <c r="K113" s="532"/>
      <c r="L113" s="533"/>
      <c r="M113" s="558"/>
      <c r="N113" s="541"/>
      <c r="O113" s="566"/>
    </row>
    <row r="114" spans="1:15" ht="13.8" x14ac:dyDescent="0.25">
      <c r="A114" s="623"/>
      <c r="B114" s="573"/>
      <c r="C114" s="407"/>
      <c r="D114" s="479"/>
      <c r="E114" s="480"/>
      <c r="F114" s="200"/>
      <c r="H114" s="479"/>
      <c r="I114" s="480"/>
      <c r="J114" s="397"/>
      <c r="K114" s="532"/>
      <c r="L114" s="533"/>
      <c r="M114" s="558"/>
      <c r="N114" s="541"/>
      <c r="O114" s="566"/>
    </row>
    <row r="115" spans="1:15" ht="14.4" thickBot="1" x14ac:dyDescent="0.3">
      <c r="A115" s="624"/>
      <c r="B115" s="574"/>
      <c r="C115" s="408"/>
      <c r="D115" s="423"/>
      <c r="E115" s="417"/>
      <c r="F115" s="82"/>
      <c r="G115" s="134"/>
      <c r="H115" s="423"/>
      <c r="I115" s="417"/>
      <c r="J115" s="398"/>
      <c r="K115" s="532"/>
      <c r="L115" s="533"/>
      <c r="M115" s="558"/>
      <c r="N115" s="541"/>
      <c r="O115" s="566"/>
    </row>
    <row r="116" spans="1:15" ht="13.8" x14ac:dyDescent="0.25">
      <c r="A116" s="622" t="str">
        <f>+LEFT(B116,3)</f>
        <v>8.2</v>
      </c>
      <c r="B116" s="571" t="s">
        <v>248</v>
      </c>
      <c r="C116" s="406" t="s">
        <v>249</v>
      </c>
      <c r="D116" s="421" t="s">
        <v>250</v>
      </c>
      <c r="E116" s="415">
        <v>3</v>
      </c>
      <c r="F116" s="83">
        <v>1</v>
      </c>
      <c r="G116" t="s">
        <v>806</v>
      </c>
      <c r="H116" s="421" t="s">
        <v>805</v>
      </c>
      <c r="I116" s="415">
        <v>3</v>
      </c>
      <c r="J116" s="513" t="str">
        <f>+IF(OR(ISBLANK(E116),ISBLANK(I116)),"",IF(OR(AND(E116=1,I116=1),AND(E116=1,I116=2),AND(E116=1,I116=3)),"Deficiencia de control mayor (diseño y ejecución)",IF(OR(AND(E116=2,I116=2),AND(E116=3,I116=1),AND(E116=3,I116=2),AND(E116=2,I116=1)),"Deficiencia de control (diseño o ejecución)",IF(AND(E116=2,I116=3),"Oportunidad de mejora","Mantenimiento del control"))))</f>
        <v>Mantenimiento del control</v>
      </c>
      <c r="K116" s="532">
        <f>+IF(J116="",75,IF(J116="Deficiencia de control mayor (diseño y ejecución)",80,IF(J116="Deficiencia de control (diseño o ejecución)",100,IF(J116="Oportunidad de mejora",120,140))))</f>
        <v>140</v>
      </c>
      <c r="L116" s="533">
        <v>2.6320999999999999</v>
      </c>
      <c r="M116" s="558">
        <f>+K116+L116</f>
        <v>142.63210000000001</v>
      </c>
      <c r="N116" s="541"/>
      <c r="O116" s="566"/>
    </row>
    <row r="117" spans="1:15" ht="13.8" x14ac:dyDescent="0.25">
      <c r="A117" s="623"/>
      <c r="B117" s="572"/>
      <c r="C117" s="407"/>
      <c r="D117" s="422"/>
      <c r="E117" s="416"/>
      <c r="F117" s="81">
        <v>2</v>
      </c>
      <c r="G117" t="s">
        <v>807</v>
      </c>
      <c r="H117" s="422"/>
      <c r="I117" s="416"/>
      <c r="J117" s="396"/>
      <c r="K117" s="532"/>
      <c r="L117" s="533"/>
      <c r="M117" s="558"/>
      <c r="N117" s="541"/>
      <c r="O117" s="566"/>
    </row>
    <row r="118" spans="1:15" ht="13.8" x14ac:dyDescent="0.25">
      <c r="A118" s="623"/>
      <c r="B118" s="572"/>
      <c r="C118" s="407"/>
      <c r="D118" s="422"/>
      <c r="E118" s="416"/>
      <c r="F118" s="81">
        <v>3</v>
      </c>
      <c r="G118" t="s">
        <v>808</v>
      </c>
      <c r="H118" s="422"/>
      <c r="I118" s="416"/>
      <c r="J118" s="396"/>
      <c r="K118" s="532"/>
      <c r="L118" s="533"/>
      <c r="M118" s="558"/>
      <c r="N118" s="541"/>
      <c r="O118" s="566"/>
    </row>
    <row r="119" spans="1:15" ht="13.8" x14ac:dyDescent="0.25">
      <c r="A119" s="623"/>
      <c r="B119" s="572"/>
      <c r="C119" s="407"/>
      <c r="D119" s="422"/>
      <c r="E119" s="416"/>
      <c r="F119" s="81">
        <v>4</v>
      </c>
      <c r="G119" t="s">
        <v>809</v>
      </c>
      <c r="H119" s="422"/>
      <c r="I119" s="416"/>
      <c r="J119" s="396"/>
      <c r="K119" s="532"/>
      <c r="L119" s="533"/>
      <c r="M119" s="558"/>
      <c r="N119" s="541"/>
      <c r="O119" s="566"/>
    </row>
    <row r="120" spans="1:15" ht="13.8" x14ac:dyDescent="0.25">
      <c r="A120" s="623"/>
      <c r="B120" s="572"/>
      <c r="C120" s="407"/>
      <c r="D120" s="422"/>
      <c r="E120" s="416"/>
      <c r="F120" s="81">
        <v>5</v>
      </c>
      <c r="G120" t="s">
        <v>810</v>
      </c>
      <c r="H120" s="422"/>
      <c r="I120" s="416"/>
      <c r="J120" s="396"/>
      <c r="K120" s="532"/>
      <c r="L120" s="533"/>
      <c r="M120" s="558"/>
      <c r="N120" s="541"/>
      <c r="O120" s="566"/>
    </row>
    <row r="121" spans="1:15" ht="13.8" x14ac:dyDescent="0.25">
      <c r="A121" s="623"/>
      <c r="B121" s="572"/>
      <c r="C121" s="407"/>
      <c r="D121" s="422"/>
      <c r="E121" s="416"/>
      <c r="F121" s="81">
        <v>6</v>
      </c>
      <c r="G121" t="s">
        <v>811</v>
      </c>
      <c r="H121" s="422"/>
      <c r="I121" s="416"/>
      <c r="J121" s="396"/>
      <c r="K121" s="532"/>
      <c r="L121" s="533"/>
      <c r="M121" s="558"/>
      <c r="N121" s="541"/>
      <c r="O121" s="566"/>
    </row>
    <row r="122" spans="1:15" ht="13.8" x14ac:dyDescent="0.25">
      <c r="A122" s="623"/>
      <c r="B122" s="572"/>
      <c r="C122" s="407"/>
      <c r="D122" s="422"/>
      <c r="E122" s="416"/>
      <c r="F122" s="81">
        <v>7</v>
      </c>
      <c r="G122" t="s">
        <v>812</v>
      </c>
      <c r="H122" s="422"/>
      <c r="I122" s="416"/>
      <c r="J122" s="396"/>
      <c r="K122" s="532"/>
      <c r="L122" s="533"/>
      <c r="M122" s="558"/>
      <c r="N122" s="541"/>
      <c r="O122" s="566"/>
    </row>
    <row r="123" spans="1:15" ht="13.8" x14ac:dyDescent="0.25">
      <c r="A123" s="623"/>
      <c r="B123" s="573"/>
      <c r="C123" s="407"/>
      <c r="D123" s="479"/>
      <c r="E123" s="480"/>
      <c r="F123" s="200"/>
      <c r="G123" s="244"/>
      <c r="H123" s="479"/>
      <c r="I123" s="480"/>
      <c r="J123" s="397"/>
      <c r="K123" s="532"/>
      <c r="L123" s="533"/>
      <c r="M123" s="558"/>
      <c r="N123" s="541"/>
      <c r="O123" s="566"/>
    </row>
    <row r="124" spans="1:15" ht="13.8" x14ac:dyDescent="0.25">
      <c r="A124" s="623"/>
      <c r="B124" s="573"/>
      <c r="C124" s="407"/>
      <c r="D124" s="479"/>
      <c r="E124" s="480"/>
      <c r="F124" s="200"/>
      <c r="G124" s="244"/>
      <c r="H124" s="479"/>
      <c r="I124" s="480"/>
      <c r="J124" s="397"/>
      <c r="K124" s="532"/>
      <c r="L124" s="533"/>
      <c r="M124" s="558"/>
      <c r="N124" s="541"/>
      <c r="O124" s="566"/>
    </row>
    <row r="125" spans="1:15" ht="13.8" x14ac:dyDescent="0.25">
      <c r="A125" s="623"/>
      <c r="B125" s="573"/>
      <c r="C125" s="407"/>
      <c r="D125" s="479"/>
      <c r="E125" s="480"/>
      <c r="F125" s="200"/>
      <c r="G125" s="244"/>
      <c r="H125" s="479"/>
      <c r="I125" s="480"/>
      <c r="J125" s="397"/>
      <c r="K125" s="532"/>
      <c r="L125" s="533"/>
      <c r="M125" s="558"/>
      <c r="N125" s="541"/>
      <c r="O125" s="566"/>
    </row>
    <row r="126" spans="1:15" ht="13.8" x14ac:dyDescent="0.25">
      <c r="A126" s="623"/>
      <c r="B126" s="573"/>
      <c r="C126" s="407"/>
      <c r="D126" s="479"/>
      <c r="E126" s="480"/>
      <c r="F126" s="200"/>
      <c r="G126" s="244"/>
      <c r="H126" s="479"/>
      <c r="I126" s="480"/>
      <c r="J126" s="397"/>
      <c r="K126" s="532"/>
      <c r="L126" s="533"/>
      <c r="M126" s="558"/>
      <c r="N126" s="541"/>
      <c r="O126" s="566"/>
    </row>
    <row r="127" spans="1:15" ht="14.4" thickBot="1" x14ac:dyDescent="0.3">
      <c r="A127" s="624"/>
      <c r="B127" s="574"/>
      <c r="C127" s="408"/>
      <c r="D127" s="423"/>
      <c r="E127" s="417"/>
      <c r="F127" s="82"/>
      <c r="G127" s="134"/>
      <c r="H127" s="423"/>
      <c r="I127" s="417"/>
      <c r="J127" s="398"/>
      <c r="K127" s="532"/>
      <c r="L127" s="533"/>
      <c r="M127" s="558"/>
      <c r="N127" s="541"/>
      <c r="O127" s="566"/>
    </row>
    <row r="128" spans="1:15" ht="13.8" x14ac:dyDescent="0.25">
      <c r="A128" s="622" t="str">
        <f>+LEFT(B128,3)</f>
        <v>8.3</v>
      </c>
      <c r="B128" s="571" t="s">
        <v>251</v>
      </c>
      <c r="C128" s="406" t="s">
        <v>252</v>
      </c>
      <c r="D128" s="421" t="s">
        <v>253</v>
      </c>
      <c r="E128" s="415">
        <v>3</v>
      </c>
      <c r="F128" s="200">
        <v>1</v>
      </c>
      <c r="G128" t="s">
        <v>814</v>
      </c>
      <c r="H128" s="421" t="s">
        <v>813</v>
      </c>
      <c r="I128" s="415">
        <v>3</v>
      </c>
      <c r="J128" s="513" t="str">
        <f>+IF(OR(ISBLANK(E128),ISBLANK(I128)),"",IF(OR(AND(E128=1,I128=1),AND(E128=1,I128=2),AND(E128=1,I128=3)),"Deficiencia de control mayor (diseño y ejecución)",IF(OR(AND(E128=2,I128=2),AND(E128=3,I128=1),AND(E128=3,I128=2),AND(E128=2,I128=1)),"Deficiencia de control (diseño o ejecución)",IF(AND(E128=2,I128=3),"Oportunidad de mejora","Mantenimiento del control"))))</f>
        <v>Mantenimiento del control</v>
      </c>
      <c r="K128" s="532">
        <f>+IF(J128="",75,IF(J128="Deficiencia de control mayor (diseño y ejecución)",80,IF(J128="Deficiencia de control (diseño o ejecución)",100,IF(J128="Oportunidad de mejora",120,140))))</f>
        <v>140</v>
      </c>
      <c r="L128" s="533">
        <v>2.7456</v>
      </c>
      <c r="M128" s="558">
        <f>+K128+L128</f>
        <v>142.7456</v>
      </c>
      <c r="N128" s="541"/>
      <c r="O128" s="566"/>
    </row>
    <row r="129" spans="1:15" ht="13.8" x14ac:dyDescent="0.25">
      <c r="A129" s="623"/>
      <c r="B129" s="572"/>
      <c r="C129" s="407"/>
      <c r="D129" s="422"/>
      <c r="E129" s="416"/>
      <c r="F129" s="200">
        <v>2</v>
      </c>
      <c r="G129" t="s">
        <v>815</v>
      </c>
      <c r="H129" s="563"/>
      <c r="I129" s="416"/>
      <c r="J129" s="396"/>
      <c r="K129" s="532"/>
      <c r="L129" s="533"/>
      <c r="M129" s="558"/>
      <c r="N129" s="541"/>
      <c r="O129" s="566"/>
    </row>
    <row r="130" spans="1:15" ht="13.8" x14ac:dyDescent="0.25">
      <c r="A130" s="623"/>
      <c r="B130" s="572"/>
      <c r="C130" s="407"/>
      <c r="D130" s="422"/>
      <c r="E130" s="416"/>
      <c r="F130" s="200">
        <v>3</v>
      </c>
      <c r="G130" t="s">
        <v>816</v>
      </c>
      <c r="H130" s="563"/>
      <c r="I130" s="416"/>
      <c r="J130" s="396"/>
      <c r="K130" s="532"/>
      <c r="L130" s="533"/>
      <c r="M130" s="558"/>
      <c r="N130" s="541"/>
      <c r="O130" s="566"/>
    </row>
    <row r="131" spans="1:15" ht="13.8" x14ac:dyDescent="0.25">
      <c r="A131" s="623"/>
      <c r="B131" s="572"/>
      <c r="C131" s="407"/>
      <c r="D131" s="422"/>
      <c r="E131" s="416"/>
      <c r="F131" s="200">
        <v>4</v>
      </c>
      <c r="G131" t="s">
        <v>817</v>
      </c>
      <c r="H131" s="563"/>
      <c r="I131" s="416"/>
      <c r="J131" s="396"/>
      <c r="K131" s="532"/>
      <c r="L131" s="533"/>
      <c r="M131" s="558"/>
      <c r="N131" s="541"/>
      <c r="O131" s="566"/>
    </row>
    <row r="132" spans="1:15" ht="13.8" x14ac:dyDescent="0.25">
      <c r="A132" s="623"/>
      <c r="B132" s="572"/>
      <c r="C132" s="407"/>
      <c r="D132" s="422"/>
      <c r="E132" s="416"/>
      <c r="F132" s="200">
        <v>5</v>
      </c>
      <c r="G132" t="s">
        <v>818</v>
      </c>
      <c r="H132" s="563"/>
      <c r="I132" s="416"/>
      <c r="J132" s="396"/>
      <c r="K132" s="532"/>
      <c r="L132" s="533"/>
      <c r="M132" s="558"/>
      <c r="N132" s="541"/>
      <c r="O132" s="566"/>
    </row>
    <row r="133" spans="1:15" ht="24.75" customHeight="1" x14ac:dyDescent="0.25">
      <c r="A133" s="623"/>
      <c r="B133" s="572"/>
      <c r="C133" s="407"/>
      <c r="D133" s="422"/>
      <c r="E133" s="416"/>
      <c r="F133" s="200">
        <v>6</v>
      </c>
      <c r="G133" t="s">
        <v>819</v>
      </c>
      <c r="H133" s="563"/>
      <c r="I133" s="416"/>
      <c r="J133" s="396"/>
      <c r="K133" s="532"/>
      <c r="L133" s="533"/>
      <c r="M133" s="558"/>
      <c r="N133" s="541"/>
      <c r="O133" s="566"/>
    </row>
    <row r="134" spans="1:15" ht="13.8" x14ac:dyDescent="0.25">
      <c r="A134" s="623"/>
      <c r="B134" s="572"/>
      <c r="C134" s="407"/>
      <c r="D134" s="422"/>
      <c r="E134" s="416"/>
      <c r="F134" s="200">
        <v>7</v>
      </c>
      <c r="G134" t="s">
        <v>820</v>
      </c>
      <c r="H134" s="563"/>
      <c r="I134" s="416"/>
      <c r="J134" s="396"/>
      <c r="K134" s="532"/>
      <c r="L134" s="533"/>
      <c r="M134" s="558"/>
      <c r="N134" s="541"/>
      <c r="O134" s="566"/>
    </row>
    <row r="135" spans="1:15" ht="13.8" x14ac:dyDescent="0.25">
      <c r="A135" s="623"/>
      <c r="B135" s="573"/>
      <c r="C135" s="407"/>
      <c r="D135" s="479"/>
      <c r="E135" s="480"/>
      <c r="F135" s="221">
        <v>8</v>
      </c>
      <c r="G135" t="s">
        <v>821</v>
      </c>
      <c r="H135" s="564"/>
      <c r="I135" s="480"/>
      <c r="J135" s="397"/>
      <c r="K135" s="532"/>
      <c r="L135" s="533"/>
      <c r="M135" s="558"/>
      <c r="N135" s="541"/>
      <c r="O135" s="566"/>
    </row>
    <row r="136" spans="1:15" ht="13.8" x14ac:dyDescent="0.25">
      <c r="A136" s="623"/>
      <c r="B136" s="573"/>
      <c r="C136" s="407"/>
      <c r="D136" s="479"/>
      <c r="E136" s="480"/>
      <c r="F136" s="221">
        <v>9</v>
      </c>
      <c r="G136" t="s">
        <v>822</v>
      </c>
      <c r="H136" s="564"/>
      <c r="I136" s="480"/>
      <c r="J136" s="397"/>
      <c r="K136" s="532"/>
      <c r="L136" s="533"/>
      <c r="M136" s="558"/>
      <c r="N136" s="541"/>
      <c r="O136" s="566"/>
    </row>
    <row r="137" spans="1:15" ht="13.8" x14ac:dyDescent="0.25">
      <c r="A137" s="623"/>
      <c r="B137" s="573"/>
      <c r="C137" s="407"/>
      <c r="D137" s="479"/>
      <c r="E137" s="575"/>
      <c r="F137" s="221">
        <v>10</v>
      </c>
      <c r="G137" t="s">
        <v>823</v>
      </c>
      <c r="H137" s="564"/>
      <c r="I137" s="480"/>
      <c r="J137" s="397"/>
      <c r="K137" s="532"/>
      <c r="L137" s="533"/>
      <c r="M137" s="558"/>
      <c r="N137" s="541"/>
      <c r="O137" s="566"/>
    </row>
    <row r="138" spans="1:15" ht="13.8" x14ac:dyDescent="0.25">
      <c r="A138" s="623"/>
      <c r="B138" s="573"/>
      <c r="C138" s="407"/>
      <c r="D138" s="479"/>
      <c r="E138" s="575"/>
      <c r="F138" s="221">
        <v>11</v>
      </c>
      <c r="G138" t="s">
        <v>824</v>
      </c>
      <c r="H138" s="564"/>
      <c r="I138" s="480"/>
      <c r="J138" s="397"/>
      <c r="K138" s="532"/>
      <c r="L138" s="533"/>
      <c r="M138" s="558"/>
      <c r="N138" s="541"/>
      <c r="O138" s="566"/>
    </row>
    <row r="139" spans="1:15" ht="3.75" customHeight="1" thickBot="1" x14ac:dyDescent="0.3">
      <c r="A139" s="623"/>
      <c r="B139" s="573"/>
      <c r="C139" s="407"/>
      <c r="D139" s="479"/>
      <c r="E139" s="575"/>
      <c r="F139" s="221">
        <v>12</v>
      </c>
      <c r="G139" s="246"/>
      <c r="H139" s="564"/>
      <c r="I139" s="480"/>
      <c r="J139" s="397"/>
      <c r="K139" s="532"/>
      <c r="L139" s="533"/>
      <c r="M139" s="558"/>
      <c r="N139" s="541"/>
      <c r="O139" s="566"/>
    </row>
    <row r="140" spans="1:15" ht="14.4" hidden="1" thickBot="1" x14ac:dyDescent="0.3">
      <c r="A140" s="623"/>
      <c r="B140" s="573"/>
      <c r="C140" s="407"/>
      <c r="D140" s="479"/>
      <c r="E140" s="575"/>
      <c r="F140" s="221">
        <v>13</v>
      </c>
      <c r="G140" s="246"/>
      <c r="H140" s="564"/>
      <c r="I140" s="480"/>
      <c r="J140" s="397"/>
      <c r="K140" s="532"/>
      <c r="L140" s="533"/>
      <c r="M140" s="558"/>
      <c r="N140" s="541"/>
      <c r="O140" s="566"/>
    </row>
    <row r="141" spans="1:15" ht="14.4" hidden="1" thickBot="1" x14ac:dyDescent="0.3">
      <c r="A141" s="623"/>
      <c r="B141" s="573"/>
      <c r="C141" s="407"/>
      <c r="D141" s="479"/>
      <c r="E141" s="575"/>
      <c r="F141" s="221">
        <v>14</v>
      </c>
      <c r="G141" s="246"/>
      <c r="H141" s="564"/>
      <c r="I141" s="480"/>
      <c r="J141" s="397"/>
      <c r="K141" s="532"/>
      <c r="L141" s="533"/>
      <c r="M141" s="558"/>
      <c r="N141" s="541"/>
      <c r="O141" s="566"/>
    </row>
    <row r="142" spans="1:15" ht="14.4" hidden="1" thickBot="1" x14ac:dyDescent="0.3">
      <c r="A142" s="623"/>
      <c r="B142" s="573"/>
      <c r="C142" s="407"/>
      <c r="D142" s="479"/>
      <c r="E142" s="575"/>
      <c r="F142" s="221">
        <v>15</v>
      </c>
      <c r="G142" s="246"/>
      <c r="H142" s="564"/>
      <c r="I142" s="480"/>
      <c r="J142" s="397"/>
      <c r="K142" s="532"/>
      <c r="L142" s="533"/>
      <c r="M142" s="558"/>
      <c r="N142" s="541"/>
      <c r="O142" s="566"/>
    </row>
    <row r="143" spans="1:15" ht="14.4" hidden="1" thickBot="1" x14ac:dyDescent="0.3">
      <c r="A143" s="623"/>
      <c r="B143" s="573"/>
      <c r="C143" s="407"/>
      <c r="D143" s="479"/>
      <c r="E143" s="575"/>
      <c r="F143" s="221">
        <v>16</v>
      </c>
      <c r="G143" s="246"/>
      <c r="H143" s="564"/>
      <c r="I143" s="480"/>
      <c r="J143" s="397"/>
      <c r="K143" s="532"/>
      <c r="L143" s="533"/>
      <c r="M143" s="558"/>
      <c r="N143" s="541"/>
      <c r="O143" s="566"/>
    </row>
    <row r="144" spans="1:15" ht="14.4" hidden="1" thickBot="1" x14ac:dyDescent="0.3">
      <c r="A144" s="623"/>
      <c r="B144" s="573"/>
      <c r="C144" s="407"/>
      <c r="D144" s="479"/>
      <c r="E144" s="575"/>
      <c r="F144" s="221">
        <v>17</v>
      </c>
      <c r="G144" s="246"/>
      <c r="H144" s="564"/>
      <c r="I144" s="480"/>
      <c r="J144" s="397"/>
      <c r="K144" s="532"/>
      <c r="L144" s="533"/>
      <c r="M144" s="558"/>
      <c r="N144" s="541"/>
      <c r="O144" s="566"/>
    </row>
    <row r="145" spans="1:15" ht="14.4" hidden="1" thickBot="1" x14ac:dyDescent="0.3">
      <c r="A145" s="623"/>
      <c r="B145" s="573"/>
      <c r="C145" s="407"/>
      <c r="D145" s="479"/>
      <c r="E145" s="575"/>
      <c r="F145" s="221">
        <v>18</v>
      </c>
      <c r="G145" s="246"/>
      <c r="H145" s="564"/>
      <c r="I145" s="480"/>
      <c r="J145" s="397"/>
      <c r="K145" s="532"/>
      <c r="L145" s="533"/>
      <c r="M145" s="558"/>
      <c r="N145" s="541"/>
      <c r="O145" s="566"/>
    </row>
    <row r="146" spans="1:15" ht="83.25" hidden="1" customHeight="1" thickBot="1" x14ac:dyDescent="0.3">
      <c r="A146" s="624"/>
      <c r="B146" s="574"/>
      <c r="C146" s="408"/>
      <c r="D146" s="423"/>
      <c r="E146" s="417"/>
      <c r="F146" s="241"/>
      <c r="G146" s="242"/>
      <c r="H146" s="565"/>
      <c r="I146" s="417"/>
      <c r="J146" s="398"/>
      <c r="K146" s="532"/>
      <c r="L146" s="533"/>
      <c r="M146" s="558"/>
      <c r="N146" s="541"/>
      <c r="O146" s="566"/>
    </row>
    <row r="147" spans="1:15" ht="13.8" x14ac:dyDescent="0.25">
      <c r="A147" s="622" t="str">
        <f>+LEFT(B147,3)</f>
        <v>8.4</v>
      </c>
      <c r="B147" s="571" t="s">
        <v>254</v>
      </c>
      <c r="C147" s="406" t="s">
        <v>249</v>
      </c>
      <c r="D147" s="406" t="s">
        <v>255</v>
      </c>
      <c r="E147" s="415">
        <v>3</v>
      </c>
      <c r="F147" s="83">
        <v>1</v>
      </c>
      <c r="G147" t="s">
        <v>814</v>
      </c>
      <c r="H147" s="421" t="s">
        <v>825</v>
      </c>
      <c r="I147" s="415">
        <v>3</v>
      </c>
      <c r="J147" s="513" t="str">
        <f>+IF(OR(ISBLANK(E147),ISBLANK(I147)),"",IF(OR(AND(E147=1,I147=1),AND(E147=1,I147=2),AND(E147=1,I147=3)),"Deficiencia de control mayor (diseño y ejecución)",IF(OR(AND(E147=2,I147=2),AND(E147=3,I147=1),AND(E147=3,I147=2),AND(E147=2,I147=1)),"Deficiencia de control (diseño o ejecución)",IF(AND(E147=2,I147=3),"Oportunidad de mejora","Mantenimiento del control"))))</f>
        <v>Mantenimiento del control</v>
      </c>
      <c r="K147" s="532">
        <f>+IF(J147="",75,IF(J147="Deficiencia de control mayor (diseño y ejecución)",80,IF(J147="Deficiencia de control (diseño o ejecución)",100,IF(J147="Oportunidad de mejora",120,140))))</f>
        <v>140</v>
      </c>
      <c r="L147" s="533">
        <v>2.8744999999999998</v>
      </c>
      <c r="M147" s="558">
        <f>+K147+L147</f>
        <v>142.87450000000001</v>
      </c>
      <c r="N147" s="541"/>
      <c r="O147" s="566"/>
    </row>
    <row r="148" spans="1:15" ht="13.8" x14ac:dyDescent="0.25">
      <c r="A148" s="623"/>
      <c r="B148" s="572"/>
      <c r="C148" s="407"/>
      <c r="D148" s="407"/>
      <c r="E148" s="416"/>
      <c r="F148" s="81">
        <v>2</v>
      </c>
      <c r="G148" t="s">
        <v>826</v>
      </c>
      <c r="H148" s="422"/>
      <c r="I148" s="416"/>
      <c r="J148" s="396"/>
      <c r="K148" s="532"/>
      <c r="L148" s="533"/>
      <c r="M148" s="558"/>
      <c r="N148" s="541"/>
      <c r="O148" s="566"/>
    </row>
    <row r="149" spans="1:15" ht="13.8" x14ac:dyDescent="0.25">
      <c r="A149" s="623"/>
      <c r="B149" s="572"/>
      <c r="C149" s="407"/>
      <c r="D149" s="407"/>
      <c r="E149" s="416"/>
      <c r="F149" s="81">
        <v>3</v>
      </c>
      <c r="G149" t="s">
        <v>827</v>
      </c>
      <c r="H149" s="422"/>
      <c r="I149" s="416"/>
      <c r="J149" s="396"/>
      <c r="K149" s="532"/>
      <c r="L149" s="533"/>
      <c r="M149" s="558"/>
      <c r="N149" s="541"/>
      <c r="O149" s="566"/>
    </row>
    <row r="150" spans="1:15" ht="13.8" x14ac:dyDescent="0.25">
      <c r="A150" s="623"/>
      <c r="B150" s="572"/>
      <c r="C150" s="407"/>
      <c r="D150" s="407"/>
      <c r="E150" s="416"/>
      <c r="F150" s="81">
        <v>4</v>
      </c>
      <c r="G150" t="s">
        <v>828</v>
      </c>
      <c r="H150" s="422"/>
      <c r="I150" s="416"/>
      <c r="J150" s="396"/>
      <c r="K150" s="532"/>
      <c r="L150" s="533"/>
      <c r="M150" s="558"/>
      <c r="N150" s="541"/>
      <c r="O150" s="566"/>
    </row>
    <row r="151" spans="1:15" ht="13.8" x14ac:dyDescent="0.25">
      <c r="A151" s="623"/>
      <c r="B151" s="572"/>
      <c r="C151" s="407"/>
      <c r="D151" s="407"/>
      <c r="E151" s="416"/>
      <c r="F151" s="81">
        <v>5</v>
      </c>
      <c r="G151" t="s">
        <v>829</v>
      </c>
      <c r="H151" s="422"/>
      <c r="I151" s="416"/>
      <c r="J151" s="396"/>
      <c r="K151" s="532"/>
      <c r="L151" s="533"/>
      <c r="M151" s="558"/>
      <c r="N151" s="541"/>
      <c r="O151" s="566"/>
    </row>
    <row r="152" spans="1:15" ht="13.8" x14ac:dyDescent="0.25">
      <c r="A152" s="623"/>
      <c r="B152" s="572"/>
      <c r="C152" s="407"/>
      <c r="D152" s="407"/>
      <c r="E152" s="416"/>
      <c r="F152" s="81">
        <v>6</v>
      </c>
      <c r="G152" t="s">
        <v>830</v>
      </c>
      <c r="H152" s="422"/>
      <c r="I152" s="416"/>
      <c r="J152" s="396"/>
      <c r="K152" s="532"/>
      <c r="L152" s="533"/>
      <c r="M152" s="558"/>
      <c r="N152" s="541"/>
      <c r="O152" s="566"/>
    </row>
    <row r="153" spans="1:15" ht="13.8" x14ac:dyDescent="0.25">
      <c r="A153" s="623"/>
      <c r="B153" s="572"/>
      <c r="C153" s="407"/>
      <c r="D153" s="407"/>
      <c r="E153" s="416"/>
      <c r="F153" s="81">
        <v>7</v>
      </c>
      <c r="G153" t="s">
        <v>831</v>
      </c>
      <c r="H153" s="422"/>
      <c r="I153" s="416"/>
      <c r="J153" s="396"/>
      <c r="K153" s="532"/>
      <c r="L153" s="533"/>
      <c r="M153" s="558"/>
      <c r="N153" s="541"/>
      <c r="O153" s="566"/>
    </row>
    <row r="154" spans="1:15" ht="13.8" x14ac:dyDescent="0.25">
      <c r="A154" s="623"/>
      <c r="B154" s="573"/>
      <c r="C154" s="407"/>
      <c r="D154" s="407"/>
      <c r="E154" s="480"/>
      <c r="F154" s="200">
        <v>8</v>
      </c>
      <c r="G154" t="s">
        <v>832</v>
      </c>
      <c r="H154" s="479"/>
      <c r="I154" s="480"/>
      <c r="J154" s="397"/>
      <c r="K154" s="532"/>
      <c r="L154" s="533"/>
      <c r="M154" s="558"/>
      <c r="N154" s="541"/>
      <c r="O154" s="566"/>
    </row>
    <row r="155" spans="1:15" ht="13.8" x14ac:dyDescent="0.25">
      <c r="A155" s="623"/>
      <c r="B155" s="573"/>
      <c r="C155" s="407"/>
      <c r="D155" s="407"/>
      <c r="E155" s="480"/>
      <c r="F155" s="200">
        <v>9</v>
      </c>
      <c r="G155" t="s">
        <v>833</v>
      </c>
      <c r="H155" s="479"/>
      <c r="I155" s="480"/>
      <c r="J155" s="397"/>
      <c r="K155" s="532"/>
      <c r="L155" s="533"/>
      <c r="M155" s="558"/>
      <c r="N155" s="541"/>
      <c r="O155" s="566"/>
    </row>
    <row r="156" spans="1:15" ht="13.8" x14ac:dyDescent="0.25">
      <c r="A156" s="623"/>
      <c r="B156" s="573"/>
      <c r="C156" s="407"/>
      <c r="D156" s="407"/>
      <c r="E156" s="480"/>
      <c r="F156" s="200"/>
      <c r="G156" s="197"/>
      <c r="H156" s="479"/>
      <c r="I156" s="480"/>
      <c r="J156" s="397"/>
      <c r="K156" s="532"/>
      <c r="L156" s="533"/>
      <c r="M156" s="558"/>
      <c r="N156" s="541"/>
      <c r="O156" s="566"/>
    </row>
    <row r="157" spans="1:15" ht="13.8" x14ac:dyDescent="0.25">
      <c r="A157" s="623"/>
      <c r="B157" s="573"/>
      <c r="C157" s="407"/>
      <c r="D157" s="407"/>
      <c r="E157" s="480"/>
      <c r="F157" s="200"/>
      <c r="G157" s="133"/>
      <c r="H157" s="479"/>
      <c r="I157" s="480"/>
      <c r="J157" s="397"/>
      <c r="K157" s="532"/>
      <c r="L157" s="533"/>
      <c r="M157" s="558"/>
      <c r="N157" s="541"/>
      <c r="O157" s="566"/>
    </row>
    <row r="158" spans="1:15" ht="14.4" thickBot="1" x14ac:dyDescent="0.3">
      <c r="A158" s="624"/>
      <c r="B158" s="574"/>
      <c r="C158" s="408"/>
      <c r="D158" s="408"/>
      <c r="E158" s="417"/>
      <c r="F158" s="82"/>
      <c r="G158" s="134"/>
      <c r="H158" s="423"/>
      <c r="I158" s="417"/>
      <c r="J158" s="398"/>
      <c r="K158" s="532"/>
      <c r="L158" s="533"/>
      <c r="M158" s="558"/>
      <c r="N158" s="541"/>
      <c r="O158" s="566"/>
    </row>
    <row r="159" spans="1:15" ht="22.5" customHeight="1" x14ac:dyDescent="0.25">
      <c r="A159" s="590"/>
      <c r="B159" s="590" t="s">
        <v>256</v>
      </c>
      <c r="C159" s="595" t="s">
        <v>8</v>
      </c>
      <c r="D159" s="561" t="s">
        <v>219</v>
      </c>
      <c r="E159" s="576" t="s">
        <v>220</v>
      </c>
      <c r="F159" s="609" t="s">
        <v>116</v>
      </c>
      <c r="G159" s="611"/>
      <c r="H159" s="610"/>
      <c r="I159" s="576" t="s">
        <v>221</v>
      </c>
      <c r="J159" s="618" t="s">
        <v>152</v>
      </c>
      <c r="K159" s="569"/>
      <c r="L159" s="569"/>
      <c r="M159" s="626"/>
      <c r="N159" s="568"/>
      <c r="O159" s="567"/>
    </row>
    <row r="160" spans="1:15" ht="22.5" customHeight="1" x14ac:dyDescent="0.25">
      <c r="A160" s="590"/>
      <c r="B160" s="590"/>
      <c r="C160" s="596"/>
      <c r="D160" s="583"/>
      <c r="E160" s="576"/>
      <c r="F160" s="585" t="s">
        <v>13</v>
      </c>
      <c r="G160" s="561" t="s">
        <v>15</v>
      </c>
      <c r="H160" s="561" t="s">
        <v>222</v>
      </c>
      <c r="I160" s="576"/>
      <c r="J160" s="618"/>
      <c r="K160" s="569"/>
      <c r="L160" s="569"/>
      <c r="M160" s="626"/>
      <c r="N160" s="568"/>
      <c r="O160" s="567"/>
    </row>
    <row r="161" spans="1:15" ht="78.75" customHeight="1" thickBot="1" x14ac:dyDescent="0.3">
      <c r="A161" s="591"/>
      <c r="B161" s="591"/>
      <c r="C161" s="597"/>
      <c r="D161" s="584"/>
      <c r="E161" s="577"/>
      <c r="F161" s="586"/>
      <c r="G161" s="562"/>
      <c r="H161" s="562"/>
      <c r="I161" s="577"/>
      <c r="J161" s="619"/>
      <c r="K161" s="569"/>
      <c r="L161" s="569"/>
      <c r="M161" s="626"/>
      <c r="N161" s="568"/>
      <c r="O161" s="567"/>
    </row>
    <row r="162" spans="1:15" ht="16.5" customHeight="1" x14ac:dyDescent="0.25">
      <c r="A162" s="622" t="str">
        <f>+LEFT(B162,3)</f>
        <v>9.1</v>
      </c>
      <c r="B162" s="571" t="s">
        <v>257</v>
      </c>
      <c r="C162" s="406" t="s">
        <v>258</v>
      </c>
      <c r="D162" s="421" t="s">
        <v>259</v>
      </c>
      <c r="E162" s="415">
        <v>3</v>
      </c>
      <c r="F162" s="83">
        <v>1</v>
      </c>
      <c r="G162" t="s">
        <v>814</v>
      </c>
      <c r="H162" s="421" t="s">
        <v>834</v>
      </c>
      <c r="I162" s="415">
        <v>3</v>
      </c>
      <c r="J162" s="513" t="str">
        <f>+IF(OR(ISBLANK(E162),ISBLANK(I162)),"",IF(OR(AND(E162=1,I162=1),AND(E162=1,I162=2),AND(E162=1,I162=3)),"Deficiencia de control mayor (diseño y ejecución)",IF(OR(AND(E162=2,I162=2),AND(E162=3,I162=1),AND(E162=3,I162=2),AND(E162=2,I162=1)),"Deficiencia de control (diseño o ejecución)",IF(AND(E162=2,I162=3),"Oportunidad de mejora","Mantenimiento del control"))))</f>
        <v>Mantenimiento del control</v>
      </c>
      <c r="K162" s="532">
        <f>+IF(J162="",75,IF(J162="Deficiencia de control mayor (diseño y ejecución)",80,IF(J162="Deficiencia de control (diseño o ejecución)",100,IF(J162="Oportunidad de mejora",120,140))))</f>
        <v>140</v>
      </c>
      <c r="L162" s="533">
        <v>2.9634999999999998</v>
      </c>
      <c r="M162" s="558">
        <f>+K162+L162</f>
        <v>142.96350000000001</v>
      </c>
      <c r="N162" s="541"/>
      <c r="O162" s="566"/>
    </row>
    <row r="163" spans="1:15" ht="13.8" x14ac:dyDescent="0.25">
      <c r="A163" s="623"/>
      <c r="B163" s="572"/>
      <c r="C163" s="407"/>
      <c r="D163" s="422"/>
      <c r="E163" s="416"/>
      <c r="F163" s="81">
        <v>2</v>
      </c>
      <c r="G163" t="s">
        <v>835</v>
      </c>
      <c r="H163" s="422"/>
      <c r="I163" s="416"/>
      <c r="J163" s="396"/>
      <c r="K163" s="532"/>
      <c r="L163" s="533"/>
      <c r="M163" s="558"/>
      <c r="N163" s="541"/>
      <c r="O163" s="566"/>
    </row>
    <row r="164" spans="1:15" ht="16.5" customHeight="1" x14ac:dyDescent="0.25">
      <c r="A164" s="623"/>
      <c r="B164" s="572"/>
      <c r="C164" s="407"/>
      <c r="D164" s="422"/>
      <c r="E164" s="416"/>
      <c r="F164" s="81">
        <v>3</v>
      </c>
      <c r="G164" t="s">
        <v>836</v>
      </c>
      <c r="H164" s="422"/>
      <c r="I164" s="416"/>
      <c r="J164" s="396"/>
      <c r="K164" s="532"/>
      <c r="L164" s="533"/>
      <c r="M164" s="558"/>
      <c r="N164" s="541"/>
      <c r="O164" s="566"/>
    </row>
    <row r="165" spans="1:15" ht="13.8" x14ac:dyDescent="0.25">
      <c r="A165" s="623"/>
      <c r="B165" s="572"/>
      <c r="C165" s="407"/>
      <c r="D165" s="422"/>
      <c r="E165" s="416"/>
      <c r="F165" s="81">
        <v>4</v>
      </c>
      <c r="G165" t="s">
        <v>837</v>
      </c>
      <c r="H165" s="422"/>
      <c r="I165" s="416"/>
      <c r="J165" s="396"/>
      <c r="K165" s="532"/>
      <c r="L165" s="533"/>
      <c r="M165" s="558"/>
      <c r="N165" s="541"/>
      <c r="O165" s="566"/>
    </row>
    <row r="166" spans="1:15" ht="13.8" x14ac:dyDescent="0.25">
      <c r="A166" s="623"/>
      <c r="B166" s="572"/>
      <c r="C166" s="407"/>
      <c r="D166" s="422"/>
      <c r="E166" s="416"/>
      <c r="F166" s="81">
        <v>5</v>
      </c>
      <c r="G166" t="s">
        <v>838</v>
      </c>
      <c r="H166" s="422"/>
      <c r="I166" s="416"/>
      <c r="J166" s="396"/>
      <c r="K166" s="532"/>
      <c r="L166" s="533"/>
      <c r="M166" s="558"/>
      <c r="N166" s="541"/>
      <c r="O166" s="566"/>
    </row>
    <row r="167" spans="1:15" ht="13.8" x14ac:dyDescent="0.25">
      <c r="A167" s="623"/>
      <c r="B167" s="572"/>
      <c r="C167" s="407"/>
      <c r="D167" s="422"/>
      <c r="E167" s="416"/>
      <c r="F167" s="81">
        <v>6</v>
      </c>
      <c r="G167" t="s">
        <v>839</v>
      </c>
      <c r="H167" s="422"/>
      <c r="I167" s="416"/>
      <c r="J167" s="396"/>
      <c r="K167" s="532"/>
      <c r="L167" s="533"/>
      <c r="M167" s="558"/>
      <c r="N167" s="541"/>
      <c r="O167" s="566"/>
    </row>
    <row r="168" spans="1:15" ht="13.8" x14ac:dyDescent="0.25">
      <c r="A168" s="623"/>
      <c r="B168" s="572"/>
      <c r="C168" s="407"/>
      <c r="D168" s="422"/>
      <c r="E168" s="416"/>
      <c r="F168" s="81">
        <v>7</v>
      </c>
      <c r="G168" t="s">
        <v>840</v>
      </c>
      <c r="H168" s="422"/>
      <c r="I168" s="416"/>
      <c r="J168" s="396"/>
      <c r="K168" s="532"/>
      <c r="L168" s="533"/>
      <c r="M168" s="558"/>
      <c r="N168" s="541"/>
      <c r="O168" s="566"/>
    </row>
    <row r="169" spans="1:15" ht="13.8" x14ac:dyDescent="0.25">
      <c r="A169" s="623"/>
      <c r="B169" s="573"/>
      <c r="C169" s="407"/>
      <c r="D169" s="479"/>
      <c r="E169" s="480"/>
      <c r="F169" s="200">
        <v>8</v>
      </c>
      <c r="G169" t="s">
        <v>797</v>
      </c>
      <c r="H169" s="479"/>
      <c r="I169" s="480"/>
      <c r="J169" s="397"/>
      <c r="K169" s="532"/>
      <c r="L169" s="533"/>
      <c r="M169" s="558"/>
      <c r="N169" s="541"/>
      <c r="O169" s="566"/>
    </row>
    <row r="170" spans="1:15" ht="13.8" x14ac:dyDescent="0.25">
      <c r="A170" s="623"/>
      <c r="B170" s="573"/>
      <c r="C170" s="407"/>
      <c r="D170" s="479"/>
      <c r="E170" s="480"/>
      <c r="F170" s="200">
        <v>9</v>
      </c>
      <c r="G170" t="s">
        <v>841</v>
      </c>
      <c r="H170" s="479"/>
      <c r="I170" s="480"/>
      <c r="J170" s="397"/>
      <c r="K170" s="532"/>
      <c r="L170" s="533"/>
      <c r="M170" s="558"/>
      <c r="N170" s="541"/>
      <c r="O170" s="566"/>
    </row>
    <row r="171" spans="1:15" ht="13.8" x14ac:dyDescent="0.25">
      <c r="A171" s="623"/>
      <c r="B171" s="573"/>
      <c r="C171" s="407"/>
      <c r="D171" s="479"/>
      <c r="E171" s="480"/>
      <c r="F171" s="200"/>
      <c r="G171" s="197"/>
      <c r="H171" s="479"/>
      <c r="I171" s="480"/>
      <c r="J171" s="397"/>
      <c r="K171" s="532"/>
      <c r="L171" s="533"/>
      <c r="M171" s="558"/>
      <c r="N171" s="541"/>
      <c r="O171" s="566"/>
    </row>
    <row r="172" spans="1:15" ht="14.4" thickBot="1" x14ac:dyDescent="0.3">
      <c r="A172" s="624"/>
      <c r="B172" s="574"/>
      <c r="C172" s="408"/>
      <c r="D172" s="423"/>
      <c r="E172" s="417"/>
      <c r="F172" s="82"/>
      <c r="G172" s="197"/>
      <c r="H172" s="479"/>
      <c r="I172" s="417"/>
      <c r="J172" s="398"/>
      <c r="K172" s="532"/>
      <c r="L172" s="533"/>
      <c r="M172" s="558"/>
      <c r="N172" s="541"/>
      <c r="O172" s="566"/>
    </row>
    <row r="173" spans="1:15" ht="22.5" customHeight="1" x14ac:dyDescent="0.25">
      <c r="A173" s="622" t="str">
        <f>+LEFT(B173,3)</f>
        <v>9.2</v>
      </c>
      <c r="B173" s="578" t="s">
        <v>260</v>
      </c>
      <c r="C173" s="406" t="s">
        <v>252</v>
      </c>
      <c r="D173" s="421" t="s">
        <v>842</v>
      </c>
      <c r="E173" s="415">
        <v>3</v>
      </c>
      <c r="F173" s="83">
        <v>1</v>
      </c>
      <c r="G173" s="265" t="s">
        <v>814</v>
      </c>
      <c r="H173" s="439" t="s">
        <v>843</v>
      </c>
      <c r="I173" s="415">
        <v>3</v>
      </c>
      <c r="J173" s="513" t="str">
        <f>+IF(OR(ISBLANK(E173),ISBLANK(I173)),"",IF(OR(AND(E173=1,I173=1),AND(E173=1,I173=2),AND(E173=1,I173=3)),"Deficiencia de control mayor (diseño y ejecución)",IF(OR(AND(E173=2,I173=2),AND(E173=3,I173=1),AND(E173=3,I173=2),AND(E173=2,I173=1)),"Deficiencia de control (diseño o ejecución)",IF(AND(E173=2,I173=3),"Oportunidad de mejora","Mantenimiento del control"))))</f>
        <v>Mantenimiento del control</v>
      </c>
      <c r="K173" s="532">
        <f>+IF(J173="",75,IF(J173="Deficiencia de control mayor (diseño y ejecución)",80,IF(J173="Deficiencia de control (diseño o ejecución)",100,IF(J173="Oportunidad de mejora",120,140))))</f>
        <v>140</v>
      </c>
      <c r="L173" s="533">
        <v>3.0125000000000002</v>
      </c>
      <c r="M173" s="558">
        <f>+K173+L173</f>
        <v>143.01249999999999</v>
      </c>
      <c r="N173" s="541"/>
      <c r="O173" s="566"/>
    </row>
    <row r="174" spans="1:15" ht="22.5" customHeight="1" x14ac:dyDescent="0.25">
      <c r="A174" s="623"/>
      <c r="B174" s="579"/>
      <c r="C174" s="407"/>
      <c r="D174" s="470"/>
      <c r="E174" s="416"/>
      <c r="F174" s="81">
        <v>2</v>
      </c>
      <c r="G174" s="263" t="s">
        <v>835</v>
      </c>
      <c r="H174" s="612"/>
      <c r="I174" s="416"/>
      <c r="J174" s="396"/>
      <c r="K174" s="532"/>
      <c r="L174" s="533"/>
      <c r="M174" s="558"/>
      <c r="N174" s="541"/>
      <c r="O174" s="566"/>
    </row>
    <row r="175" spans="1:15" ht="22.5" customHeight="1" x14ac:dyDescent="0.25">
      <c r="A175" s="623"/>
      <c r="B175" s="579"/>
      <c r="C175" s="407"/>
      <c r="D175" s="470"/>
      <c r="E175" s="416"/>
      <c r="F175" s="81">
        <v>3</v>
      </c>
      <c r="G175" s="263" t="s">
        <v>807</v>
      </c>
      <c r="H175" s="612"/>
      <c r="I175" s="416"/>
      <c r="J175" s="396"/>
      <c r="K175" s="532"/>
      <c r="L175" s="533"/>
      <c r="M175" s="558"/>
      <c r="N175" s="541"/>
      <c r="O175" s="566"/>
    </row>
    <row r="176" spans="1:15" ht="22.5" customHeight="1" x14ac:dyDescent="0.25">
      <c r="A176" s="623"/>
      <c r="B176" s="579"/>
      <c r="C176" s="407"/>
      <c r="D176" s="470"/>
      <c r="E176" s="416"/>
      <c r="F176" s="81">
        <v>4</v>
      </c>
      <c r="G176" s="263" t="s">
        <v>840</v>
      </c>
      <c r="H176" s="612"/>
      <c r="I176" s="416"/>
      <c r="J176" s="396"/>
      <c r="K176" s="532"/>
      <c r="L176" s="533"/>
      <c r="M176" s="558"/>
      <c r="N176" s="541"/>
      <c r="O176" s="566"/>
    </row>
    <row r="177" spans="1:15" ht="22.5" customHeight="1" x14ac:dyDescent="0.25">
      <c r="A177" s="623"/>
      <c r="B177" s="579"/>
      <c r="C177" s="407"/>
      <c r="D177" s="470"/>
      <c r="E177" s="416"/>
      <c r="F177" s="81">
        <v>5</v>
      </c>
      <c r="G177" s="263" t="s">
        <v>844</v>
      </c>
      <c r="H177" s="612"/>
      <c r="I177" s="416"/>
      <c r="J177" s="396"/>
      <c r="K177" s="532"/>
      <c r="L177" s="533"/>
      <c r="M177" s="558"/>
      <c r="N177" s="541"/>
      <c r="O177" s="566"/>
    </row>
    <row r="178" spans="1:15" ht="13.8" x14ac:dyDescent="0.25">
      <c r="A178" s="623"/>
      <c r="B178" s="579"/>
      <c r="C178" s="407"/>
      <c r="D178" s="470"/>
      <c r="E178" s="416"/>
      <c r="F178" s="81">
        <v>6</v>
      </c>
      <c r="G178" s="263" t="s">
        <v>845</v>
      </c>
      <c r="H178" s="612"/>
      <c r="I178" s="416"/>
      <c r="J178" s="396"/>
      <c r="K178" s="532"/>
      <c r="L178" s="533"/>
      <c r="M178" s="558"/>
      <c r="N178" s="541"/>
      <c r="O178" s="566"/>
    </row>
    <row r="179" spans="1:15" ht="13.8" x14ac:dyDescent="0.25">
      <c r="A179" s="623"/>
      <c r="B179" s="579"/>
      <c r="C179" s="407"/>
      <c r="D179" s="470"/>
      <c r="E179" s="416"/>
      <c r="F179" s="81">
        <v>7</v>
      </c>
      <c r="G179" s="263" t="s">
        <v>846</v>
      </c>
      <c r="H179" s="612"/>
      <c r="I179" s="416"/>
      <c r="J179" s="396"/>
      <c r="K179" s="532"/>
      <c r="L179" s="533"/>
      <c r="M179" s="558"/>
      <c r="N179" s="541"/>
      <c r="O179" s="566"/>
    </row>
    <row r="180" spans="1:15" ht="13.8" x14ac:dyDescent="0.25">
      <c r="A180" s="623"/>
      <c r="B180" s="580"/>
      <c r="C180" s="407"/>
      <c r="D180" s="598"/>
      <c r="E180" s="480"/>
      <c r="F180" s="200">
        <v>8</v>
      </c>
      <c r="G180" s="263" t="s">
        <v>847</v>
      </c>
      <c r="H180" s="612"/>
      <c r="I180" s="480"/>
      <c r="J180" s="397"/>
      <c r="K180" s="532"/>
      <c r="L180" s="533"/>
      <c r="M180" s="558"/>
      <c r="N180" s="541"/>
      <c r="O180" s="566"/>
    </row>
    <row r="181" spans="1:15" ht="13.8" x14ac:dyDescent="0.25">
      <c r="A181" s="623"/>
      <c r="B181" s="580"/>
      <c r="C181" s="407"/>
      <c r="D181" s="598"/>
      <c r="E181" s="480"/>
      <c r="F181" s="200">
        <v>9</v>
      </c>
      <c r="G181" s="263" t="s">
        <v>848</v>
      </c>
      <c r="H181" s="612"/>
      <c r="I181" s="480"/>
      <c r="J181" s="397"/>
      <c r="K181" s="532"/>
      <c r="L181" s="533"/>
      <c r="M181" s="558"/>
      <c r="N181" s="541"/>
      <c r="O181" s="566"/>
    </row>
    <row r="182" spans="1:15" ht="13.8" x14ac:dyDescent="0.25">
      <c r="A182" s="623"/>
      <c r="B182" s="580"/>
      <c r="C182" s="407"/>
      <c r="D182" s="598"/>
      <c r="E182" s="480"/>
      <c r="F182" s="200">
        <v>10</v>
      </c>
      <c r="G182" s="263" t="s">
        <v>849</v>
      </c>
      <c r="H182" s="612"/>
      <c r="I182" s="480"/>
      <c r="J182" s="397"/>
      <c r="K182" s="532"/>
      <c r="L182" s="533"/>
      <c r="M182" s="558"/>
      <c r="N182" s="541"/>
      <c r="O182" s="566"/>
    </row>
    <row r="183" spans="1:15" ht="33" customHeight="1" thickBot="1" x14ac:dyDescent="0.3">
      <c r="A183" s="624"/>
      <c r="B183" s="581"/>
      <c r="C183" s="408"/>
      <c r="D183" s="471"/>
      <c r="E183" s="417"/>
      <c r="F183" s="82"/>
      <c r="G183" s="264"/>
      <c r="H183" s="613"/>
      <c r="I183" s="417"/>
      <c r="J183" s="398"/>
      <c r="K183" s="532"/>
      <c r="L183" s="533"/>
      <c r="M183" s="558"/>
      <c r="N183" s="541"/>
      <c r="O183" s="566"/>
    </row>
    <row r="184" spans="1:15" ht="22.5" customHeight="1" x14ac:dyDescent="0.25">
      <c r="A184" s="622" t="str">
        <f>+LEFT(B184,3)</f>
        <v>9.3</v>
      </c>
      <c r="B184" s="578" t="s">
        <v>261</v>
      </c>
      <c r="C184" s="582" t="s">
        <v>249</v>
      </c>
      <c r="D184" s="421" t="s">
        <v>262</v>
      </c>
      <c r="E184" s="415">
        <v>3</v>
      </c>
      <c r="F184" s="83">
        <v>1</v>
      </c>
      <c r="G184" t="s">
        <v>851</v>
      </c>
      <c r="H184" s="440" t="s">
        <v>850</v>
      </c>
      <c r="I184" s="415">
        <v>3</v>
      </c>
      <c r="J184" s="513" t="str">
        <f>+IF(OR(ISBLANK(E184),ISBLANK(I184)),"",IF(OR(AND(E184=1,I184=1),AND(E184=1,I184=2),AND(E184=1,I184=3)),"Deficiencia de control mayor (diseño y ejecución)",IF(OR(AND(E184=2,I184=2),AND(E184=3,I184=1),AND(E184=3,I184=2),AND(E184=2,I184=1)),"Deficiencia de control (diseño o ejecución)",IF(AND(E184=2,I184=3),"Oportunidad de mejora","Mantenimiento del control"))))</f>
        <v>Mantenimiento del control</v>
      </c>
      <c r="K184" s="532">
        <f>+IF(J184="",75,IF(J184="Deficiencia de control mayor (diseño y ejecución)",80,IF(J184="Deficiencia de control (diseño o ejecución)",100,IF(J184="Oportunidad de mejora",120,140))))</f>
        <v>140</v>
      </c>
      <c r="L184" s="533">
        <v>3.1236000000000002</v>
      </c>
      <c r="M184" s="558">
        <f>+K184+L184</f>
        <v>143.12360000000001</v>
      </c>
      <c r="N184" s="541"/>
      <c r="O184" s="566"/>
    </row>
    <row r="185" spans="1:15" ht="22.5" customHeight="1" x14ac:dyDescent="0.25">
      <c r="A185" s="623"/>
      <c r="B185" s="579"/>
      <c r="C185" s="407"/>
      <c r="D185" s="470"/>
      <c r="E185" s="416"/>
      <c r="F185" s="81">
        <v>2</v>
      </c>
      <c r="G185" t="s">
        <v>807</v>
      </c>
      <c r="H185" s="372"/>
      <c r="I185" s="416"/>
      <c r="J185" s="396"/>
      <c r="K185" s="532"/>
      <c r="L185" s="533"/>
      <c r="M185" s="558"/>
      <c r="N185" s="541"/>
      <c r="O185" s="566"/>
    </row>
    <row r="186" spans="1:15" ht="22.5" customHeight="1" x14ac:dyDescent="0.25">
      <c r="A186" s="623"/>
      <c r="B186" s="579"/>
      <c r="C186" s="407"/>
      <c r="D186" s="470"/>
      <c r="E186" s="416"/>
      <c r="F186" s="81">
        <v>3</v>
      </c>
      <c r="G186" t="s">
        <v>852</v>
      </c>
      <c r="H186" s="372"/>
      <c r="I186" s="416"/>
      <c r="J186" s="396"/>
      <c r="K186" s="532"/>
      <c r="L186" s="533"/>
      <c r="M186" s="558"/>
      <c r="N186" s="541"/>
      <c r="O186" s="566"/>
    </row>
    <row r="187" spans="1:15" ht="22.5" customHeight="1" x14ac:dyDescent="0.25">
      <c r="A187" s="623"/>
      <c r="B187" s="579"/>
      <c r="C187" s="407"/>
      <c r="D187" s="470"/>
      <c r="E187" s="416"/>
      <c r="F187" s="81">
        <v>4</v>
      </c>
      <c r="G187" t="s">
        <v>797</v>
      </c>
      <c r="H187" s="372"/>
      <c r="I187" s="416"/>
      <c r="J187" s="396"/>
      <c r="K187" s="532"/>
      <c r="L187" s="533"/>
      <c r="M187" s="558"/>
      <c r="N187" s="541"/>
      <c r="O187" s="566"/>
    </row>
    <row r="188" spans="1:15" ht="22.5" customHeight="1" x14ac:dyDescent="0.25">
      <c r="A188" s="623"/>
      <c r="B188" s="579"/>
      <c r="C188" s="407"/>
      <c r="D188" s="470"/>
      <c r="E188" s="416"/>
      <c r="F188" s="81">
        <v>5</v>
      </c>
      <c r="G188" t="s">
        <v>809</v>
      </c>
      <c r="H188" s="372"/>
      <c r="I188" s="416"/>
      <c r="J188" s="396"/>
      <c r="K188" s="532"/>
      <c r="L188" s="533"/>
      <c r="M188" s="558"/>
      <c r="N188" s="541"/>
      <c r="O188" s="566"/>
    </row>
    <row r="189" spans="1:15" ht="13.8" x14ac:dyDescent="0.25">
      <c r="A189" s="623"/>
      <c r="B189" s="579"/>
      <c r="C189" s="407"/>
      <c r="D189" s="470"/>
      <c r="E189" s="416"/>
      <c r="F189" s="81">
        <v>6</v>
      </c>
      <c r="G189" t="s">
        <v>853</v>
      </c>
      <c r="H189" s="372"/>
      <c r="I189" s="416"/>
      <c r="J189" s="396"/>
      <c r="K189" s="532"/>
      <c r="L189" s="533"/>
      <c r="M189" s="558"/>
      <c r="N189" s="541"/>
      <c r="O189" s="566"/>
    </row>
    <row r="190" spans="1:15" ht="13.8" x14ac:dyDescent="0.25">
      <c r="A190" s="623"/>
      <c r="B190" s="579"/>
      <c r="C190" s="407"/>
      <c r="D190" s="470"/>
      <c r="E190" s="416"/>
      <c r="F190" s="81">
        <v>7</v>
      </c>
      <c r="G190" t="s">
        <v>854</v>
      </c>
      <c r="H190" s="372"/>
      <c r="I190" s="416"/>
      <c r="J190" s="396"/>
      <c r="K190" s="532"/>
      <c r="L190" s="533"/>
      <c r="M190" s="558"/>
      <c r="N190" s="541"/>
      <c r="O190" s="566"/>
    </row>
    <row r="191" spans="1:15" ht="14.4" thickBot="1" x14ac:dyDescent="0.3">
      <c r="A191" s="624"/>
      <c r="B191" s="581"/>
      <c r="C191" s="408"/>
      <c r="D191" s="471"/>
      <c r="E191" s="417"/>
      <c r="F191" s="82"/>
      <c r="G191" s="266"/>
      <c r="H191" s="373"/>
      <c r="I191" s="417"/>
      <c r="J191" s="398"/>
      <c r="K191" s="532"/>
      <c r="L191" s="533"/>
      <c r="M191" s="558"/>
      <c r="N191" s="541"/>
      <c r="O191" s="566"/>
    </row>
    <row r="192" spans="1:15" ht="22.5" customHeight="1" x14ac:dyDescent="0.25">
      <c r="A192" s="622" t="str">
        <f>+LEFT(B192,3)</f>
        <v>9.4</v>
      </c>
      <c r="B192" s="578" t="s">
        <v>263</v>
      </c>
      <c r="C192" s="582" t="s">
        <v>252</v>
      </c>
      <c r="D192" s="421" t="s">
        <v>264</v>
      </c>
      <c r="E192" s="415">
        <v>3</v>
      </c>
      <c r="F192" s="83">
        <v>1</v>
      </c>
      <c r="G192" s="265" t="s">
        <v>814</v>
      </c>
      <c r="H192" s="370" t="s">
        <v>855</v>
      </c>
      <c r="I192" s="415">
        <v>3</v>
      </c>
      <c r="J192" s="513" t="str">
        <f>+IF(OR(ISBLANK(E192),ISBLANK(I192)),"",IF(OR(AND(E192=1,I192=1),AND(E192=1,I192=2),AND(E192=1,I192=3)),"Deficiencia de control mayor (diseño y ejecución)",IF(OR(AND(E192=2,I192=2),AND(E192=3,I192=1),AND(E192=3,I192=2),AND(E192=2,I192=1)),"Deficiencia de control (diseño o ejecución)",IF(AND(E192=2,I192=3),"Oportunidad de mejora","Mantenimiento del control"))))</f>
        <v>Mantenimiento del control</v>
      </c>
      <c r="K192" s="532">
        <f>+IF(J192="",75,IF(J192="Deficiencia de control mayor (diseño y ejecución)",80,IF(J192="Deficiencia de control (diseño o ejecución)",100,IF(J192="Oportunidad de mejora",120,140))))</f>
        <v>140</v>
      </c>
      <c r="L192" s="533">
        <v>3.2456</v>
      </c>
      <c r="M192" s="558">
        <f>+K192+L192</f>
        <v>143.2456</v>
      </c>
      <c r="N192" s="541"/>
      <c r="O192" s="566"/>
    </row>
    <row r="193" spans="1:15" ht="22.5" customHeight="1" x14ac:dyDescent="0.25">
      <c r="A193" s="623"/>
      <c r="B193" s="579"/>
      <c r="C193" s="407"/>
      <c r="D193" s="422"/>
      <c r="E193" s="416"/>
      <c r="F193" s="81">
        <v>2</v>
      </c>
      <c r="G193" s="263" t="s">
        <v>856</v>
      </c>
      <c r="H193" s="372"/>
      <c r="I193" s="416"/>
      <c r="J193" s="396"/>
      <c r="K193" s="532"/>
      <c r="L193" s="533"/>
      <c r="M193" s="558"/>
      <c r="N193" s="541"/>
      <c r="O193" s="566"/>
    </row>
    <row r="194" spans="1:15" ht="22.5" customHeight="1" x14ac:dyDescent="0.25">
      <c r="A194" s="623"/>
      <c r="B194" s="579"/>
      <c r="C194" s="407"/>
      <c r="D194" s="422"/>
      <c r="E194" s="416"/>
      <c r="F194" s="81">
        <v>3</v>
      </c>
      <c r="G194" s="263" t="s">
        <v>840</v>
      </c>
      <c r="H194" s="372"/>
      <c r="I194" s="416"/>
      <c r="J194" s="396"/>
      <c r="K194" s="532"/>
      <c r="L194" s="533"/>
      <c r="M194" s="558"/>
      <c r="N194" s="541"/>
      <c r="O194" s="566"/>
    </row>
    <row r="195" spans="1:15" ht="22.5" customHeight="1" x14ac:dyDescent="0.25">
      <c r="A195" s="623"/>
      <c r="B195" s="579"/>
      <c r="C195" s="407"/>
      <c r="D195" s="422"/>
      <c r="E195" s="416"/>
      <c r="F195" s="81">
        <v>4</v>
      </c>
      <c r="G195" s="263" t="s">
        <v>857</v>
      </c>
      <c r="H195" s="372"/>
      <c r="I195" s="416"/>
      <c r="J195" s="396"/>
      <c r="K195" s="532"/>
      <c r="L195" s="533"/>
      <c r="M195" s="558"/>
      <c r="N195" s="541"/>
      <c r="O195" s="566"/>
    </row>
    <row r="196" spans="1:15" ht="22.5" customHeight="1" x14ac:dyDescent="0.25">
      <c r="A196" s="623"/>
      <c r="B196" s="579"/>
      <c r="C196" s="407"/>
      <c r="D196" s="422"/>
      <c r="E196" s="416"/>
      <c r="F196" s="81">
        <v>5</v>
      </c>
      <c r="G196" s="263" t="s">
        <v>858</v>
      </c>
      <c r="H196" s="372"/>
      <c r="I196" s="416"/>
      <c r="J196" s="396"/>
      <c r="K196" s="532"/>
      <c r="L196" s="533"/>
      <c r="M196" s="558"/>
      <c r="N196" s="541"/>
      <c r="O196" s="566"/>
    </row>
    <row r="197" spans="1:15" ht="22.5" customHeight="1" x14ac:dyDescent="0.25">
      <c r="A197" s="623"/>
      <c r="B197" s="579"/>
      <c r="C197" s="407"/>
      <c r="D197" s="422"/>
      <c r="E197" s="416"/>
      <c r="F197" s="81">
        <v>6</v>
      </c>
      <c r="G197" s="263" t="s">
        <v>837</v>
      </c>
      <c r="H197" s="372"/>
      <c r="I197" s="416"/>
      <c r="J197" s="396"/>
      <c r="K197" s="532"/>
      <c r="L197" s="533"/>
      <c r="M197" s="558"/>
      <c r="N197" s="541"/>
      <c r="O197" s="566"/>
    </row>
    <row r="198" spans="1:15" ht="13.8" x14ac:dyDescent="0.25">
      <c r="A198" s="623"/>
      <c r="B198" s="579"/>
      <c r="C198" s="407"/>
      <c r="D198" s="422"/>
      <c r="E198" s="416"/>
      <c r="F198" s="81">
        <v>7</v>
      </c>
      <c r="G198" s="263" t="s">
        <v>859</v>
      </c>
      <c r="H198" s="372"/>
      <c r="I198" s="416"/>
      <c r="J198" s="396"/>
      <c r="K198" s="532"/>
      <c r="L198" s="533"/>
      <c r="M198" s="558"/>
      <c r="N198" s="541"/>
      <c r="O198" s="566"/>
    </row>
    <row r="199" spans="1:15" ht="13.8" x14ac:dyDescent="0.25">
      <c r="A199" s="623"/>
      <c r="B199" s="580"/>
      <c r="C199" s="407"/>
      <c r="D199" s="479"/>
      <c r="E199" s="480"/>
      <c r="F199" s="200">
        <v>8</v>
      </c>
      <c r="G199" s="263" t="s">
        <v>830</v>
      </c>
      <c r="H199" s="372"/>
      <c r="I199" s="480"/>
      <c r="J199" s="397"/>
      <c r="K199" s="532"/>
      <c r="L199" s="533"/>
      <c r="M199" s="558"/>
      <c r="N199" s="541"/>
      <c r="O199" s="566"/>
    </row>
    <row r="200" spans="1:15" ht="14.4" thickBot="1" x14ac:dyDescent="0.3">
      <c r="A200" s="624"/>
      <c r="B200" s="581"/>
      <c r="C200" s="408"/>
      <c r="D200" s="423"/>
      <c r="E200" s="417"/>
      <c r="F200" s="82">
        <v>9</v>
      </c>
      <c r="G200" s="267" t="s">
        <v>860</v>
      </c>
      <c r="H200" s="373"/>
      <c r="I200" s="417"/>
      <c r="J200" s="398"/>
      <c r="K200" s="532"/>
      <c r="L200" s="533"/>
      <c r="M200" s="558"/>
      <c r="N200" s="541"/>
      <c r="O200" s="566"/>
    </row>
    <row r="201" spans="1:15" ht="22.5" customHeight="1" x14ac:dyDescent="0.25">
      <c r="A201" s="622" t="str">
        <f>+LEFT(B201,3)</f>
        <v>9.5</v>
      </c>
      <c r="B201" s="578" t="s">
        <v>265</v>
      </c>
      <c r="C201" s="582" t="s">
        <v>266</v>
      </c>
      <c r="D201" s="421" t="s">
        <v>267</v>
      </c>
      <c r="E201" s="415">
        <v>3</v>
      </c>
      <c r="F201" s="83">
        <v>1</v>
      </c>
      <c r="G201" s="265" t="s">
        <v>814</v>
      </c>
      <c r="H201" s="370" t="s">
        <v>861</v>
      </c>
      <c r="I201" s="415">
        <v>3</v>
      </c>
      <c r="J201" s="513" t="str">
        <f>+IF(OR(ISBLANK(E201),ISBLANK(I201)),"",IF(OR(AND(E201=1,I201=1),AND(E201=1,I201=2),AND(E201=1,I201=3)),"Deficiencia de control mayor (diseño y ejecución)",IF(OR(AND(E201=2,I201=2),AND(E201=3,I201=1),AND(E201=3,I201=2),AND(E201=2,I201=1)),"Deficiencia de control (diseño o ejecución)",IF(AND(E201=2,I201=3),"Oportunidad de mejora","Mantenimiento del control"))))</f>
        <v>Mantenimiento del control</v>
      </c>
      <c r="K201" s="532">
        <f>+IF(J201="",75,IF(J201="Deficiencia de control mayor (diseño y ejecución)",80,IF(J201="Deficiencia de control (diseño o ejecución)",100,IF(J201="Oportunidad de mejora",120,140))))</f>
        <v>140</v>
      </c>
      <c r="L201" s="533">
        <v>3.3654000000000002</v>
      </c>
      <c r="M201" s="558">
        <f>+K201+L201</f>
        <v>143.36539999999999</v>
      </c>
      <c r="N201" s="541"/>
      <c r="O201" s="566"/>
    </row>
    <row r="202" spans="1:15" ht="22.5" customHeight="1" x14ac:dyDescent="0.25">
      <c r="A202" s="623"/>
      <c r="B202" s="579"/>
      <c r="C202" s="407"/>
      <c r="D202" s="470"/>
      <c r="E202" s="416"/>
      <c r="F202" s="81">
        <v>2</v>
      </c>
      <c r="G202" s="263" t="s">
        <v>818</v>
      </c>
      <c r="H202" s="440"/>
      <c r="I202" s="416"/>
      <c r="J202" s="396"/>
      <c r="K202" s="532"/>
      <c r="L202" s="533"/>
      <c r="M202" s="558"/>
      <c r="N202" s="541"/>
      <c r="O202" s="566"/>
    </row>
    <row r="203" spans="1:15" ht="22.5" customHeight="1" x14ac:dyDescent="0.25">
      <c r="A203" s="623"/>
      <c r="B203" s="579"/>
      <c r="C203" s="407"/>
      <c r="D203" s="470"/>
      <c r="E203" s="416"/>
      <c r="F203" s="81">
        <v>3</v>
      </c>
      <c r="G203" s="263" t="s">
        <v>837</v>
      </c>
      <c r="H203" s="440"/>
      <c r="I203" s="416"/>
      <c r="J203" s="396"/>
      <c r="K203" s="532"/>
      <c r="L203" s="533"/>
      <c r="M203" s="558"/>
      <c r="N203" s="541"/>
      <c r="O203" s="566"/>
    </row>
    <row r="204" spans="1:15" ht="22.5" customHeight="1" x14ac:dyDescent="0.25">
      <c r="A204" s="623"/>
      <c r="B204" s="579"/>
      <c r="C204" s="407"/>
      <c r="D204" s="470"/>
      <c r="E204" s="416"/>
      <c r="F204" s="81">
        <v>4</v>
      </c>
      <c r="G204" s="263" t="s">
        <v>862</v>
      </c>
      <c r="H204" s="440"/>
      <c r="I204" s="416"/>
      <c r="J204" s="396"/>
      <c r="K204" s="532"/>
      <c r="L204" s="533"/>
      <c r="M204" s="558"/>
      <c r="N204" s="541"/>
      <c r="O204" s="566"/>
    </row>
    <row r="205" spans="1:15" ht="22.5" customHeight="1" x14ac:dyDescent="0.25">
      <c r="A205" s="623"/>
      <c r="B205" s="579"/>
      <c r="C205" s="407"/>
      <c r="D205" s="470"/>
      <c r="E205" s="416"/>
      <c r="F205" s="81">
        <v>5</v>
      </c>
      <c r="G205" s="263" t="s">
        <v>863</v>
      </c>
      <c r="H205" s="440"/>
      <c r="I205" s="416"/>
      <c r="J205" s="396"/>
      <c r="K205" s="532"/>
      <c r="L205" s="533"/>
      <c r="M205" s="558"/>
      <c r="N205" s="541"/>
      <c r="O205" s="566"/>
    </row>
    <row r="206" spans="1:15" ht="22.5" customHeight="1" x14ac:dyDescent="0.25">
      <c r="A206" s="623"/>
      <c r="B206" s="579"/>
      <c r="C206" s="407"/>
      <c r="D206" s="470"/>
      <c r="E206" s="416"/>
      <c r="F206" s="81">
        <v>6</v>
      </c>
      <c r="G206" s="263" t="s">
        <v>859</v>
      </c>
      <c r="H206" s="440"/>
      <c r="I206" s="416"/>
      <c r="J206" s="396"/>
      <c r="K206" s="532"/>
      <c r="L206" s="533"/>
      <c r="M206" s="558"/>
      <c r="N206" s="541"/>
      <c r="O206" s="566"/>
    </row>
    <row r="207" spans="1:15" ht="22.5" customHeight="1" x14ac:dyDescent="0.25">
      <c r="A207" s="623"/>
      <c r="B207" s="579"/>
      <c r="C207" s="407"/>
      <c r="D207" s="470"/>
      <c r="E207" s="416"/>
      <c r="F207" s="81">
        <v>7</v>
      </c>
      <c r="G207" s="263" t="s">
        <v>864</v>
      </c>
      <c r="H207" s="440"/>
      <c r="I207" s="416"/>
      <c r="J207" s="396"/>
      <c r="K207" s="532"/>
      <c r="L207" s="533"/>
      <c r="M207" s="558"/>
      <c r="N207" s="541"/>
      <c r="O207" s="566"/>
    </row>
    <row r="208" spans="1:15" ht="22.5" customHeight="1" x14ac:dyDescent="0.25">
      <c r="A208" s="623"/>
      <c r="B208" s="580"/>
      <c r="C208" s="407"/>
      <c r="D208" s="598"/>
      <c r="E208" s="480"/>
      <c r="F208" s="200">
        <v>8</v>
      </c>
      <c r="G208" s="263" t="s">
        <v>865</v>
      </c>
      <c r="H208" s="440"/>
      <c r="I208" s="480"/>
      <c r="J208" s="397"/>
      <c r="K208" s="532"/>
      <c r="L208" s="533"/>
      <c r="M208" s="558"/>
      <c r="N208" s="541"/>
      <c r="O208" s="566"/>
    </row>
    <row r="209" spans="1:15" ht="22.5" customHeight="1" x14ac:dyDescent="0.25">
      <c r="A209" s="623"/>
      <c r="B209" s="580"/>
      <c r="C209" s="407"/>
      <c r="D209" s="598"/>
      <c r="E209" s="480"/>
      <c r="F209" s="200">
        <v>9</v>
      </c>
      <c r="G209" s="263" t="s">
        <v>866</v>
      </c>
      <c r="H209" s="440"/>
      <c r="I209" s="480"/>
      <c r="J209" s="397"/>
      <c r="K209" s="532"/>
      <c r="L209" s="533"/>
      <c r="M209" s="558"/>
      <c r="N209" s="541"/>
      <c r="O209" s="566"/>
    </row>
    <row r="210" spans="1:15" ht="22.5" customHeight="1" x14ac:dyDescent="0.25">
      <c r="A210" s="623"/>
      <c r="B210" s="580"/>
      <c r="C210" s="407"/>
      <c r="D210" s="598"/>
      <c r="E210" s="480"/>
      <c r="F210" s="200">
        <v>10</v>
      </c>
      <c r="G210" s="263" t="s">
        <v>867</v>
      </c>
      <c r="H210" s="440"/>
      <c r="I210" s="480"/>
      <c r="J210" s="397"/>
      <c r="K210" s="532"/>
      <c r="L210" s="533"/>
      <c r="M210" s="558"/>
      <c r="N210" s="541"/>
      <c r="O210" s="566"/>
    </row>
    <row r="211" spans="1:15" ht="22.5" customHeight="1" thickBot="1" x14ac:dyDescent="0.3">
      <c r="A211" s="624"/>
      <c r="B211" s="581"/>
      <c r="C211" s="408"/>
      <c r="D211" s="471"/>
      <c r="E211" s="417"/>
      <c r="F211" s="82"/>
      <c r="G211" s="269"/>
      <c r="H211" s="441"/>
      <c r="I211" s="417"/>
      <c r="J211" s="398"/>
      <c r="K211" s="532"/>
      <c r="L211" s="533"/>
      <c r="M211" s="558"/>
      <c r="N211" s="541"/>
      <c r="O211" s="566"/>
    </row>
    <row r="212" spans="1:15" ht="22.5" customHeight="1" x14ac:dyDescent="0.25">
      <c r="G212" s="268"/>
    </row>
  </sheetData>
  <autoFilter ref="A15:O15" xr:uid="{00000000-0001-0000-0300-000000000000}"/>
  <mergeCells count="286">
    <mergeCell ref="M184:M191"/>
    <mergeCell ref="M192:M200"/>
    <mergeCell ref="M201:M211"/>
    <mergeCell ref="M91:M101"/>
    <mergeCell ref="M102:M104"/>
    <mergeCell ref="M105:M115"/>
    <mergeCell ref="M116:M127"/>
    <mergeCell ref="M128:M146"/>
    <mergeCell ref="M147:M158"/>
    <mergeCell ref="M159:M161"/>
    <mergeCell ref="M162:M172"/>
    <mergeCell ref="M173:M183"/>
    <mergeCell ref="M13:M15"/>
    <mergeCell ref="M28:M35"/>
    <mergeCell ref="M36:M48"/>
    <mergeCell ref="M49:M51"/>
    <mergeCell ref="M52:M60"/>
    <mergeCell ref="M61:M71"/>
    <mergeCell ref="M72:M81"/>
    <mergeCell ref="M82:M90"/>
    <mergeCell ref="A184:A191"/>
    <mergeCell ref="A13:A15"/>
    <mergeCell ref="A16:A27"/>
    <mergeCell ref="A28:A35"/>
    <mergeCell ref="A36:A48"/>
    <mergeCell ref="A61:A71"/>
    <mergeCell ref="A72:A81"/>
    <mergeCell ref="A82:A90"/>
    <mergeCell ref="A49:A51"/>
    <mergeCell ref="A52:A60"/>
    <mergeCell ref="J173:J183"/>
    <mergeCell ref="J184:J191"/>
    <mergeCell ref="E13:E15"/>
    <mergeCell ref="B16:B27"/>
    <mergeCell ref="C16:C27"/>
    <mergeCell ref="E16:E27"/>
    <mergeCell ref="A192:A200"/>
    <mergeCell ref="A201:A211"/>
    <mergeCell ref="A105:A115"/>
    <mergeCell ref="A116:A127"/>
    <mergeCell ref="A162:A172"/>
    <mergeCell ref="A173:A183"/>
    <mergeCell ref="A91:A101"/>
    <mergeCell ref="A102:A104"/>
    <mergeCell ref="A128:A146"/>
    <mergeCell ref="A147:A158"/>
    <mergeCell ref="A159:A161"/>
    <mergeCell ref="J192:J200"/>
    <mergeCell ref="J201:J211"/>
    <mergeCell ref="B10:J10"/>
    <mergeCell ref="B11:J11"/>
    <mergeCell ref="J13:J15"/>
    <mergeCell ref="J49:J51"/>
    <mergeCell ref="J102:J104"/>
    <mergeCell ref="J159:J161"/>
    <mergeCell ref="J16:J27"/>
    <mergeCell ref="J28:J35"/>
    <mergeCell ref="J36:J48"/>
    <mergeCell ref="J52:J60"/>
    <mergeCell ref="J61:J71"/>
    <mergeCell ref="J72:J81"/>
    <mergeCell ref="J82:J90"/>
    <mergeCell ref="J91:J101"/>
    <mergeCell ref="J105:J115"/>
    <mergeCell ref="J116:J127"/>
    <mergeCell ref="J128:J146"/>
    <mergeCell ref="J147:J158"/>
    <mergeCell ref="F13:H13"/>
    <mergeCell ref="I16:I27"/>
    <mergeCell ref="I28:I35"/>
    <mergeCell ref="H14:H15"/>
    <mergeCell ref="D16:D27"/>
    <mergeCell ref="C28:C35"/>
    <mergeCell ref="D13:D15"/>
    <mergeCell ref="C13:C15"/>
    <mergeCell ref="I13:I15"/>
    <mergeCell ref="G14:G15"/>
    <mergeCell ref="H16:H27"/>
    <mergeCell ref="H28:H35"/>
    <mergeCell ref="B201:B211"/>
    <mergeCell ref="D201:D211"/>
    <mergeCell ref="C201:C211"/>
    <mergeCell ref="I36:I48"/>
    <mergeCell ref="I49:I51"/>
    <mergeCell ref="I52:I60"/>
    <mergeCell ref="I61:I71"/>
    <mergeCell ref="I72:I81"/>
    <mergeCell ref="I91:I101"/>
    <mergeCell ref="I102:I104"/>
    <mergeCell ref="I105:I115"/>
    <mergeCell ref="I192:I200"/>
    <mergeCell ref="I162:I172"/>
    <mergeCell ref="H103:H104"/>
    <mergeCell ref="H160:H161"/>
    <mergeCell ref="I147:I158"/>
    <mergeCell ref="I159:I161"/>
    <mergeCell ref="I173:I183"/>
    <mergeCell ref="I201:I211"/>
    <mergeCell ref="F160:F161"/>
    <mergeCell ref="F102:H102"/>
    <mergeCell ref="F159:H159"/>
    <mergeCell ref="B105:B115"/>
    <mergeCell ref="D105:D115"/>
    <mergeCell ref="E105:E115"/>
    <mergeCell ref="B147:B158"/>
    <mergeCell ref="D147:D158"/>
    <mergeCell ref="E147:E158"/>
    <mergeCell ref="C147:C158"/>
    <mergeCell ref="C105:C115"/>
    <mergeCell ref="B184:B191"/>
    <mergeCell ref="C184:C191"/>
    <mergeCell ref="D184:D191"/>
    <mergeCell ref="E184:E191"/>
    <mergeCell ref="C173:C183"/>
    <mergeCell ref="C162:C172"/>
    <mergeCell ref="B173:B183"/>
    <mergeCell ref="D173:D183"/>
    <mergeCell ref="E173:E183"/>
    <mergeCell ref="H173:H183"/>
    <mergeCell ref="E72:E81"/>
    <mergeCell ref="F50:F51"/>
    <mergeCell ref="B61:B71"/>
    <mergeCell ref="C49:C51"/>
    <mergeCell ref="C72:C81"/>
    <mergeCell ref="B49:B51"/>
    <mergeCell ref="B72:B81"/>
    <mergeCell ref="D72:D81"/>
    <mergeCell ref="C52:C60"/>
    <mergeCell ref="C61:C71"/>
    <mergeCell ref="D61:D71"/>
    <mergeCell ref="E61:E71"/>
    <mergeCell ref="E36:E48"/>
    <mergeCell ref="C36:C48"/>
    <mergeCell ref="H50:H51"/>
    <mergeCell ref="B52:B60"/>
    <mergeCell ref="D52:D60"/>
    <mergeCell ref="F49:H49"/>
    <mergeCell ref="E49:E51"/>
    <mergeCell ref="E52:E60"/>
    <mergeCell ref="D49:D51"/>
    <mergeCell ref="H36:H48"/>
    <mergeCell ref="H52:H60"/>
    <mergeCell ref="B82:B90"/>
    <mergeCell ref="C82:C90"/>
    <mergeCell ref="D82:D90"/>
    <mergeCell ref="E82:E90"/>
    <mergeCell ref="I82:I90"/>
    <mergeCell ref="D102:D104"/>
    <mergeCell ref="D159:D161"/>
    <mergeCell ref="F103:F104"/>
    <mergeCell ref="F14:F15"/>
    <mergeCell ref="B28:B35"/>
    <mergeCell ref="D28:D35"/>
    <mergeCell ref="E28:E35"/>
    <mergeCell ref="B13:B15"/>
    <mergeCell ref="B102:B104"/>
    <mergeCell ref="E102:E104"/>
    <mergeCell ref="B91:B101"/>
    <mergeCell ref="D91:D101"/>
    <mergeCell ref="E91:E101"/>
    <mergeCell ref="C91:C101"/>
    <mergeCell ref="C102:C104"/>
    <mergeCell ref="C159:C161"/>
    <mergeCell ref="B159:B161"/>
    <mergeCell ref="B36:B48"/>
    <mergeCell ref="D36:D48"/>
    <mergeCell ref="K184:K191"/>
    <mergeCell ref="K192:K200"/>
    <mergeCell ref="K201:K211"/>
    <mergeCell ref="I184:I191"/>
    <mergeCell ref="B116:B127"/>
    <mergeCell ref="C116:C127"/>
    <mergeCell ref="D116:D127"/>
    <mergeCell ref="E116:E127"/>
    <mergeCell ref="I116:I127"/>
    <mergeCell ref="B128:B146"/>
    <mergeCell ref="C128:C146"/>
    <mergeCell ref="D128:D146"/>
    <mergeCell ref="E128:E146"/>
    <mergeCell ref="I128:I146"/>
    <mergeCell ref="B162:B172"/>
    <mergeCell ref="D162:D172"/>
    <mergeCell ref="E162:E172"/>
    <mergeCell ref="E159:E161"/>
    <mergeCell ref="B192:B200"/>
    <mergeCell ref="E192:E200"/>
    <mergeCell ref="C192:C200"/>
    <mergeCell ref="D192:D200"/>
    <mergeCell ref="E201:E211"/>
    <mergeCell ref="J162:J172"/>
    <mergeCell ref="K91:K101"/>
    <mergeCell ref="K102:K104"/>
    <mergeCell ref="K105:K115"/>
    <mergeCell ref="K116:K127"/>
    <mergeCell ref="K128:K146"/>
    <mergeCell ref="K147:K158"/>
    <mergeCell ref="K159:K161"/>
    <mergeCell ref="K162:K172"/>
    <mergeCell ref="K173:K183"/>
    <mergeCell ref="K13:K15"/>
    <mergeCell ref="K16:K27"/>
    <mergeCell ref="K28:K35"/>
    <mergeCell ref="K36:K48"/>
    <mergeCell ref="K49:K51"/>
    <mergeCell ref="K52:K60"/>
    <mergeCell ref="K61:K71"/>
    <mergeCell ref="K72:K81"/>
    <mergeCell ref="K82:K90"/>
    <mergeCell ref="L13:L15"/>
    <mergeCell ref="L16:L27"/>
    <mergeCell ref="L28:L35"/>
    <mergeCell ref="L36:L48"/>
    <mergeCell ref="L49:L51"/>
    <mergeCell ref="L52:L60"/>
    <mergeCell ref="L61:L71"/>
    <mergeCell ref="L72:L81"/>
    <mergeCell ref="L82:L90"/>
    <mergeCell ref="L91:L101"/>
    <mergeCell ref="L102:L104"/>
    <mergeCell ref="L105:L115"/>
    <mergeCell ref="L116:L127"/>
    <mergeCell ref="L128:L146"/>
    <mergeCell ref="L147:L158"/>
    <mergeCell ref="L159:L161"/>
    <mergeCell ref="L162:L172"/>
    <mergeCell ref="L173:L183"/>
    <mergeCell ref="L184:L191"/>
    <mergeCell ref="L192:L200"/>
    <mergeCell ref="L201:L211"/>
    <mergeCell ref="N13:N15"/>
    <mergeCell ref="M16:M27"/>
    <mergeCell ref="N28:N35"/>
    <mergeCell ref="N36:N48"/>
    <mergeCell ref="N49:N51"/>
    <mergeCell ref="N52:N60"/>
    <mergeCell ref="N61:N71"/>
    <mergeCell ref="N72:N81"/>
    <mergeCell ref="N82:N90"/>
    <mergeCell ref="N91:N101"/>
    <mergeCell ref="N102:N104"/>
    <mergeCell ref="N105:N115"/>
    <mergeCell ref="N116:N127"/>
    <mergeCell ref="N128:N146"/>
    <mergeCell ref="N147:N158"/>
    <mergeCell ref="N159:N161"/>
    <mergeCell ref="N162:N172"/>
    <mergeCell ref="N173:N183"/>
    <mergeCell ref="N184:N191"/>
    <mergeCell ref="N192:N200"/>
    <mergeCell ref="N201:N211"/>
    <mergeCell ref="O13:O15"/>
    <mergeCell ref="O16:O27"/>
    <mergeCell ref="O28:O35"/>
    <mergeCell ref="O36:O48"/>
    <mergeCell ref="O49:O51"/>
    <mergeCell ref="O52:O60"/>
    <mergeCell ref="O61:O71"/>
    <mergeCell ref="O72:O81"/>
    <mergeCell ref="O82:O90"/>
    <mergeCell ref="O184:O191"/>
    <mergeCell ref="O192:O200"/>
    <mergeCell ref="O201:O211"/>
    <mergeCell ref="O91:O101"/>
    <mergeCell ref="O102:O104"/>
    <mergeCell ref="O105:O115"/>
    <mergeCell ref="O116:O127"/>
    <mergeCell ref="O128:O146"/>
    <mergeCell ref="O147:O158"/>
    <mergeCell ref="O159:O161"/>
    <mergeCell ref="O162:O172"/>
    <mergeCell ref="O173:O183"/>
    <mergeCell ref="H184:H191"/>
    <mergeCell ref="H192:H200"/>
    <mergeCell ref="H201:H211"/>
    <mergeCell ref="G50:G51"/>
    <mergeCell ref="G103:G104"/>
    <mergeCell ref="G160:G161"/>
    <mergeCell ref="H61:H71"/>
    <mergeCell ref="H72:H81"/>
    <mergeCell ref="H82:H90"/>
    <mergeCell ref="H91:H101"/>
    <mergeCell ref="H105:H115"/>
    <mergeCell ref="H116:H127"/>
    <mergeCell ref="H128:H146"/>
    <mergeCell ref="H147:H158"/>
    <mergeCell ref="H162:H172"/>
  </mergeCells>
  <dataValidations count="1">
    <dataValidation type="list" allowBlank="1" showInputMessage="1" showErrorMessage="1" sqref="E162:E211 E52:E101 I16:I48 E105:E158 I105:I158 E16:E48 I52:I101 I162:I211" xr:uid="{00000000-0002-0000-0300-000000000000}">
      <formula1>"1,2,3"</formula1>
    </dataValidation>
  </dataValidations>
  <hyperlinks>
    <hyperlink ref="G54" r:id="rId1" display="Seguimiento segunda linea de defensa PAYS Y RIESGOS" xr:uid="{BC3AE79D-27E5-46A4-BD0F-35AD592EC935}"/>
    <hyperlink ref="G52" r:id="rId2" xr:uid="{12E1E44C-15EE-4F25-ADB0-D859810BD21B}"/>
    <hyperlink ref="G53" r:id="rId3" display="SEGUIMIENTO A RIESGOS 2024" xr:uid="{FE95E2FA-FE4C-4014-8EF4-29CDB9E0EA07}"/>
    <hyperlink ref="G64" r:id="rId4" xr:uid="{40731EAA-0285-4BB4-8EA6-3E9487ED36E7}"/>
    <hyperlink ref="G61" r:id="rId5" xr:uid="{789250FC-058F-4339-8A90-A3A5B597F689}"/>
    <hyperlink ref="G63" r:id="rId6" xr:uid="{C64A155E-C02E-4576-A5C5-3D9DA472CCFD}"/>
    <hyperlink ref="G75" r:id="rId7" xr:uid="{DA85BFF9-3AE1-496F-A14A-40D063BDDAF6}"/>
    <hyperlink ref="G72" r:id="rId8" xr:uid="{D7BB7E56-A530-4CBD-BCEC-C2FE941D2A82}"/>
    <hyperlink ref="G94" r:id="rId9" xr:uid="{5DE7426C-823C-4CBE-8C49-F47C04DAE441}"/>
    <hyperlink ref="G91" r:id="rId10" xr:uid="{A78DAECF-96E8-4455-A9B6-83E4D8AD74C5}"/>
    <hyperlink ref="G105" r:id="rId11" xr:uid="{9EFC6F61-A49F-4B35-A5A1-A0187BF67C0F}"/>
    <hyperlink ref="G62" r:id="rId12" display="https://uaespdc.sharepoint.com/sites/EQUIPOOAP266/Documentos%20compartidos/Forms/AllItems.aspx?id=%2Fsites%2FEQUIPOOAP266%2FDocumentos%20compartidos%2FSEGUIMIENTO%20A%20RIESGOS%202025&amp;p=true&amp;ct=1752507961512&amp;or=OWA%2DNT%2DMail&amp;cid=8a2a5521%2D8082%2D5faf%2D4d5c%2Daf4d88b2b871&amp;ga=1&amp;LOF=1" xr:uid="{40025ED2-E86B-4527-8016-2D38A4C15BC7}"/>
    <hyperlink ref="G92" r:id="rId13" display="https://uaespdc.sharepoint.com/sites/EQUIPOOAP266/Documentos%20compartidos/Forms/AllItems.aspx?id=%2Fsites%2FEQUIPOOAP266%2FDocumentos%20compartidos%2FSEGUIMIENTO%20A%20RIESGOS%202025&amp;p=true&amp;ct=1752507961512&amp;or=OWA%2DNT%2DMail&amp;cid=8a2a5521%2D8082%2D5faf%2D4d5c%2Daf4d88b2b871&amp;ga=1&amp;LOF=1" xr:uid="{CFC326E6-6588-46CC-9A25-C76F6997B4C4}"/>
    <hyperlink ref="G106" r:id="rId14" xr:uid="{E8E09F78-77FE-40CA-8156-ECFC052CE8FE}"/>
    <hyperlink ref="G107" r:id="rId15" display="https://uaespdc.sharepoint.com/:f:/s/oficinadecontrolinterno/EkCaynl76fVPslE3wu0OgJwBYemtZ86iLssvoetkSUAq-Q?e=t7jelJ" xr:uid="{BEECF9DD-3121-4E41-8687-77E7AF34EE93}"/>
    <hyperlink ref="G108" r:id="rId16" display="../../../../../../../../:f:/s/EQUIPOOAP266/Eg_iffQ86v9HlRm6HkXkLsABd8uXI2KcqGcXWabxkBDO6w?e=SpDD3e" xr:uid="{E01AEDAD-C5B5-43D5-8FE9-AC1AEC0C8950}"/>
    <hyperlink ref="G93" r:id="rId17" display="../../../../../../../../:f:/s/EQUIPOOAP266/Eg_iffQ86v9HlRm6HkXkLsABd8uXI2KcqGcXWabxkBDO6w?e=SpDD3e" xr:uid="{0F2BE245-D4A6-4044-8360-5A62EACA467E}"/>
    <hyperlink ref="G76" r:id="rId18" display="ACTA 3 JUNIO 19 SESION ORDINARIA" xr:uid="{E231437E-A776-49E4-95FA-0A08E76CBE6B}"/>
    <hyperlink ref="G95" r:id="rId19" display="ACTA 3 JUNIO 19 SESION ORDINARIA" xr:uid="{E46889E7-A44B-4144-AB05-2051C759C071}"/>
    <hyperlink ref="G109" r:id="rId20" display="../../../../../../../../:f:/s/oficinadecontrolinterno/Eo16wqncGhlIg8U8dakoqsYBDp1yF_FezLlzt5hXBKPPyA?e=PogM4K" xr:uid="{DBA50AD7-94FF-4B2A-9964-F536C671BA45}"/>
  </hyperlinks>
  <pageMargins left="0.7" right="0.7" top="0.75" bottom="0.75" header="0.3" footer="0.3"/>
  <pageSetup orientation="portrait" r:id="rId21"/>
  <drawing r:id="rId2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tabColor theme="3" tint="0.39997558519241921"/>
  </sheetPr>
  <dimension ref="A15:Q201"/>
  <sheetViews>
    <sheetView showGridLines="0" topLeftCell="E14" zoomScale="50" zoomScaleNormal="50" workbookViewId="0">
      <selection activeCell="E21" sqref="E21:E33"/>
    </sheetView>
  </sheetViews>
  <sheetFormatPr baseColWidth="10" defaultColWidth="3.109375" defaultRowHeight="22.5" customHeight="1" x14ac:dyDescent="0.25"/>
  <cols>
    <col min="1" max="1" width="3.109375" style="34" hidden="1" customWidth="1"/>
    <col min="2" max="2" width="9.33203125" style="9" hidden="1" customWidth="1"/>
    <col min="3" max="3" width="23.109375" style="9" hidden="1" customWidth="1"/>
    <col min="4" max="4" width="4.44140625" style="9" hidden="1" customWidth="1"/>
    <col min="5" max="5" width="42.44140625" style="9" customWidth="1"/>
    <col min="6" max="6" width="28.5546875" style="9" customWidth="1"/>
    <col min="7" max="7" width="114.109375" style="9" customWidth="1"/>
    <col min="8" max="8" width="7.44140625" style="9" customWidth="1"/>
    <col min="9" max="9" width="4.6640625" style="9" customWidth="1"/>
    <col min="10" max="10" width="47.44140625" style="9" customWidth="1"/>
    <col min="11" max="11" width="103.33203125" style="153" customWidth="1"/>
    <col min="12" max="12" width="7.44140625" style="9" customWidth="1"/>
    <col min="13" max="13" width="26" style="9" customWidth="1"/>
    <col min="14" max="15" width="8" style="53" customWidth="1"/>
    <col min="16" max="16" width="12" style="53" customWidth="1"/>
    <col min="17" max="17" width="3.109375" style="27" customWidth="1"/>
    <col min="18" max="16365" width="3.109375" style="9" customWidth="1"/>
    <col min="16366" max="16384" width="3.109375" style="9"/>
  </cols>
  <sheetData>
    <row r="15" spans="5:13" ht="20.100000000000001" customHeight="1" x14ac:dyDescent="0.25">
      <c r="E15" s="680" t="s">
        <v>269</v>
      </c>
      <c r="F15" s="680"/>
      <c r="G15" s="680"/>
      <c r="H15" s="680"/>
      <c r="I15" s="680"/>
      <c r="J15" s="680"/>
      <c r="K15" s="680"/>
      <c r="L15" s="680"/>
      <c r="M15" s="680"/>
    </row>
    <row r="16" spans="5:13" ht="37.65" customHeight="1" x14ac:dyDescent="0.25">
      <c r="E16" s="432" t="s">
        <v>270</v>
      </c>
      <c r="F16" s="432"/>
      <c r="G16" s="432"/>
      <c r="H16" s="432"/>
      <c r="I16" s="432"/>
      <c r="J16" s="432"/>
      <c r="K16" s="432"/>
      <c r="L16" s="432"/>
      <c r="M16" s="432"/>
    </row>
    <row r="18" spans="1:16" ht="36.75" customHeight="1" x14ac:dyDescent="0.25">
      <c r="D18" s="700" t="s">
        <v>111</v>
      </c>
      <c r="E18" s="693" t="s">
        <v>271</v>
      </c>
      <c r="F18" s="668" t="s">
        <v>8</v>
      </c>
      <c r="G18" s="668" t="s">
        <v>272</v>
      </c>
      <c r="H18" s="690" t="s">
        <v>220</v>
      </c>
      <c r="I18" s="698" t="s">
        <v>116</v>
      </c>
      <c r="J18" s="698"/>
      <c r="K18" s="698"/>
      <c r="L18" s="690" t="s">
        <v>273</v>
      </c>
      <c r="M18" s="683" t="s">
        <v>152</v>
      </c>
      <c r="N18" s="570"/>
      <c r="O18" s="570"/>
      <c r="P18" s="570"/>
    </row>
    <row r="19" spans="1:16" ht="29.25" customHeight="1" x14ac:dyDescent="0.25">
      <c r="D19" s="701"/>
      <c r="E19" s="694"/>
      <c r="F19" s="669"/>
      <c r="G19" s="669"/>
      <c r="H19" s="691"/>
      <c r="I19" s="689" t="s">
        <v>13</v>
      </c>
      <c r="J19" s="669" t="s">
        <v>15</v>
      </c>
      <c r="K19" s="696" t="s">
        <v>222</v>
      </c>
      <c r="L19" s="691"/>
      <c r="M19" s="684"/>
      <c r="N19" s="570"/>
      <c r="O19" s="570"/>
      <c r="P19" s="570"/>
    </row>
    <row r="20" spans="1:16" ht="65.25" customHeight="1" thickBot="1" x14ac:dyDescent="0.3">
      <c r="A20" s="125" t="s">
        <v>274</v>
      </c>
      <c r="B20" s="125" t="s">
        <v>275</v>
      </c>
      <c r="C20" s="126" t="s">
        <v>276</v>
      </c>
      <c r="D20" s="702"/>
      <c r="E20" s="695"/>
      <c r="F20" s="670"/>
      <c r="G20" s="670"/>
      <c r="H20" s="692"/>
      <c r="I20" s="678"/>
      <c r="J20" s="678"/>
      <c r="K20" s="697"/>
      <c r="L20" s="692"/>
      <c r="M20" s="685"/>
      <c r="N20" s="570"/>
      <c r="O20" s="570"/>
      <c r="P20" s="570"/>
    </row>
    <row r="21" spans="1:16" ht="16.5" customHeight="1" x14ac:dyDescent="0.25">
      <c r="A21" s="707">
        <v>1</v>
      </c>
      <c r="B21" s="707" t="s">
        <v>277</v>
      </c>
      <c r="C21" s="707" t="s">
        <v>278</v>
      </c>
      <c r="D21" s="521" t="str">
        <f>+LEFT(E21,4)</f>
        <v>10.1</v>
      </c>
      <c r="E21" s="634" t="s">
        <v>279</v>
      </c>
      <c r="F21" s="407" t="s">
        <v>252</v>
      </c>
      <c r="G21" s="370" t="s">
        <v>874</v>
      </c>
      <c r="H21" s="636">
        <v>3</v>
      </c>
      <c r="I21" s="80">
        <v>1</v>
      </c>
      <c r="J21" t="s">
        <v>816</v>
      </c>
      <c r="K21" s="506" t="s">
        <v>873</v>
      </c>
      <c r="L21" s="637">
        <v>3</v>
      </c>
      <c r="M21" s="395" t="str">
        <f>+IF(OR(ISBLANK(H21),ISBLANK(L21)),"",IF(OR(AND(H21=1,L21=1),AND(H21=1,L21=2),AND(H21=1,L21=3)),"Deficiencia de control mayor (diseño y ejecución)",IF(OR(AND(H21=2,L21=2),AND(H21=3,L21=1),AND(H21=3,L21=2),AND(H21=2,L21=1)),"Deficiencia de control (diseño o ejecución)",IF(AND(H21=2,L21=3),"Oportunidad de mejora","Mantenimiento del control"))))</f>
        <v>Mantenimiento del control</v>
      </c>
      <c r="N21" s="532">
        <f>+IF(M21="",152,IF(M21="Deficiencia de control mayor (diseño y ejecución)",160,IF(M21="Deficiencia de control (diseño o ejecución)",180,IF(M21="Oportunidad de mejora",200,220))))</f>
        <v>220</v>
      </c>
      <c r="O21" s="533">
        <v>3.4569000000000001</v>
      </c>
      <c r="P21" s="533">
        <f>+N21+O21</f>
        <v>223.45689999999999</v>
      </c>
    </row>
    <row r="22" spans="1:16" ht="18.75" customHeight="1" x14ac:dyDescent="0.25">
      <c r="A22" s="708"/>
      <c r="B22" s="708"/>
      <c r="C22" s="708"/>
      <c r="D22" s="522"/>
      <c r="E22" s="543"/>
      <c r="F22" s="407"/>
      <c r="G22" s="440"/>
      <c r="H22" s="416"/>
      <c r="I22" s="81">
        <v>2</v>
      </c>
      <c r="J22" t="s">
        <v>818</v>
      </c>
      <c r="K22" s="364"/>
      <c r="L22" s="413"/>
      <c r="M22" s="396"/>
      <c r="N22" s="532"/>
      <c r="O22" s="533"/>
      <c r="P22" s="533"/>
    </row>
    <row r="23" spans="1:16" ht="13.8" x14ac:dyDescent="0.25">
      <c r="A23" s="708"/>
      <c r="B23" s="708"/>
      <c r="C23" s="708"/>
      <c r="D23" s="522"/>
      <c r="E23" s="543"/>
      <c r="F23" s="407"/>
      <c r="G23" s="440"/>
      <c r="H23" s="416"/>
      <c r="I23" s="214">
        <v>3</v>
      </c>
      <c r="J23" t="s">
        <v>814</v>
      </c>
      <c r="K23" s="365"/>
      <c r="L23" s="413"/>
      <c r="M23" s="396"/>
      <c r="N23" s="532"/>
      <c r="O23" s="533"/>
      <c r="P23" s="533"/>
    </row>
    <row r="24" spans="1:16" ht="13.8" x14ac:dyDescent="0.25">
      <c r="A24" s="708"/>
      <c r="B24" s="708"/>
      <c r="C24" s="708"/>
      <c r="D24" s="522"/>
      <c r="E24" s="543"/>
      <c r="F24" s="407"/>
      <c r="G24" s="440"/>
      <c r="H24" s="416"/>
      <c r="I24" s="214">
        <v>4</v>
      </c>
      <c r="J24" t="s">
        <v>868</v>
      </c>
      <c r="K24" s="365"/>
      <c r="L24" s="413"/>
      <c r="M24" s="396"/>
      <c r="N24" s="532"/>
      <c r="O24" s="533"/>
      <c r="P24" s="533"/>
    </row>
    <row r="25" spans="1:16" ht="13.8" x14ac:dyDescent="0.25">
      <c r="A25" s="708"/>
      <c r="B25" s="708"/>
      <c r="C25" s="708"/>
      <c r="D25" s="522"/>
      <c r="E25" s="543"/>
      <c r="F25" s="407"/>
      <c r="G25" s="440"/>
      <c r="H25" s="416"/>
      <c r="I25" s="214">
        <v>5</v>
      </c>
      <c r="J25" t="s">
        <v>869</v>
      </c>
      <c r="K25" s="365"/>
      <c r="L25" s="413"/>
      <c r="M25" s="396"/>
      <c r="N25" s="532"/>
      <c r="O25" s="533"/>
      <c r="P25" s="533"/>
    </row>
    <row r="26" spans="1:16" ht="13.8" x14ac:dyDescent="0.25">
      <c r="A26" s="708"/>
      <c r="B26" s="708"/>
      <c r="C26" s="708"/>
      <c r="D26" s="522"/>
      <c r="E26" s="543"/>
      <c r="F26" s="407"/>
      <c r="G26" s="440"/>
      <c r="H26" s="416"/>
      <c r="I26" s="214">
        <v>6</v>
      </c>
      <c r="J26" t="s">
        <v>870</v>
      </c>
      <c r="K26" s="365"/>
      <c r="L26" s="413"/>
      <c r="M26" s="396"/>
      <c r="N26" s="532"/>
      <c r="O26" s="533"/>
      <c r="P26" s="533"/>
    </row>
    <row r="27" spans="1:16" ht="13.8" x14ac:dyDescent="0.25">
      <c r="A27" s="708"/>
      <c r="B27" s="708"/>
      <c r="C27" s="708"/>
      <c r="D27" s="522"/>
      <c r="E27" s="543"/>
      <c r="F27" s="407"/>
      <c r="G27" s="440"/>
      <c r="H27" s="416"/>
      <c r="I27" s="214">
        <v>7</v>
      </c>
      <c r="J27" t="s">
        <v>871</v>
      </c>
      <c r="K27" s="365"/>
      <c r="L27" s="413"/>
      <c r="M27" s="396"/>
      <c r="N27" s="532"/>
      <c r="O27" s="533"/>
      <c r="P27" s="533"/>
    </row>
    <row r="28" spans="1:16" ht="13.8" x14ac:dyDescent="0.25">
      <c r="A28" s="708"/>
      <c r="B28" s="708"/>
      <c r="C28" s="708"/>
      <c r="D28" s="522"/>
      <c r="E28" s="543"/>
      <c r="F28" s="407"/>
      <c r="G28" s="440"/>
      <c r="H28" s="416"/>
      <c r="I28" s="214">
        <v>8</v>
      </c>
      <c r="J28" s="205" t="s">
        <v>872</v>
      </c>
      <c r="K28" s="365"/>
      <c r="L28" s="413"/>
      <c r="M28" s="396"/>
      <c r="N28" s="532"/>
      <c r="O28" s="533"/>
      <c r="P28" s="533"/>
    </row>
    <row r="29" spans="1:16" ht="13.8" x14ac:dyDescent="0.25">
      <c r="A29" s="708"/>
      <c r="B29" s="708"/>
      <c r="C29" s="708"/>
      <c r="D29" s="522"/>
      <c r="E29" s="543"/>
      <c r="F29" s="407"/>
      <c r="G29" s="440"/>
      <c r="H29" s="416"/>
      <c r="I29" s="81">
        <v>9</v>
      </c>
      <c r="K29" s="364"/>
      <c r="L29" s="413"/>
      <c r="M29" s="396"/>
      <c r="N29" s="532"/>
      <c r="O29" s="533"/>
      <c r="P29" s="533"/>
    </row>
    <row r="30" spans="1:16" ht="13.8" x14ac:dyDescent="0.25">
      <c r="A30" s="708"/>
      <c r="B30" s="708"/>
      <c r="C30" s="708"/>
      <c r="D30" s="522"/>
      <c r="E30" s="543"/>
      <c r="F30" s="407"/>
      <c r="G30" s="440"/>
      <c r="H30" s="416"/>
      <c r="I30" s="81">
        <v>10</v>
      </c>
      <c r="K30" s="364"/>
      <c r="L30" s="413"/>
      <c r="M30" s="396"/>
      <c r="N30" s="532"/>
      <c r="O30" s="533"/>
      <c r="P30" s="533"/>
    </row>
    <row r="31" spans="1:16" ht="13.8" x14ac:dyDescent="0.25">
      <c r="A31" s="708"/>
      <c r="B31" s="708"/>
      <c r="C31" s="708"/>
      <c r="D31" s="522"/>
      <c r="E31" s="543"/>
      <c r="F31" s="407"/>
      <c r="G31" s="440"/>
      <c r="H31" s="416"/>
      <c r="I31" s="81">
        <v>11</v>
      </c>
      <c r="K31" s="364"/>
      <c r="L31" s="413"/>
      <c r="M31" s="396"/>
      <c r="N31" s="532"/>
      <c r="O31" s="533"/>
      <c r="P31" s="533"/>
    </row>
    <row r="32" spans="1:16" ht="13.8" x14ac:dyDescent="0.25">
      <c r="A32" s="708"/>
      <c r="B32" s="708"/>
      <c r="C32" s="708"/>
      <c r="D32" s="522"/>
      <c r="E32" s="543"/>
      <c r="F32" s="407"/>
      <c r="G32" s="440"/>
      <c r="H32" s="416"/>
      <c r="I32" s="81">
        <v>12</v>
      </c>
      <c r="J32" s="203"/>
      <c r="K32" s="364"/>
      <c r="L32" s="413"/>
      <c r="M32" s="396"/>
      <c r="N32" s="532"/>
      <c r="O32" s="533"/>
      <c r="P32" s="533"/>
    </row>
    <row r="33" spans="1:16" ht="73.5" customHeight="1" thickBot="1" x14ac:dyDescent="0.3">
      <c r="A33" s="708"/>
      <c r="B33" s="708"/>
      <c r="C33" s="708"/>
      <c r="D33" s="522"/>
      <c r="E33" s="543"/>
      <c r="F33" s="407"/>
      <c r="G33" s="441"/>
      <c r="H33" s="416"/>
      <c r="I33" s="81">
        <v>13</v>
      </c>
      <c r="J33" s="199"/>
      <c r="K33" s="364"/>
      <c r="L33" s="413"/>
      <c r="M33" s="396"/>
      <c r="N33" s="532"/>
      <c r="O33" s="533"/>
      <c r="P33" s="533"/>
    </row>
    <row r="34" spans="1:16" ht="13.8" x14ac:dyDescent="0.25">
      <c r="A34" s="707">
        <v>2</v>
      </c>
      <c r="B34" s="707" t="s">
        <v>277</v>
      </c>
      <c r="C34" s="707" t="s">
        <v>278</v>
      </c>
      <c r="D34" s="521" t="str">
        <f>+LEFT(E34,4)</f>
        <v>10.2</v>
      </c>
      <c r="E34" s="634" t="s">
        <v>280</v>
      </c>
      <c r="F34" s="406" t="s">
        <v>252</v>
      </c>
      <c r="G34" s="421" t="s">
        <v>884</v>
      </c>
      <c r="H34" s="415">
        <v>3</v>
      </c>
      <c r="I34" s="83">
        <v>1</v>
      </c>
      <c r="J34" t="s">
        <v>837</v>
      </c>
      <c r="K34" s="363" t="s">
        <v>875</v>
      </c>
      <c r="L34" s="412">
        <v>2</v>
      </c>
      <c r="M34" s="513" t="str">
        <f>+IF(OR(ISBLANK(H34),ISBLANK(L34)),"",IF(OR(AND(H34=1,L34=1),AND(H34=1,L34=2),AND(H34=1,L34=3)),"Deficiencia de control mayor (diseño y ejecución)",IF(OR(AND(H34=2,L34=2),AND(H34=3,L34=1),AND(H34=3,L34=2),AND(H34=2,L34=1)),"Deficiencia de control (diseño o ejecución)",IF(AND(H34=2,L34=3),"Oportunidad de mejora","Mantenimiento del control"))))</f>
        <v>Deficiencia de control (diseño o ejecución)</v>
      </c>
      <c r="N34" s="532">
        <f>+IF(M34="",152,IF(M34="Deficiencia de control mayor (diseño y ejecución)",160,IF(M34="Deficiencia de control (diseño o ejecución)",180,IF(M34="Oportunidad de mejora",200,220))))</f>
        <v>180</v>
      </c>
      <c r="O34" s="533">
        <v>3.5478000000000001</v>
      </c>
      <c r="P34" s="533">
        <f>+N34+O34</f>
        <v>183.5478</v>
      </c>
    </row>
    <row r="35" spans="1:16" ht="13.8" x14ac:dyDescent="0.25">
      <c r="A35" s="709"/>
      <c r="B35" s="709"/>
      <c r="C35" s="709"/>
      <c r="D35" s="703"/>
      <c r="E35" s="634"/>
      <c r="F35" s="407"/>
      <c r="G35" s="635"/>
      <c r="H35" s="636"/>
      <c r="I35" s="230">
        <v>2</v>
      </c>
      <c r="J35" t="s">
        <v>876</v>
      </c>
      <c r="K35" s="866"/>
      <c r="L35" s="637"/>
      <c r="M35" s="395"/>
      <c r="N35" s="532"/>
      <c r="O35" s="533"/>
      <c r="P35" s="533"/>
    </row>
    <row r="36" spans="1:16" ht="24" customHeight="1" x14ac:dyDescent="0.25">
      <c r="A36" s="709"/>
      <c r="B36" s="709"/>
      <c r="C36" s="709"/>
      <c r="D36" s="703"/>
      <c r="E36" s="634"/>
      <c r="F36" s="407"/>
      <c r="G36" s="635"/>
      <c r="H36" s="636"/>
      <c r="I36" s="230">
        <v>3</v>
      </c>
      <c r="J36" t="s">
        <v>877</v>
      </c>
      <c r="K36" s="866"/>
      <c r="L36" s="637"/>
      <c r="M36" s="395"/>
      <c r="N36" s="532"/>
      <c r="O36" s="533"/>
      <c r="P36" s="533"/>
    </row>
    <row r="37" spans="1:16" ht="24" customHeight="1" x14ac:dyDescent="0.25">
      <c r="A37" s="709"/>
      <c r="B37" s="709"/>
      <c r="C37" s="709"/>
      <c r="D37" s="703"/>
      <c r="E37" s="634"/>
      <c r="F37" s="407"/>
      <c r="G37" s="635"/>
      <c r="H37" s="636"/>
      <c r="I37" s="230">
        <v>4</v>
      </c>
      <c r="J37" t="s">
        <v>878</v>
      </c>
      <c r="K37" s="866"/>
      <c r="L37" s="637"/>
      <c r="M37" s="395"/>
      <c r="N37" s="532"/>
      <c r="O37" s="533"/>
      <c r="P37" s="533"/>
    </row>
    <row r="38" spans="1:16" ht="24" customHeight="1" x14ac:dyDescent="0.25">
      <c r="A38" s="709"/>
      <c r="B38" s="709"/>
      <c r="C38" s="709"/>
      <c r="D38" s="703"/>
      <c r="E38" s="634"/>
      <c r="F38" s="407"/>
      <c r="G38" s="635"/>
      <c r="H38" s="636"/>
      <c r="I38" s="230">
        <v>5</v>
      </c>
      <c r="J38" t="s">
        <v>879</v>
      </c>
      <c r="K38" s="866"/>
      <c r="L38" s="637"/>
      <c r="M38" s="395"/>
      <c r="N38" s="532"/>
      <c r="O38" s="533"/>
      <c r="P38" s="533"/>
    </row>
    <row r="39" spans="1:16" ht="24" customHeight="1" x14ac:dyDescent="0.25">
      <c r="A39" s="709"/>
      <c r="B39" s="709"/>
      <c r="C39" s="709"/>
      <c r="D39" s="703"/>
      <c r="E39" s="634"/>
      <c r="F39" s="407"/>
      <c r="G39" s="635"/>
      <c r="H39" s="636"/>
      <c r="I39" s="230">
        <v>6</v>
      </c>
      <c r="J39" t="s">
        <v>880</v>
      </c>
      <c r="K39" s="866"/>
      <c r="L39" s="637"/>
      <c r="M39" s="395"/>
      <c r="N39" s="532"/>
      <c r="O39" s="533"/>
      <c r="P39" s="533"/>
    </row>
    <row r="40" spans="1:16" ht="20.25" customHeight="1" x14ac:dyDescent="0.25">
      <c r="A40" s="709"/>
      <c r="B40" s="709"/>
      <c r="C40" s="709"/>
      <c r="D40" s="703"/>
      <c r="E40" s="634"/>
      <c r="F40" s="407"/>
      <c r="G40" s="635"/>
      <c r="H40" s="636"/>
      <c r="I40" s="230">
        <v>7</v>
      </c>
      <c r="J40" t="s">
        <v>881</v>
      </c>
      <c r="K40" s="866"/>
      <c r="L40" s="637"/>
      <c r="M40" s="395"/>
      <c r="N40" s="532"/>
      <c r="O40" s="533"/>
      <c r="P40" s="533"/>
    </row>
    <row r="41" spans="1:16" ht="18" customHeight="1" x14ac:dyDescent="0.25">
      <c r="A41" s="709"/>
      <c r="B41" s="709"/>
      <c r="C41" s="709"/>
      <c r="D41" s="703"/>
      <c r="E41" s="634"/>
      <c r="F41" s="407"/>
      <c r="G41" s="635"/>
      <c r="H41" s="636"/>
      <c r="I41" s="230">
        <v>8</v>
      </c>
      <c r="J41" t="s">
        <v>882</v>
      </c>
      <c r="K41" s="866"/>
      <c r="L41" s="637"/>
      <c r="M41" s="395"/>
      <c r="N41" s="532"/>
      <c r="O41" s="533"/>
      <c r="P41" s="533"/>
    </row>
    <row r="42" spans="1:16" ht="18" customHeight="1" x14ac:dyDescent="0.25">
      <c r="A42" s="709"/>
      <c r="B42" s="709"/>
      <c r="C42" s="709"/>
      <c r="D42" s="703"/>
      <c r="E42" s="634"/>
      <c r="F42" s="407"/>
      <c r="G42" s="635"/>
      <c r="H42" s="636"/>
      <c r="I42" s="230">
        <v>9</v>
      </c>
      <c r="J42" t="s">
        <v>883</v>
      </c>
      <c r="K42" s="866"/>
      <c r="L42" s="637"/>
      <c r="M42" s="395"/>
      <c r="N42" s="532"/>
      <c r="O42" s="533"/>
      <c r="P42" s="533"/>
    </row>
    <row r="43" spans="1:16" ht="18" customHeight="1" x14ac:dyDescent="0.25">
      <c r="A43" s="709"/>
      <c r="B43" s="709"/>
      <c r="C43" s="709"/>
      <c r="D43" s="703"/>
      <c r="E43" s="634"/>
      <c r="F43" s="407"/>
      <c r="G43" s="635"/>
      <c r="H43" s="636"/>
      <c r="I43" s="230">
        <v>10</v>
      </c>
      <c r="J43" s="203"/>
      <c r="K43" s="866"/>
      <c r="L43" s="637"/>
      <c r="M43" s="395"/>
      <c r="N43" s="532"/>
      <c r="O43" s="533"/>
      <c r="P43" s="533"/>
    </row>
    <row r="44" spans="1:16" ht="18" customHeight="1" x14ac:dyDescent="0.25">
      <c r="A44" s="709"/>
      <c r="B44" s="709"/>
      <c r="C44" s="709"/>
      <c r="D44" s="703"/>
      <c r="E44" s="634"/>
      <c r="F44" s="407"/>
      <c r="G44" s="635"/>
      <c r="H44" s="636"/>
      <c r="I44" s="230">
        <v>11</v>
      </c>
      <c r="J44" s="197"/>
      <c r="K44" s="866"/>
      <c r="L44" s="637"/>
      <c r="M44" s="395"/>
      <c r="N44" s="532"/>
      <c r="O44" s="533"/>
      <c r="P44" s="533"/>
    </row>
    <row r="45" spans="1:16" ht="193.5" customHeight="1" thickBot="1" x14ac:dyDescent="0.3">
      <c r="A45" s="708"/>
      <c r="B45" s="708"/>
      <c r="C45" s="708"/>
      <c r="D45" s="522"/>
      <c r="E45" s="543"/>
      <c r="F45" s="407"/>
      <c r="G45" s="422"/>
      <c r="H45" s="416"/>
      <c r="I45" s="214"/>
      <c r="J45" s="81"/>
      <c r="K45" s="866"/>
      <c r="L45" s="413"/>
      <c r="M45" s="396"/>
      <c r="N45" s="532"/>
      <c r="O45" s="533"/>
      <c r="P45" s="533"/>
    </row>
    <row r="46" spans="1:16" ht="21" customHeight="1" x14ac:dyDescent="0.25">
      <c r="A46" s="710">
        <v>3</v>
      </c>
      <c r="B46" s="707" t="s">
        <v>282</v>
      </c>
      <c r="C46" s="707" t="s">
        <v>283</v>
      </c>
      <c r="D46" s="521" t="str">
        <f>+LEFT(E46,4)</f>
        <v>10.3</v>
      </c>
      <c r="E46" s="542" t="s">
        <v>284</v>
      </c>
      <c r="F46" s="406" t="s">
        <v>285</v>
      </c>
      <c r="G46" s="421" t="s">
        <v>886</v>
      </c>
      <c r="H46" s="415">
        <v>3</v>
      </c>
      <c r="I46" s="83">
        <v>1</v>
      </c>
      <c r="J46" s="240" t="s">
        <v>159</v>
      </c>
      <c r="K46" s="363" t="s">
        <v>887</v>
      </c>
      <c r="L46" s="412">
        <v>3</v>
      </c>
      <c r="M46" s="513" t="str">
        <f>+IF(OR(ISBLANK(H46),ISBLANK(L46)),"",IF(OR(AND(H46=1,L46=1),AND(H46=1,L46=2),AND(H46=1,L46=3)),"Deficiencia de control mayor (diseño y ejecución)",IF(OR(AND(H46=2,L46=2),AND(H46=3,L46=1),AND(H46=3,L46=2),AND(H46=2,L46=1)),"Deficiencia de control (diseño o ejecución)",IF(AND(H46=2,L46=3),"Oportunidad de mejora","Mantenimiento del control"))))</f>
        <v>Mantenimiento del control</v>
      </c>
      <c r="N46" s="532">
        <f>+IF(M46="",152,IF(M46="Deficiencia de control mayor (diseño y ejecución)",160,IF(M46="Deficiencia de control (diseño o ejecución)",180,IF(M46="Oportunidad de mejora",200,220))))</f>
        <v>220</v>
      </c>
      <c r="O46" s="533">
        <v>3.6457999999999999</v>
      </c>
      <c r="P46" s="533">
        <f>+N46+O46</f>
        <v>223.64580000000001</v>
      </c>
    </row>
    <row r="47" spans="1:16" ht="14.4" thickBot="1" x14ac:dyDescent="0.3">
      <c r="A47" s="711"/>
      <c r="B47" s="708"/>
      <c r="C47" s="708"/>
      <c r="D47" s="522"/>
      <c r="E47" s="543"/>
      <c r="F47" s="407"/>
      <c r="G47" s="422"/>
      <c r="H47" s="416"/>
      <c r="I47" s="81">
        <v>2</v>
      </c>
      <c r="J47" s="197" t="s">
        <v>286</v>
      </c>
      <c r="K47" s="364"/>
      <c r="L47" s="413"/>
      <c r="M47" s="396"/>
      <c r="N47" s="532"/>
      <c r="O47" s="533"/>
      <c r="P47" s="533"/>
    </row>
    <row r="48" spans="1:16" ht="14.4" thickBot="1" x14ac:dyDescent="0.3">
      <c r="A48" s="711"/>
      <c r="B48" s="708"/>
      <c r="C48" s="708"/>
      <c r="D48" s="522"/>
      <c r="E48" s="543"/>
      <c r="F48" s="407"/>
      <c r="G48" s="422"/>
      <c r="H48" s="416"/>
      <c r="I48" s="81">
        <v>3</v>
      </c>
      <c r="J48" s="240" t="s">
        <v>142</v>
      </c>
      <c r="K48" s="364"/>
      <c r="L48" s="413"/>
      <c r="M48" s="396"/>
      <c r="N48" s="532"/>
      <c r="O48" s="533"/>
      <c r="P48" s="533"/>
    </row>
    <row r="49" spans="1:16" ht="13.8" x14ac:dyDescent="0.25">
      <c r="A49" s="711"/>
      <c r="B49" s="708"/>
      <c r="C49" s="708"/>
      <c r="D49" s="522"/>
      <c r="E49" s="543"/>
      <c r="F49" s="407"/>
      <c r="G49" s="422"/>
      <c r="H49" s="416"/>
      <c r="I49" s="81">
        <v>4</v>
      </c>
      <c r="J49" s="240" t="s">
        <v>287</v>
      </c>
      <c r="K49" s="364"/>
      <c r="L49" s="413"/>
      <c r="M49" s="396"/>
      <c r="N49" s="532"/>
      <c r="O49" s="533"/>
      <c r="P49" s="533"/>
    </row>
    <row r="50" spans="1:16" ht="13.8" x14ac:dyDescent="0.25">
      <c r="A50" s="711"/>
      <c r="B50" s="708"/>
      <c r="C50" s="708"/>
      <c r="D50" s="522"/>
      <c r="E50" s="543"/>
      <c r="F50" s="407"/>
      <c r="G50" s="422"/>
      <c r="H50" s="416"/>
      <c r="I50" s="81">
        <v>5</v>
      </c>
      <c r="J50" s="270" t="s">
        <v>885</v>
      </c>
      <c r="K50" s="364"/>
      <c r="L50" s="413"/>
      <c r="M50" s="396"/>
      <c r="N50" s="532"/>
      <c r="O50" s="533"/>
      <c r="P50" s="533"/>
    </row>
    <row r="51" spans="1:16" ht="21" customHeight="1" x14ac:dyDescent="0.25">
      <c r="A51" s="711"/>
      <c r="B51" s="708"/>
      <c r="C51" s="708"/>
      <c r="D51" s="522"/>
      <c r="E51" s="543"/>
      <c r="F51" s="407"/>
      <c r="G51" s="422"/>
      <c r="H51" s="416"/>
      <c r="I51" s="81"/>
      <c r="J51"/>
      <c r="K51" s="364"/>
      <c r="L51" s="413"/>
      <c r="M51" s="396"/>
      <c r="N51" s="532"/>
      <c r="O51" s="533"/>
      <c r="P51" s="533"/>
    </row>
    <row r="52" spans="1:16" ht="21" customHeight="1" x14ac:dyDescent="0.25">
      <c r="A52" s="711"/>
      <c r="B52" s="708"/>
      <c r="C52" s="708"/>
      <c r="D52" s="522"/>
      <c r="E52" s="543"/>
      <c r="F52" s="407"/>
      <c r="G52" s="422"/>
      <c r="H52" s="416"/>
      <c r="I52" s="81"/>
      <c r="J52" s="81"/>
      <c r="K52" s="364"/>
      <c r="L52" s="413"/>
      <c r="M52" s="396"/>
      <c r="N52" s="532"/>
      <c r="O52" s="533"/>
      <c r="P52" s="533"/>
    </row>
    <row r="53" spans="1:16" ht="57" customHeight="1" thickBot="1" x14ac:dyDescent="0.3">
      <c r="A53" s="712"/>
      <c r="B53" s="713"/>
      <c r="C53" s="713"/>
      <c r="D53" s="523"/>
      <c r="E53" s="544"/>
      <c r="F53" s="408"/>
      <c r="G53" s="423"/>
      <c r="H53" s="417"/>
      <c r="I53" s="82"/>
      <c r="J53" s="82"/>
      <c r="K53" s="380"/>
      <c r="L53" s="414"/>
      <c r="M53" s="398"/>
      <c r="N53" s="532"/>
      <c r="O53" s="533"/>
      <c r="P53" s="533"/>
    </row>
    <row r="54" spans="1:16" ht="27" customHeight="1" x14ac:dyDescent="0.25">
      <c r="A54" s="714"/>
      <c r="B54" s="638"/>
      <c r="C54" s="638"/>
      <c r="D54" s="704"/>
      <c r="E54" s="638" t="s">
        <v>288</v>
      </c>
      <c r="F54" s="641" t="s">
        <v>8</v>
      </c>
      <c r="G54" s="644" t="s">
        <v>272</v>
      </c>
      <c r="H54" s="647" t="s">
        <v>220</v>
      </c>
      <c r="I54" s="650" t="s">
        <v>116</v>
      </c>
      <c r="J54" s="651"/>
      <c r="K54" s="652"/>
      <c r="L54" s="647" t="s">
        <v>273</v>
      </c>
      <c r="M54" s="686" t="s">
        <v>152</v>
      </c>
      <c r="N54" s="633"/>
      <c r="O54" s="569"/>
      <c r="P54" s="569"/>
    </row>
    <row r="55" spans="1:16" ht="33" customHeight="1" x14ac:dyDescent="0.25">
      <c r="A55" s="715"/>
      <c r="B55" s="639"/>
      <c r="C55" s="639"/>
      <c r="D55" s="705"/>
      <c r="E55" s="639"/>
      <c r="F55" s="642"/>
      <c r="G55" s="645"/>
      <c r="H55" s="648"/>
      <c r="I55" s="653" t="s">
        <v>13</v>
      </c>
      <c r="J55" s="679" t="s">
        <v>15</v>
      </c>
      <c r="K55" s="655" t="s">
        <v>222</v>
      </c>
      <c r="L55" s="648"/>
      <c r="M55" s="687"/>
      <c r="N55" s="633"/>
      <c r="O55" s="569"/>
      <c r="P55" s="569"/>
    </row>
    <row r="56" spans="1:16" ht="75" customHeight="1" thickBot="1" x14ac:dyDescent="0.3">
      <c r="A56" s="716"/>
      <c r="B56" s="640"/>
      <c r="C56" s="640"/>
      <c r="D56" s="706"/>
      <c r="E56" s="640"/>
      <c r="F56" s="643"/>
      <c r="G56" s="646"/>
      <c r="H56" s="649"/>
      <c r="I56" s="654"/>
      <c r="J56" s="645"/>
      <c r="K56" s="656"/>
      <c r="L56" s="649"/>
      <c r="M56" s="688"/>
      <c r="N56" s="633"/>
      <c r="O56" s="569"/>
      <c r="P56" s="569"/>
    </row>
    <row r="57" spans="1:16" ht="13.8" x14ac:dyDescent="0.25">
      <c r="A57" s="710">
        <v>4</v>
      </c>
      <c r="B57" s="707" t="s">
        <v>289</v>
      </c>
      <c r="C57" s="707" t="s">
        <v>290</v>
      </c>
      <c r="D57" s="521" t="str">
        <f>+LEFT(E57,4)</f>
        <v>11.1</v>
      </c>
      <c r="E57" s="542" t="s">
        <v>291</v>
      </c>
      <c r="F57" s="406" t="s">
        <v>292</v>
      </c>
      <c r="G57" s="370" t="s">
        <v>888</v>
      </c>
      <c r="H57" s="412">
        <v>3</v>
      </c>
      <c r="I57" s="215">
        <v>1</v>
      </c>
      <c r="J57" t="s">
        <v>890</v>
      </c>
      <c r="K57" s="508" t="s">
        <v>889</v>
      </c>
      <c r="L57" s="412">
        <v>3</v>
      </c>
      <c r="M57" s="513" t="str">
        <f>+IF(OR(ISBLANK(H57),ISBLANK(L57)),"",IF(OR(AND(H57=1,L57=1),AND(H57=1,L57=2),AND(H57=1,L57=3)),"Deficiencia de control mayor (diseño y ejecución)",IF(OR(AND(H57=2,L57=2),AND(H57=3,L57=1),AND(H57=3,L57=2),AND(H57=2,L57=1)),"Deficiencia de control (diseño o ejecución)",IF(AND(H57=2,L57=3),"Oportunidad de mejora","Mantenimiento del control"))))</f>
        <v>Mantenimiento del control</v>
      </c>
      <c r="N57" s="532">
        <f>+IF(M57="",152,IF(M57="Deficiencia de control mayor (diseño y ejecución)",160,IF(M57="Deficiencia de control (diseño o ejecución)",180,IF(M57="Oportunidad de mejora",200,220))))</f>
        <v>220</v>
      </c>
      <c r="O57" s="533">
        <v>3.7896000000000001</v>
      </c>
      <c r="P57" s="533">
        <f>+N57+O57</f>
        <v>223.78960000000001</v>
      </c>
    </row>
    <row r="58" spans="1:16" ht="21" customHeight="1" x14ac:dyDescent="0.25">
      <c r="A58" s="711"/>
      <c r="B58" s="708"/>
      <c r="C58" s="708"/>
      <c r="D58" s="522"/>
      <c r="E58" s="543"/>
      <c r="F58" s="407"/>
      <c r="G58" s="372"/>
      <c r="H58" s="413"/>
      <c r="I58" s="214">
        <v>2</v>
      </c>
      <c r="J58" t="s">
        <v>891</v>
      </c>
      <c r="K58" s="371"/>
      <c r="L58" s="413"/>
      <c r="M58" s="396"/>
      <c r="N58" s="532"/>
      <c r="O58" s="533"/>
      <c r="P58" s="533"/>
    </row>
    <row r="59" spans="1:16" ht="13.8" x14ac:dyDescent="0.25">
      <c r="A59" s="711"/>
      <c r="B59" s="708"/>
      <c r="C59" s="708"/>
      <c r="D59" s="522"/>
      <c r="E59" s="543"/>
      <c r="F59" s="407"/>
      <c r="G59" s="372"/>
      <c r="H59" s="413"/>
      <c r="I59" s="214">
        <v>3</v>
      </c>
      <c r="J59" t="s">
        <v>892</v>
      </c>
      <c r="K59" s="371"/>
      <c r="L59" s="413"/>
      <c r="M59" s="396"/>
      <c r="N59" s="532"/>
      <c r="O59" s="533"/>
      <c r="P59" s="533"/>
    </row>
    <row r="60" spans="1:16" ht="13.8" x14ac:dyDescent="0.25">
      <c r="A60" s="711"/>
      <c r="B60" s="708"/>
      <c r="C60" s="708"/>
      <c r="D60" s="522"/>
      <c r="E60" s="543"/>
      <c r="F60" s="407"/>
      <c r="G60" s="372"/>
      <c r="H60" s="413"/>
      <c r="I60" s="214"/>
      <c r="J60" t="s">
        <v>893</v>
      </c>
      <c r="K60" s="371"/>
      <c r="L60" s="413"/>
      <c r="M60" s="396"/>
      <c r="N60" s="532"/>
      <c r="O60" s="533"/>
      <c r="P60" s="533"/>
    </row>
    <row r="61" spans="1:16" ht="13.8" x14ac:dyDescent="0.25">
      <c r="A61" s="711"/>
      <c r="B61" s="708"/>
      <c r="C61" s="708"/>
      <c r="D61" s="522"/>
      <c r="E61" s="543"/>
      <c r="F61" s="407"/>
      <c r="G61" s="372"/>
      <c r="H61" s="413"/>
      <c r="I61" s="214">
        <v>4</v>
      </c>
      <c r="J61" t="s">
        <v>894</v>
      </c>
      <c r="K61" s="371"/>
      <c r="L61" s="413"/>
      <c r="M61" s="396"/>
      <c r="N61" s="532"/>
      <c r="O61" s="533"/>
      <c r="P61" s="533"/>
    </row>
    <row r="62" spans="1:16" ht="21" customHeight="1" x14ac:dyDescent="0.25">
      <c r="A62" s="711"/>
      <c r="B62" s="708"/>
      <c r="C62" s="708"/>
      <c r="D62" s="522"/>
      <c r="E62" s="543"/>
      <c r="F62" s="407"/>
      <c r="G62" s="372"/>
      <c r="H62" s="413"/>
      <c r="I62" s="81">
        <v>5</v>
      </c>
      <c r="J62" t="s">
        <v>895</v>
      </c>
      <c r="K62" s="372"/>
      <c r="L62" s="413"/>
      <c r="M62" s="396"/>
      <c r="N62" s="532"/>
      <c r="O62" s="533"/>
      <c r="P62" s="533"/>
    </row>
    <row r="63" spans="1:16" ht="28.2" customHeight="1" x14ac:dyDescent="0.25">
      <c r="A63" s="711"/>
      <c r="B63" s="708"/>
      <c r="C63" s="708"/>
      <c r="D63" s="522"/>
      <c r="E63" s="543"/>
      <c r="F63" s="407"/>
      <c r="G63" s="372"/>
      <c r="H63" s="413"/>
      <c r="I63" s="81">
        <v>6</v>
      </c>
      <c r="J63" t="s">
        <v>896</v>
      </c>
      <c r="K63" s="372"/>
      <c r="L63" s="413"/>
      <c r="M63" s="396"/>
      <c r="N63" s="532"/>
      <c r="O63" s="533"/>
      <c r="P63" s="533"/>
    </row>
    <row r="64" spans="1:16" ht="21" customHeight="1" x14ac:dyDescent="0.25">
      <c r="A64" s="711"/>
      <c r="B64" s="708"/>
      <c r="C64" s="708"/>
      <c r="D64" s="522"/>
      <c r="E64" s="543"/>
      <c r="F64" s="407"/>
      <c r="G64" s="372"/>
      <c r="H64" s="413"/>
      <c r="I64" s="81">
        <v>7</v>
      </c>
      <c r="J64" t="s">
        <v>897</v>
      </c>
      <c r="K64" s="372"/>
      <c r="L64" s="413"/>
      <c r="M64" s="396"/>
      <c r="N64" s="532"/>
      <c r="O64" s="533"/>
      <c r="P64" s="533"/>
    </row>
    <row r="65" spans="1:16" ht="21" customHeight="1" x14ac:dyDescent="0.25">
      <c r="A65" s="717"/>
      <c r="B65" s="718"/>
      <c r="C65" s="718"/>
      <c r="D65" s="699"/>
      <c r="E65" s="657"/>
      <c r="F65" s="407"/>
      <c r="G65" s="372"/>
      <c r="H65" s="575"/>
      <c r="I65" s="200">
        <v>8</v>
      </c>
      <c r="J65" t="s">
        <v>898</v>
      </c>
      <c r="K65" s="372"/>
      <c r="L65" s="575"/>
      <c r="M65" s="397"/>
      <c r="N65" s="532"/>
      <c r="O65" s="533"/>
      <c r="P65" s="533"/>
    </row>
    <row r="66" spans="1:16" ht="21" customHeight="1" x14ac:dyDescent="0.25">
      <c r="A66" s="717"/>
      <c r="B66" s="718"/>
      <c r="C66" s="718"/>
      <c r="D66" s="699"/>
      <c r="E66" s="657"/>
      <c r="F66" s="407"/>
      <c r="G66" s="372"/>
      <c r="H66" s="575"/>
      <c r="I66" s="200">
        <v>9</v>
      </c>
      <c r="J66" t="s">
        <v>847</v>
      </c>
      <c r="K66" s="372"/>
      <c r="L66" s="575"/>
      <c r="M66" s="397"/>
      <c r="N66" s="532"/>
      <c r="O66" s="533"/>
      <c r="P66" s="533"/>
    </row>
    <row r="67" spans="1:16" ht="21" customHeight="1" x14ac:dyDescent="0.25">
      <c r="A67" s="717"/>
      <c r="B67" s="718"/>
      <c r="C67" s="718"/>
      <c r="D67" s="699"/>
      <c r="E67" s="657"/>
      <c r="F67" s="407"/>
      <c r="G67" s="372"/>
      <c r="H67" s="575"/>
      <c r="I67" s="200">
        <v>10</v>
      </c>
      <c r="J67" t="s">
        <v>899</v>
      </c>
      <c r="K67" s="372"/>
      <c r="L67" s="575"/>
      <c r="M67" s="397"/>
      <c r="N67" s="532"/>
      <c r="O67" s="533"/>
      <c r="P67" s="533"/>
    </row>
    <row r="68" spans="1:16" ht="21" customHeight="1" x14ac:dyDescent="0.25">
      <c r="A68" s="717"/>
      <c r="B68" s="718"/>
      <c r="C68" s="718"/>
      <c r="D68" s="699"/>
      <c r="E68" s="657"/>
      <c r="F68" s="407"/>
      <c r="G68" s="372"/>
      <c r="H68" s="575"/>
      <c r="I68" s="200">
        <v>11</v>
      </c>
      <c r="J68" t="s">
        <v>900</v>
      </c>
      <c r="K68" s="372"/>
      <c r="L68" s="575"/>
      <c r="M68" s="397"/>
      <c r="N68" s="532"/>
      <c r="O68" s="533"/>
      <c r="P68" s="533"/>
    </row>
    <row r="69" spans="1:16" ht="21" customHeight="1" x14ac:dyDescent="0.25">
      <c r="A69" s="717"/>
      <c r="B69" s="718"/>
      <c r="C69" s="718"/>
      <c r="D69" s="699"/>
      <c r="E69" s="657"/>
      <c r="F69" s="407"/>
      <c r="G69" s="372"/>
      <c r="H69" s="575"/>
      <c r="I69" s="200"/>
      <c r="J69" s="271"/>
      <c r="K69" s="372"/>
      <c r="L69" s="575"/>
      <c r="M69" s="397"/>
      <c r="N69" s="532"/>
      <c r="O69" s="533"/>
      <c r="P69" s="533"/>
    </row>
    <row r="70" spans="1:16" ht="21" customHeight="1" x14ac:dyDescent="0.25">
      <c r="A70" s="717"/>
      <c r="B70" s="718"/>
      <c r="C70" s="718"/>
      <c r="D70" s="699"/>
      <c r="E70" s="657"/>
      <c r="F70" s="407"/>
      <c r="G70" s="372"/>
      <c r="H70" s="575"/>
      <c r="I70" s="200"/>
      <c r="J70" s="271"/>
      <c r="K70" s="372"/>
      <c r="L70" s="575"/>
      <c r="M70" s="397"/>
      <c r="N70" s="532"/>
      <c r="O70" s="533"/>
      <c r="P70" s="533"/>
    </row>
    <row r="71" spans="1:16" ht="14.4" thickBot="1" x14ac:dyDescent="0.3">
      <c r="A71" s="712"/>
      <c r="B71" s="713"/>
      <c r="C71" s="713"/>
      <c r="D71" s="523"/>
      <c r="E71" s="544"/>
      <c r="F71" s="408"/>
      <c r="G71" s="373"/>
      <c r="H71" s="414"/>
      <c r="I71" s="82"/>
      <c r="J71" s="82"/>
      <c r="K71" s="373"/>
      <c r="L71" s="414"/>
      <c r="M71" s="398"/>
      <c r="N71" s="532"/>
      <c r="O71" s="533"/>
      <c r="P71" s="533"/>
    </row>
    <row r="72" spans="1:16" ht="21.75" customHeight="1" x14ac:dyDescent="0.25">
      <c r="A72" s="710">
        <v>5</v>
      </c>
      <c r="B72" s="707" t="s">
        <v>289</v>
      </c>
      <c r="C72" s="707" t="s">
        <v>290</v>
      </c>
      <c r="D72" s="521" t="str">
        <f>+LEFT(E72,4)</f>
        <v>11.2</v>
      </c>
      <c r="E72" s="542" t="s">
        <v>294</v>
      </c>
      <c r="F72" s="406" t="s">
        <v>292</v>
      </c>
      <c r="G72" s="370" t="s">
        <v>295</v>
      </c>
      <c r="H72" s="412">
        <v>3</v>
      </c>
      <c r="I72" s="83">
        <v>1</v>
      </c>
      <c r="J72" t="s">
        <v>902</v>
      </c>
      <c r="K72" s="370" t="s">
        <v>901</v>
      </c>
      <c r="L72" s="412">
        <v>3</v>
      </c>
      <c r="M72" s="513" t="str">
        <f>+IF(OR(ISBLANK(H72),ISBLANK(L72)),"",IF(OR(AND(H72=1,L72=1),AND(H72=1,L72=2),AND(H72=1,L72=3)),"Deficiencia de control mayor (diseño y ejecución)",IF(OR(AND(H72=2,L72=2),AND(H72=3,L72=1),AND(H72=3,L72=2),AND(H72=2,L72=1)),"Deficiencia de control (diseño o ejecución)",IF(AND(H72=2,L72=3),"Oportunidad de mejora","Mantenimiento del control"))))</f>
        <v>Mantenimiento del control</v>
      </c>
      <c r="N72" s="532">
        <f>+IF(M72="",152,IF(M72="Deficiencia de control mayor (diseño y ejecución)",160,IF(M72="Deficiencia de control (diseño o ejecución)",180,IF(M72="Oportunidad de mejora",200,220))))</f>
        <v>220</v>
      </c>
      <c r="O72" s="533">
        <v>3.8456000000000001</v>
      </c>
      <c r="P72" s="533">
        <f>+N72+O72</f>
        <v>223.84559999999999</v>
      </c>
    </row>
    <row r="73" spans="1:16" ht="21.75" customHeight="1" x14ac:dyDescent="0.25">
      <c r="A73" s="711"/>
      <c r="B73" s="708"/>
      <c r="C73" s="708"/>
      <c r="D73" s="522"/>
      <c r="E73" s="543"/>
      <c r="F73" s="407"/>
      <c r="G73" s="372"/>
      <c r="H73" s="413"/>
      <c r="I73" s="81">
        <v>2</v>
      </c>
      <c r="J73" t="s">
        <v>903</v>
      </c>
      <c r="K73" s="372"/>
      <c r="L73" s="413"/>
      <c r="M73" s="396"/>
      <c r="N73" s="532"/>
      <c r="O73" s="533"/>
      <c r="P73" s="533"/>
    </row>
    <row r="74" spans="1:16" ht="21.75" customHeight="1" x14ac:dyDescent="0.25">
      <c r="A74" s="711"/>
      <c r="B74" s="708"/>
      <c r="C74" s="708"/>
      <c r="D74" s="522"/>
      <c r="E74" s="543"/>
      <c r="F74" s="407"/>
      <c r="G74" s="372"/>
      <c r="H74" s="413"/>
      <c r="I74" s="81">
        <v>3</v>
      </c>
      <c r="J74" t="s">
        <v>904</v>
      </c>
      <c r="K74" s="372"/>
      <c r="L74" s="413"/>
      <c r="M74" s="396"/>
      <c r="N74" s="532"/>
      <c r="O74" s="533"/>
      <c r="P74" s="533"/>
    </row>
    <row r="75" spans="1:16" ht="21.75" customHeight="1" x14ac:dyDescent="0.25">
      <c r="A75" s="711"/>
      <c r="B75" s="708"/>
      <c r="C75" s="708"/>
      <c r="D75" s="522"/>
      <c r="E75" s="543"/>
      <c r="F75" s="407"/>
      <c r="G75" s="372"/>
      <c r="H75" s="413"/>
      <c r="I75" s="81">
        <v>4</v>
      </c>
      <c r="J75" t="s">
        <v>876</v>
      </c>
      <c r="K75" s="372"/>
      <c r="L75" s="413"/>
      <c r="M75" s="396"/>
      <c r="N75" s="532"/>
      <c r="O75" s="533"/>
      <c r="P75" s="533"/>
    </row>
    <row r="76" spans="1:16" ht="21.75" customHeight="1" x14ac:dyDescent="0.25">
      <c r="A76" s="711"/>
      <c r="B76" s="708"/>
      <c r="C76" s="708"/>
      <c r="D76" s="522"/>
      <c r="E76" s="543"/>
      <c r="F76" s="407"/>
      <c r="G76" s="372"/>
      <c r="H76" s="413"/>
      <c r="I76" s="81">
        <v>5</v>
      </c>
      <c r="J76" t="s">
        <v>877</v>
      </c>
      <c r="K76" s="372"/>
      <c r="L76" s="413"/>
      <c r="M76" s="396"/>
      <c r="N76" s="532"/>
      <c r="O76" s="533"/>
      <c r="P76" s="533"/>
    </row>
    <row r="77" spans="1:16" ht="21.75" customHeight="1" x14ac:dyDescent="0.25">
      <c r="A77" s="711"/>
      <c r="B77" s="708"/>
      <c r="C77" s="708"/>
      <c r="D77" s="522"/>
      <c r="E77" s="543"/>
      <c r="F77" s="407"/>
      <c r="G77" s="372"/>
      <c r="H77" s="413"/>
      <c r="I77" s="81">
        <v>6</v>
      </c>
      <c r="J77" t="s">
        <v>897</v>
      </c>
      <c r="K77" s="372"/>
      <c r="L77" s="413"/>
      <c r="M77" s="396"/>
      <c r="N77" s="532"/>
      <c r="O77" s="533"/>
      <c r="P77" s="533"/>
    </row>
    <row r="78" spans="1:16" ht="21.75" customHeight="1" x14ac:dyDescent="0.25">
      <c r="A78" s="711"/>
      <c r="B78" s="708"/>
      <c r="C78" s="708"/>
      <c r="D78" s="522"/>
      <c r="E78" s="543"/>
      <c r="F78" s="407"/>
      <c r="G78" s="372"/>
      <c r="H78" s="413"/>
      <c r="I78" s="81">
        <v>7</v>
      </c>
      <c r="J78" t="s">
        <v>905</v>
      </c>
      <c r="K78" s="372"/>
      <c r="L78" s="413"/>
      <c r="M78" s="396"/>
      <c r="N78" s="532"/>
      <c r="O78" s="533"/>
      <c r="P78" s="533"/>
    </row>
    <row r="79" spans="1:16" ht="21.75" customHeight="1" x14ac:dyDescent="0.25">
      <c r="A79" s="711"/>
      <c r="B79" s="708"/>
      <c r="C79" s="708"/>
      <c r="D79" s="522"/>
      <c r="E79" s="543"/>
      <c r="F79" s="407"/>
      <c r="G79" s="372"/>
      <c r="H79" s="413"/>
      <c r="I79" s="81">
        <v>8</v>
      </c>
      <c r="J79" t="s">
        <v>906</v>
      </c>
      <c r="K79" s="372"/>
      <c r="L79" s="413"/>
      <c r="M79" s="396"/>
      <c r="N79" s="532"/>
      <c r="O79" s="533"/>
      <c r="P79" s="533"/>
    </row>
    <row r="80" spans="1:16" ht="21.75" customHeight="1" x14ac:dyDescent="0.25">
      <c r="A80" s="711"/>
      <c r="B80" s="708"/>
      <c r="C80" s="708"/>
      <c r="D80" s="522"/>
      <c r="E80" s="543"/>
      <c r="F80" s="407"/>
      <c r="G80" s="372"/>
      <c r="H80" s="413"/>
      <c r="I80" s="81">
        <v>9</v>
      </c>
      <c r="J80" t="s">
        <v>907</v>
      </c>
      <c r="K80" s="372"/>
      <c r="L80" s="413"/>
      <c r="M80" s="396"/>
      <c r="N80" s="532"/>
      <c r="O80" s="533"/>
      <c r="P80" s="533"/>
    </row>
    <row r="81" spans="1:16" ht="21.75" customHeight="1" x14ac:dyDescent="0.25">
      <c r="A81" s="711"/>
      <c r="B81" s="708"/>
      <c r="C81" s="708"/>
      <c r="D81" s="522"/>
      <c r="E81" s="543"/>
      <c r="F81" s="407"/>
      <c r="G81" s="372"/>
      <c r="H81" s="413"/>
      <c r="I81" s="81">
        <v>10</v>
      </c>
      <c r="J81" t="s">
        <v>908</v>
      </c>
      <c r="K81" s="372"/>
      <c r="L81" s="413"/>
      <c r="M81" s="396"/>
      <c r="N81" s="532"/>
      <c r="O81" s="533"/>
      <c r="P81" s="533"/>
    </row>
    <row r="82" spans="1:16" ht="21.75" customHeight="1" x14ac:dyDescent="0.25">
      <c r="A82" s="711"/>
      <c r="B82" s="708"/>
      <c r="C82" s="708"/>
      <c r="D82" s="522"/>
      <c r="E82" s="543"/>
      <c r="F82" s="407"/>
      <c r="G82" s="372"/>
      <c r="H82" s="413"/>
      <c r="I82" s="81">
        <v>11</v>
      </c>
      <c r="J82" t="s">
        <v>909</v>
      </c>
      <c r="K82" s="372"/>
      <c r="L82" s="413"/>
      <c r="M82" s="396"/>
      <c r="N82" s="532"/>
      <c r="O82" s="533"/>
      <c r="P82" s="533"/>
    </row>
    <row r="83" spans="1:16" ht="21.75" customHeight="1" x14ac:dyDescent="0.25">
      <c r="A83" s="711"/>
      <c r="B83" s="708"/>
      <c r="C83" s="708"/>
      <c r="D83" s="522"/>
      <c r="E83" s="543"/>
      <c r="F83" s="407"/>
      <c r="G83" s="372"/>
      <c r="H83" s="413"/>
      <c r="I83" s="81">
        <v>12</v>
      </c>
      <c r="J83" t="s">
        <v>882</v>
      </c>
      <c r="K83" s="372"/>
      <c r="L83" s="413"/>
      <c r="M83" s="396"/>
      <c r="N83" s="532"/>
      <c r="O83" s="533"/>
      <c r="P83" s="533"/>
    </row>
    <row r="84" spans="1:16" ht="21.75" customHeight="1" x14ac:dyDescent="0.25">
      <c r="A84" s="711"/>
      <c r="B84" s="708"/>
      <c r="C84" s="708"/>
      <c r="D84" s="522"/>
      <c r="E84" s="543"/>
      <c r="F84" s="407"/>
      <c r="G84" s="372"/>
      <c r="H84" s="413"/>
      <c r="I84" s="81">
        <v>13</v>
      </c>
      <c r="J84" t="s">
        <v>910</v>
      </c>
      <c r="K84" s="372"/>
      <c r="L84" s="413"/>
      <c r="M84" s="396"/>
      <c r="N84" s="532"/>
      <c r="O84" s="533"/>
      <c r="P84" s="533"/>
    </row>
    <row r="85" spans="1:16" ht="21.75" customHeight="1" thickBot="1" x14ac:dyDescent="0.3">
      <c r="A85" s="712"/>
      <c r="B85" s="713"/>
      <c r="C85" s="713"/>
      <c r="D85" s="523"/>
      <c r="E85" s="544"/>
      <c r="F85" s="408"/>
      <c r="G85" s="373"/>
      <c r="H85" s="414"/>
      <c r="I85" s="82"/>
      <c r="J85" s="82"/>
      <c r="K85" s="373"/>
      <c r="L85" s="414"/>
      <c r="M85" s="398"/>
      <c r="N85" s="532"/>
      <c r="O85" s="533"/>
      <c r="P85" s="533"/>
    </row>
    <row r="86" spans="1:16" ht="26.25" customHeight="1" x14ac:dyDescent="0.25">
      <c r="A86" s="710">
        <v>6</v>
      </c>
      <c r="B86" s="707" t="s">
        <v>289</v>
      </c>
      <c r="C86" s="707" t="s">
        <v>297</v>
      </c>
      <c r="D86" s="521" t="str">
        <f>+LEFT(E86,4)</f>
        <v>11.3</v>
      </c>
      <c r="E86" s="542" t="s">
        <v>298</v>
      </c>
      <c r="F86" s="406" t="s">
        <v>299</v>
      </c>
      <c r="G86" s="421" t="s">
        <v>300</v>
      </c>
      <c r="H86" s="412">
        <v>3</v>
      </c>
      <c r="I86" s="83">
        <v>1</v>
      </c>
      <c r="J86" t="s">
        <v>895</v>
      </c>
      <c r="K86" s="868" t="s">
        <v>911</v>
      </c>
      <c r="L86" s="412">
        <v>3</v>
      </c>
      <c r="M86" s="513" t="str">
        <f>+IF(OR(ISBLANK(H86),ISBLANK(L86)),"",IF(OR(AND(H86=1,L86=1),AND(H86=1,L86=2),AND(H86=1,L86=3)),"Deficiencia de control mayor (diseño y ejecución)",IF(OR(AND(H86=2,L86=2),AND(H86=3,L86=1),AND(H86=3,L86=2),AND(H86=2,L86=1)),"Deficiencia de control (diseño o ejecución)",IF(AND(H86=2,L86=3),"Oportunidad de mejora","Mantenimiento del control"))))</f>
        <v>Mantenimiento del control</v>
      </c>
      <c r="N86" s="532">
        <f>+IF(M86="",152,IF(M86="Deficiencia de control mayor (diseño y ejecución)",160,IF(M86="Deficiencia de control (diseño o ejecución)",180,IF(M86="Oportunidad de mejora",200,220))))</f>
        <v>220</v>
      </c>
      <c r="O86" s="533">
        <v>3.9653999999999998</v>
      </c>
      <c r="P86" s="533">
        <f>+N86+O86</f>
        <v>223.96539999999999</v>
      </c>
    </row>
    <row r="87" spans="1:16" ht="21.75" customHeight="1" x14ac:dyDescent="0.25">
      <c r="A87" s="711"/>
      <c r="B87" s="708"/>
      <c r="C87" s="708"/>
      <c r="D87" s="522"/>
      <c r="E87" s="543"/>
      <c r="F87" s="407"/>
      <c r="G87" s="422"/>
      <c r="H87" s="413"/>
      <c r="I87" s="214">
        <v>2</v>
      </c>
      <c r="J87" t="s">
        <v>912</v>
      </c>
      <c r="K87" s="869"/>
      <c r="L87" s="413"/>
      <c r="M87" s="396"/>
      <c r="N87" s="532"/>
      <c r="O87" s="533"/>
      <c r="P87" s="533"/>
    </row>
    <row r="88" spans="1:16" ht="21.75" customHeight="1" x14ac:dyDescent="0.25">
      <c r="A88" s="711"/>
      <c r="B88" s="708"/>
      <c r="C88" s="708"/>
      <c r="D88" s="522"/>
      <c r="E88" s="543"/>
      <c r="F88" s="407"/>
      <c r="G88" s="422"/>
      <c r="H88" s="413"/>
      <c r="I88" s="214">
        <v>3</v>
      </c>
      <c r="J88" t="s">
        <v>913</v>
      </c>
      <c r="K88" s="869"/>
      <c r="L88" s="413"/>
      <c r="M88" s="396"/>
      <c r="N88" s="532"/>
      <c r="O88" s="533"/>
      <c r="P88" s="533"/>
    </row>
    <row r="89" spans="1:16" ht="21.75" customHeight="1" x14ac:dyDescent="0.25">
      <c r="A89" s="711"/>
      <c r="B89" s="708"/>
      <c r="C89" s="708"/>
      <c r="D89" s="522"/>
      <c r="E89" s="543"/>
      <c r="F89" s="407"/>
      <c r="G89" s="422"/>
      <c r="H89" s="413"/>
      <c r="I89" s="214">
        <v>4</v>
      </c>
      <c r="J89" t="s">
        <v>914</v>
      </c>
      <c r="K89" s="869"/>
      <c r="L89" s="413"/>
      <c r="M89" s="396"/>
      <c r="N89" s="532"/>
      <c r="O89" s="533"/>
      <c r="P89" s="533"/>
    </row>
    <row r="90" spans="1:16" ht="21.75" customHeight="1" x14ac:dyDescent="0.25">
      <c r="A90" s="711"/>
      <c r="B90" s="708"/>
      <c r="C90" s="708"/>
      <c r="D90" s="522"/>
      <c r="E90" s="543"/>
      <c r="F90" s="407"/>
      <c r="G90" s="422"/>
      <c r="H90" s="413"/>
      <c r="I90" s="214">
        <v>5</v>
      </c>
      <c r="J90" t="s">
        <v>915</v>
      </c>
      <c r="K90" s="869"/>
      <c r="L90" s="413"/>
      <c r="M90" s="396"/>
      <c r="N90" s="532"/>
      <c r="O90" s="533"/>
      <c r="P90" s="533"/>
    </row>
    <row r="91" spans="1:16" ht="21.75" customHeight="1" x14ac:dyDescent="0.25">
      <c r="A91" s="711"/>
      <c r="B91" s="708"/>
      <c r="C91" s="708"/>
      <c r="D91" s="522"/>
      <c r="E91" s="543"/>
      <c r="F91" s="407"/>
      <c r="G91" s="422"/>
      <c r="H91" s="413"/>
      <c r="I91" s="214">
        <v>6</v>
      </c>
      <c r="J91" t="s">
        <v>892</v>
      </c>
      <c r="K91" s="869"/>
      <c r="L91" s="413"/>
      <c r="M91" s="396"/>
      <c r="N91" s="532"/>
      <c r="O91" s="533"/>
      <c r="P91" s="533"/>
    </row>
    <row r="92" spans="1:16" ht="21.75" customHeight="1" x14ac:dyDescent="0.25">
      <c r="A92" s="711"/>
      <c r="B92" s="708"/>
      <c r="C92" s="708"/>
      <c r="D92" s="522"/>
      <c r="E92" s="543"/>
      <c r="F92" s="407"/>
      <c r="G92" s="422"/>
      <c r="H92" s="413"/>
      <c r="I92" s="214">
        <v>7</v>
      </c>
      <c r="J92" t="s">
        <v>897</v>
      </c>
      <c r="K92" s="869"/>
      <c r="L92" s="413"/>
      <c r="M92" s="396"/>
      <c r="N92" s="532"/>
      <c r="O92" s="533"/>
      <c r="P92" s="533"/>
    </row>
    <row r="93" spans="1:16" ht="21.75" customHeight="1" x14ac:dyDescent="0.25">
      <c r="A93" s="711"/>
      <c r="B93" s="708"/>
      <c r="C93" s="708"/>
      <c r="D93" s="522"/>
      <c r="E93" s="543"/>
      <c r="F93" s="407"/>
      <c r="G93" s="422"/>
      <c r="H93" s="413"/>
      <c r="I93" s="214">
        <v>8</v>
      </c>
      <c r="J93" t="s">
        <v>916</v>
      </c>
      <c r="K93" s="869"/>
      <c r="L93" s="413"/>
      <c r="M93" s="396"/>
      <c r="N93" s="532"/>
      <c r="O93" s="533"/>
      <c r="P93" s="533"/>
    </row>
    <row r="94" spans="1:16" ht="21.75" customHeight="1" x14ac:dyDescent="0.25">
      <c r="A94" s="711"/>
      <c r="B94" s="708"/>
      <c r="C94" s="708"/>
      <c r="D94" s="522"/>
      <c r="E94" s="543"/>
      <c r="F94" s="407"/>
      <c r="G94" s="422"/>
      <c r="H94" s="413"/>
      <c r="I94" s="214">
        <v>9</v>
      </c>
      <c r="J94" t="s">
        <v>917</v>
      </c>
      <c r="K94" s="869"/>
      <c r="L94" s="413"/>
      <c r="M94" s="396"/>
      <c r="N94" s="532"/>
      <c r="O94" s="533"/>
      <c r="P94" s="533"/>
    </row>
    <row r="95" spans="1:16" ht="21.75" customHeight="1" x14ac:dyDescent="0.25">
      <c r="A95" s="711"/>
      <c r="B95" s="708"/>
      <c r="C95" s="708"/>
      <c r="D95" s="522"/>
      <c r="E95" s="543"/>
      <c r="F95" s="407"/>
      <c r="G95" s="422"/>
      <c r="H95" s="413"/>
      <c r="I95" s="214">
        <v>10</v>
      </c>
      <c r="J95" t="s">
        <v>918</v>
      </c>
      <c r="K95" s="869"/>
      <c r="L95" s="413"/>
      <c r="M95" s="396"/>
      <c r="N95" s="532"/>
      <c r="O95" s="533"/>
      <c r="P95" s="533"/>
    </row>
    <row r="96" spans="1:16" ht="18.75" customHeight="1" thickBot="1" x14ac:dyDescent="0.3">
      <c r="A96" s="711"/>
      <c r="B96" s="708"/>
      <c r="C96" s="708"/>
      <c r="D96" s="522"/>
      <c r="E96" s="543"/>
      <c r="F96" s="407"/>
      <c r="G96" s="422"/>
      <c r="H96" s="413"/>
      <c r="I96" s="214"/>
      <c r="J96" s="231"/>
      <c r="K96" s="869"/>
      <c r="L96" s="413"/>
      <c r="M96" s="396"/>
      <c r="N96" s="532"/>
      <c r="O96" s="533"/>
      <c r="P96" s="533"/>
    </row>
    <row r="97" spans="1:16" ht="21.75" hidden="1" customHeight="1" thickBot="1" x14ac:dyDescent="0.3">
      <c r="A97" s="711"/>
      <c r="B97" s="708"/>
      <c r="C97" s="708"/>
      <c r="D97" s="522"/>
      <c r="E97" s="543"/>
      <c r="F97" s="407"/>
      <c r="G97" s="422"/>
      <c r="H97" s="413"/>
      <c r="I97" s="214"/>
      <c r="J97" s="203"/>
      <c r="K97" s="869"/>
      <c r="L97" s="413"/>
      <c r="M97" s="396"/>
      <c r="N97" s="532"/>
      <c r="O97" s="533"/>
      <c r="P97" s="533"/>
    </row>
    <row r="98" spans="1:16" ht="21.75" hidden="1" customHeight="1" thickBot="1" x14ac:dyDescent="0.3">
      <c r="A98" s="717"/>
      <c r="B98" s="718"/>
      <c r="C98" s="718"/>
      <c r="D98" s="699"/>
      <c r="E98" s="657"/>
      <c r="F98" s="407"/>
      <c r="G98" s="479"/>
      <c r="H98" s="575"/>
      <c r="I98" s="221"/>
      <c r="J98" s="203"/>
      <c r="K98" s="869"/>
      <c r="L98" s="575"/>
      <c r="M98" s="397"/>
      <c r="N98" s="532"/>
      <c r="O98" s="533"/>
      <c r="P98" s="533"/>
    </row>
    <row r="99" spans="1:16" ht="21.75" hidden="1" customHeight="1" thickBot="1" x14ac:dyDescent="0.3">
      <c r="A99" s="717"/>
      <c r="B99" s="718"/>
      <c r="C99" s="718"/>
      <c r="D99" s="699"/>
      <c r="E99" s="657"/>
      <c r="F99" s="407"/>
      <c r="G99" s="479"/>
      <c r="H99" s="575"/>
      <c r="I99" s="221"/>
      <c r="J99" s="203"/>
      <c r="K99" s="869"/>
      <c r="L99" s="575"/>
      <c r="M99" s="397"/>
      <c r="N99" s="532"/>
      <c r="O99" s="533"/>
      <c r="P99" s="533"/>
    </row>
    <row r="100" spans="1:16" ht="21.75" hidden="1" customHeight="1" thickBot="1" x14ac:dyDescent="0.3">
      <c r="A100" s="717"/>
      <c r="B100" s="718"/>
      <c r="C100" s="718"/>
      <c r="D100" s="699"/>
      <c r="E100" s="657"/>
      <c r="F100" s="407"/>
      <c r="G100" s="479"/>
      <c r="H100" s="575"/>
      <c r="I100" s="221"/>
      <c r="J100" s="203"/>
      <c r="K100" s="869"/>
      <c r="L100" s="575"/>
      <c r="M100" s="397"/>
      <c r="N100" s="532"/>
      <c r="O100" s="533"/>
      <c r="P100" s="533"/>
    </row>
    <row r="101" spans="1:16" ht="21.75" hidden="1" customHeight="1" thickBot="1" x14ac:dyDescent="0.3">
      <c r="A101" s="717"/>
      <c r="B101" s="718"/>
      <c r="C101" s="718"/>
      <c r="D101" s="699"/>
      <c r="E101" s="657"/>
      <c r="F101" s="407"/>
      <c r="G101" s="479"/>
      <c r="H101" s="575"/>
      <c r="I101" s="221"/>
      <c r="J101" s="203"/>
      <c r="K101" s="869"/>
      <c r="L101" s="575"/>
      <c r="M101" s="397"/>
      <c r="N101" s="532"/>
      <c r="O101" s="533"/>
      <c r="P101" s="533"/>
    </row>
    <row r="102" spans="1:16" ht="21.75" hidden="1" customHeight="1" thickBot="1" x14ac:dyDescent="0.3">
      <c r="A102" s="717"/>
      <c r="B102" s="718"/>
      <c r="C102" s="718"/>
      <c r="D102" s="699"/>
      <c r="E102" s="657"/>
      <c r="F102" s="407"/>
      <c r="G102" s="479"/>
      <c r="H102" s="575"/>
      <c r="I102" s="221"/>
      <c r="J102" s="203"/>
      <c r="K102" s="869"/>
      <c r="L102" s="575"/>
      <c r="M102" s="397"/>
      <c r="N102" s="532"/>
      <c r="O102" s="533"/>
      <c r="P102" s="533"/>
    </row>
    <row r="103" spans="1:16" ht="21.75" hidden="1" customHeight="1" thickBot="1" x14ac:dyDescent="0.3">
      <c r="A103" s="717"/>
      <c r="B103" s="718"/>
      <c r="C103" s="718"/>
      <c r="D103" s="699"/>
      <c r="E103" s="657"/>
      <c r="F103" s="407"/>
      <c r="G103" s="479"/>
      <c r="H103" s="575"/>
      <c r="I103" s="221"/>
      <c r="J103" s="203"/>
      <c r="K103" s="869"/>
      <c r="L103" s="575"/>
      <c r="M103" s="397"/>
      <c r="N103" s="532"/>
      <c r="O103" s="533"/>
      <c r="P103" s="533"/>
    </row>
    <row r="104" spans="1:16" ht="21.75" hidden="1" customHeight="1" thickBot="1" x14ac:dyDescent="0.3">
      <c r="A104" s="717"/>
      <c r="B104" s="718"/>
      <c r="C104" s="718"/>
      <c r="D104" s="699"/>
      <c r="E104" s="657"/>
      <c r="F104" s="407"/>
      <c r="G104" s="479"/>
      <c r="H104" s="575"/>
      <c r="I104" s="221"/>
      <c r="J104" s="223"/>
      <c r="K104" s="869"/>
      <c r="L104" s="575"/>
      <c r="M104" s="397"/>
      <c r="N104" s="532"/>
      <c r="O104" s="533"/>
      <c r="P104" s="533"/>
    </row>
    <row r="105" spans="1:16" ht="21.75" hidden="1" customHeight="1" thickBot="1" x14ac:dyDescent="0.3">
      <c r="A105" s="717"/>
      <c r="B105" s="718"/>
      <c r="C105" s="718"/>
      <c r="D105" s="699"/>
      <c r="E105" s="657"/>
      <c r="F105" s="407"/>
      <c r="G105" s="479"/>
      <c r="H105" s="575"/>
      <c r="I105" s="221"/>
      <c r="J105" s="223"/>
      <c r="K105" s="869"/>
      <c r="L105" s="575"/>
      <c r="M105" s="397"/>
      <c r="N105" s="532"/>
      <c r="O105" s="533"/>
      <c r="P105" s="533"/>
    </row>
    <row r="106" spans="1:16" ht="14.4" hidden="1" thickBot="1" x14ac:dyDescent="0.3">
      <c r="A106" s="712"/>
      <c r="B106" s="713"/>
      <c r="C106" s="713"/>
      <c r="D106" s="523"/>
      <c r="E106" s="544"/>
      <c r="F106" s="408"/>
      <c r="G106" s="423"/>
      <c r="H106" s="414"/>
      <c r="I106" s="224">
        <v>9</v>
      </c>
      <c r="J106" s="226"/>
      <c r="K106" s="870"/>
      <c r="L106" s="414"/>
      <c r="M106" s="398"/>
      <c r="N106" s="532"/>
      <c r="O106" s="533"/>
      <c r="P106" s="533"/>
    </row>
    <row r="107" spans="1:16" ht="20.100000000000001" customHeight="1" x14ac:dyDescent="0.25">
      <c r="A107" s="710">
        <v>7</v>
      </c>
      <c r="B107" s="707" t="s">
        <v>282</v>
      </c>
      <c r="C107" s="707" t="s">
        <v>301</v>
      </c>
      <c r="D107" s="521" t="str">
        <f>+LEFT(E107,4)</f>
        <v>11.4</v>
      </c>
      <c r="E107" s="542" t="s">
        <v>302</v>
      </c>
      <c r="F107" s="406" t="s">
        <v>303</v>
      </c>
      <c r="G107" s="421" t="s">
        <v>920</v>
      </c>
      <c r="H107" s="412">
        <v>3</v>
      </c>
      <c r="I107" s="215">
        <v>1</v>
      </c>
      <c r="J107" t="s">
        <v>921</v>
      </c>
      <c r="K107" s="871" t="s">
        <v>919</v>
      </c>
      <c r="L107" s="412">
        <v>3</v>
      </c>
      <c r="M107" s="513" t="str">
        <f>+IF(OR(ISBLANK(H107),ISBLANK(L107)),"",IF(OR(AND(H107=1,L107=1),AND(H107=1,L107=2),AND(H107=1,L107=3)),"Deficiencia de control mayor (diseño y ejecución)",IF(OR(AND(H107=2,L107=2),AND(H107=3,L107=1),AND(H107=3,L107=2),AND(H107=2,L107=1)),"Deficiencia de control (diseño o ejecución)",IF(AND(H107=2,L107=3),"Oportunidad de mejora","Mantenimiento del control"))))</f>
        <v>Mantenimiento del control</v>
      </c>
      <c r="N107" s="532">
        <f>+IF(M107="",152,IF(M107="Deficiencia de control mayor (diseño y ejecución)",160,IF(M107="Deficiencia de control (diseño o ejecución)",180,IF(M107="Oportunidad de mejora",200,220))))</f>
        <v>220</v>
      </c>
      <c r="O107" s="533">
        <v>4.0122999999999998</v>
      </c>
      <c r="P107" s="533">
        <f>+N107+O107</f>
        <v>224.01230000000001</v>
      </c>
    </row>
    <row r="108" spans="1:16" ht="13.8" x14ac:dyDescent="0.25">
      <c r="A108" s="711"/>
      <c r="B108" s="708"/>
      <c r="C108" s="708"/>
      <c r="D108" s="522"/>
      <c r="E108" s="543"/>
      <c r="F108" s="407"/>
      <c r="G108" s="422"/>
      <c r="H108" s="413"/>
      <c r="I108" s="214">
        <v>2</v>
      </c>
      <c r="J108" t="s">
        <v>922</v>
      </c>
      <c r="K108" s="872"/>
      <c r="L108" s="413"/>
      <c r="M108" s="396"/>
      <c r="N108" s="532"/>
      <c r="O108" s="533"/>
      <c r="P108" s="533"/>
    </row>
    <row r="109" spans="1:16" ht="13.8" x14ac:dyDescent="0.25">
      <c r="A109" s="711"/>
      <c r="B109" s="708"/>
      <c r="C109" s="708"/>
      <c r="D109" s="522"/>
      <c r="E109" s="543"/>
      <c r="F109" s="407"/>
      <c r="G109" s="422"/>
      <c r="H109" s="413"/>
      <c r="I109" s="214">
        <v>3</v>
      </c>
      <c r="J109" t="s">
        <v>923</v>
      </c>
      <c r="K109" s="872"/>
      <c r="L109" s="413"/>
      <c r="M109" s="396"/>
      <c r="N109" s="532"/>
      <c r="O109" s="533"/>
      <c r="P109" s="533"/>
    </row>
    <row r="110" spans="1:16" ht="13.8" x14ac:dyDescent="0.25">
      <c r="A110" s="711"/>
      <c r="B110" s="708"/>
      <c r="C110" s="708"/>
      <c r="D110" s="522"/>
      <c r="E110" s="543"/>
      <c r="F110" s="407"/>
      <c r="G110" s="422"/>
      <c r="H110" s="413"/>
      <c r="I110" s="214">
        <v>4</v>
      </c>
      <c r="J110" t="s">
        <v>924</v>
      </c>
      <c r="K110" s="872"/>
      <c r="L110" s="413"/>
      <c r="M110" s="396"/>
      <c r="N110" s="532"/>
      <c r="O110" s="533"/>
      <c r="P110" s="533"/>
    </row>
    <row r="111" spans="1:16" ht="13.8" x14ac:dyDescent="0.25">
      <c r="A111" s="711"/>
      <c r="B111" s="708"/>
      <c r="C111" s="708"/>
      <c r="D111" s="522"/>
      <c r="E111" s="543"/>
      <c r="F111" s="407"/>
      <c r="G111" s="422"/>
      <c r="H111" s="413"/>
      <c r="I111" s="214">
        <v>5</v>
      </c>
      <c r="J111" t="s">
        <v>882</v>
      </c>
      <c r="K111" s="872"/>
      <c r="L111" s="413"/>
      <c r="M111" s="396"/>
      <c r="N111" s="532"/>
      <c r="O111" s="533"/>
      <c r="P111" s="533"/>
    </row>
    <row r="112" spans="1:16" ht="13.8" x14ac:dyDescent="0.25">
      <c r="A112" s="711"/>
      <c r="B112" s="708"/>
      <c r="C112" s="708"/>
      <c r="D112" s="522"/>
      <c r="E112" s="543"/>
      <c r="F112" s="407"/>
      <c r="G112" s="422"/>
      <c r="H112" s="413"/>
      <c r="I112" s="214">
        <v>6</v>
      </c>
      <c r="J112" t="s">
        <v>925</v>
      </c>
      <c r="K112" s="872"/>
      <c r="L112" s="413"/>
      <c r="M112" s="396"/>
      <c r="N112" s="532"/>
      <c r="O112" s="533"/>
      <c r="P112" s="533"/>
    </row>
    <row r="113" spans="1:16" ht="13.8" x14ac:dyDescent="0.25">
      <c r="A113" s="711"/>
      <c r="B113" s="708"/>
      <c r="C113" s="708"/>
      <c r="D113" s="522"/>
      <c r="E113" s="543"/>
      <c r="F113" s="407"/>
      <c r="G113" s="422"/>
      <c r="H113" s="413"/>
      <c r="I113" s="214">
        <v>7</v>
      </c>
      <c r="J113" t="s">
        <v>926</v>
      </c>
      <c r="K113" s="872"/>
      <c r="L113" s="413"/>
      <c r="M113" s="396"/>
      <c r="N113" s="532"/>
      <c r="O113" s="533"/>
      <c r="P113" s="533"/>
    </row>
    <row r="114" spans="1:16" ht="13.8" x14ac:dyDescent="0.25">
      <c r="A114" s="711"/>
      <c r="B114" s="708"/>
      <c r="C114" s="708"/>
      <c r="D114" s="522"/>
      <c r="E114" s="543"/>
      <c r="F114" s="407"/>
      <c r="G114" s="422"/>
      <c r="H114" s="413"/>
      <c r="I114" s="214">
        <v>8</v>
      </c>
      <c r="J114" t="s">
        <v>927</v>
      </c>
      <c r="K114" s="872"/>
      <c r="L114" s="413"/>
      <c r="M114" s="396"/>
      <c r="N114" s="532"/>
      <c r="O114" s="533"/>
      <c r="P114" s="533"/>
    </row>
    <row r="115" spans="1:16" ht="13.8" x14ac:dyDescent="0.25">
      <c r="A115" s="711"/>
      <c r="B115" s="708"/>
      <c r="C115" s="708"/>
      <c r="D115" s="522"/>
      <c r="E115" s="543"/>
      <c r="F115" s="407"/>
      <c r="G115" s="422"/>
      <c r="H115" s="413"/>
      <c r="I115" s="214">
        <v>9</v>
      </c>
      <c r="J115" t="s">
        <v>928</v>
      </c>
      <c r="K115" s="872"/>
      <c r="L115" s="413"/>
      <c r="M115" s="396"/>
      <c r="N115" s="532"/>
      <c r="O115" s="533"/>
      <c r="P115" s="533"/>
    </row>
    <row r="116" spans="1:16" ht="13.8" x14ac:dyDescent="0.25">
      <c r="A116" s="711"/>
      <c r="B116" s="708"/>
      <c r="C116" s="708"/>
      <c r="D116" s="522"/>
      <c r="E116" s="543"/>
      <c r="F116" s="407"/>
      <c r="G116" s="422"/>
      <c r="H116" s="413"/>
      <c r="I116" s="214">
        <v>10</v>
      </c>
      <c r="J116" t="s">
        <v>929</v>
      </c>
      <c r="K116" s="872"/>
      <c r="L116" s="413"/>
      <c r="M116" s="396"/>
      <c r="N116" s="532"/>
      <c r="O116" s="533"/>
      <c r="P116" s="533"/>
    </row>
    <row r="117" spans="1:16" ht="13.8" x14ac:dyDescent="0.25">
      <c r="A117" s="711"/>
      <c r="B117" s="708"/>
      <c r="C117" s="708"/>
      <c r="D117" s="522"/>
      <c r="E117" s="543"/>
      <c r="F117" s="407"/>
      <c r="G117" s="422"/>
      <c r="H117" s="413"/>
      <c r="I117" s="214">
        <v>11</v>
      </c>
      <c r="J117" t="s">
        <v>930</v>
      </c>
      <c r="K117" s="872"/>
      <c r="L117" s="413"/>
      <c r="M117" s="396"/>
      <c r="N117" s="532"/>
      <c r="O117" s="533"/>
      <c r="P117" s="533"/>
    </row>
    <row r="118" spans="1:16" ht="14.4" thickBot="1" x14ac:dyDescent="0.3">
      <c r="A118" s="711"/>
      <c r="B118" s="708"/>
      <c r="C118" s="708"/>
      <c r="D118" s="522"/>
      <c r="E118" s="543"/>
      <c r="F118" s="407"/>
      <c r="G118" s="422"/>
      <c r="H118" s="413"/>
      <c r="I118" s="214">
        <v>12</v>
      </c>
      <c r="J118" t="s">
        <v>931</v>
      </c>
      <c r="K118" s="872"/>
      <c r="L118" s="413"/>
      <c r="M118" s="396"/>
      <c r="N118" s="532"/>
      <c r="O118" s="533"/>
      <c r="P118" s="533"/>
    </row>
    <row r="119" spans="1:16" ht="22.5" customHeight="1" x14ac:dyDescent="0.25">
      <c r="A119" s="662"/>
      <c r="B119" s="662"/>
      <c r="C119" s="662"/>
      <c r="D119" s="662"/>
      <c r="E119" s="662" t="s">
        <v>304</v>
      </c>
      <c r="F119" s="661" t="s">
        <v>8</v>
      </c>
      <c r="G119" s="665" t="s">
        <v>272</v>
      </c>
      <c r="H119" s="671" t="s">
        <v>220</v>
      </c>
      <c r="I119" s="674" t="s">
        <v>116</v>
      </c>
      <c r="J119" s="675"/>
      <c r="K119" s="676"/>
      <c r="L119" s="671" t="s">
        <v>273</v>
      </c>
      <c r="M119" s="681" t="s">
        <v>152</v>
      </c>
      <c r="N119" s="569"/>
      <c r="O119" s="569"/>
      <c r="P119" s="569"/>
    </row>
    <row r="120" spans="1:16" ht="22.5" customHeight="1" x14ac:dyDescent="0.25">
      <c r="A120" s="663"/>
      <c r="B120" s="663"/>
      <c r="C120" s="663"/>
      <c r="D120" s="663"/>
      <c r="E120" s="663"/>
      <c r="F120" s="642"/>
      <c r="G120" s="666"/>
      <c r="H120" s="671"/>
      <c r="I120" s="673" t="s">
        <v>13</v>
      </c>
      <c r="J120" s="679" t="s">
        <v>15</v>
      </c>
      <c r="K120" s="655" t="s">
        <v>222</v>
      </c>
      <c r="L120" s="671"/>
      <c r="M120" s="681"/>
      <c r="N120" s="569"/>
      <c r="O120" s="569"/>
      <c r="P120" s="569"/>
    </row>
    <row r="121" spans="1:16" ht="75" customHeight="1" thickBot="1" x14ac:dyDescent="0.3">
      <c r="A121" s="664"/>
      <c r="B121" s="664"/>
      <c r="C121" s="664"/>
      <c r="D121" s="664"/>
      <c r="E121" s="664"/>
      <c r="F121" s="643"/>
      <c r="G121" s="667"/>
      <c r="H121" s="672"/>
      <c r="I121" s="653"/>
      <c r="J121" s="654"/>
      <c r="K121" s="677"/>
      <c r="L121" s="672"/>
      <c r="M121" s="682"/>
      <c r="N121" s="569"/>
      <c r="O121" s="569"/>
      <c r="P121" s="569"/>
    </row>
    <row r="122" spans="1:16" ht="13.8" x14ac:dyDescent="0.25">
      <c r="A122" s="710">
        <v>8</v>
      </c>
      <c r="B122" s="707" t="s">
        <v>282</v>
      </c>
      <c r="C122" s="707" t="s">
        <v>301</v>
      </c>
      <c r="D122" s="521" t="str">
        <f>+LEFT(E122,4)</f>
        <v>12.1</v>
      </c>
      <c r="E122" s="406" t="s">
        <v>305</v>
      </c>
      <c r="F122" s="406" t="s">
        <v>306</v>
      </c>
      <c r="G122" s="421" t="s">
        <v>932</v>
      </c>
      <c r="H122" s="412">
        <v>3</v>
      </c>
      <c r="I122" s="215">
        <v>1</v>
      </c>
      <c r="J122" t="s">
        <v>943</v>
      </c>
      <c r="K122" s="865" t="s">
        <v>933</v>
      </c>
      <c r="L122" s="412">
        <v>3</v>
      </c>
      <c r="M122" s="513" t="str">
        <f>+IF(OR(ISBLANK(H122),ISBLANK(L122)),"",IF(OR(AND(H122=1,L122=1),AND(H122=1,L122=2),AND(H122=1,L122=3)),"Deficiencia de control mayor (diseño y ejecución)",IF(OR(AND(H122=2,L122=2),AND(H122=3,L122=1),AND(H122=3,L122=2),AND(H122=2,L122=1)),"Deficiencia de control (diseño o ejecución)",IF(AND(H122=2,L122=3),"Oportunidad de mejora","Mantenimiento del control"))))</f>
        <v>Mantenimiento del control</v>
      </c>
      <c r="N122" s="532">
        <f>+IF(M122="",152,IF(M122="Deficiencia de control mayor (diseño y ejecución)",160,IF(M122="Deficiencia de control (diseño o ejecución)",180,IF(M122="Oportunidad de mejora",200,220))))</f>
        <v>220</v>
      </c>
      <c r="O122" s="533">
        <v>4.1235999999999997</v>
      </c>
      <c r="P122" s="533">
        <f>+N122+O122</f>
        <v>224.12360000000001</v>
      </c>
    </row>
    <row r="123" spans="1:16" ht="13.8" x14ac:dyDescent="0.25">
      <c r="A123" s="711"/>
      <c r="B123" s="708"/>
      <c r="C123" s="708"/>
      <c r="D123" s="522"/>
      <c r="E123" s="407"/>
      <c r="F123" s="407"/>
      <c r="G123" s="470"/>
      <c r="H123" s="413"/>
      <c r="I123" s="214">
        <v>2</v>
      </c>
      <c r="J123" t="s">
        <v>934</v>
      </c>
      <c r="K123" s="866"/>
      <c r="L123" s="413"/>
      <c r="M123" s="396"/>
      <c r="N123" s="532"/>
      <c r="O123" s="533"/>
      <c r="P123" s="533"/>
    </row>
    <row r="124" spans="1:16" ht="13.8" x14ac:dyDescent="0.25">
      <c r="A124" s="711"/>
      <c r="B124" s="708"/>
      <c r="C124" s="708"/>
      <c r="D124" s="522"/>
      <c r="E124" s="407"/>
      <c r="F124" s="407"/>
      <c r="G124" s="470"/>
      <c r="H124" s="413"/>
      <c r="I124" s="214">
        <v>3</v>
      </c>
      <c r="J124" t="s">
        <v>935</v>
      </c>
      <c r="K124" s="866"/>
      <c r="L124" s="413"/>
      <c r="M124" s="396"/>
      <c r="N124" s="532"/>
      <c r="O124" s="533"/>
      <c r="P124" s="533"/>
    </row>
    <row r="125" spans="1:16" ht="13.8" x14ac:dyDescent="0.25">
      <c r="A125" s="711"/>
      <c r="B125" s="708"/>
      <c r="C125" s="708"/>
      <c r="D125" s="522"/>
      <c r="E125" s="407"/>
      <c r="F125" s="407"/>
      <c r="G125" s="470"/>
      <c r="H125" s="413"/>
      <c r="I125" s="214">
        <v>4</v>
      </c>
      <c r="J125" t="s">
        <v>936</v>
      </c>
      <c r="K125" s="866"/>
      <c r="L125" s="413"/>
      <c r="M125" s="396"/>
      <c r="N125" s="532"/>
      <c r="O125" s="533"/>
      <c r="P125" s="533"/>
    </row>
    <row r="126" spans="1:16" ht="13.8" x14ac:dyDescent="0.25">
      <c r="A126" s="711"/>
      <c r="B126" s="708"/>
      <c r="C126" s="708"/>
      <c r="D126" s="522"/>
      <c r="E126" s="407"/>
      <c r="F126" s="407"/>
      <c r="G126" s="470"/>
      <c r="H126" s="413"/>
      <c r="I126" s="214">
        <v>5</v>
      </c>
      <c r="J126" t="s">
        <v>937</v>
      </c>
      <c r="K126" s="866"/>
      <c r="L126" s="413"/>
      <c r="M126" s="396"/>
      <c r="N126" s="532"/>
      <c r="O126" s="533"/>
      <c r="P126" s="533"/>
    </row>
    <row r="127" spans="1:16" ht="13.8" x14ac:dyDescent="0.25">
      <c r="A127" s="711"/>
      <c r="B127" s="708"/>
      <c r="C127" s="708"/>
      <c r="D127" s="522"/>
      <c r="E127" s="407"/>
      <c r="F127" s="407"/>
      <c r="G127" s="470"/>
      <c r="H127" s="413"/>
      <c r="I127" s="214">
        <v>6</v>
      </c>
      <c r="J127" t="s">
        <v>938</v>
      </c>
      <c r="K127" s="866"/>
      <c r="L127" s="413"/>
      <c r="M127" s="396"/>
      <c r="N127" s="532"/>
      <c r="O127" s="533"/>
      <c r="P127" s="533"/>
    </row>
    <row r="128" spans="1:16" ht="13.8" x14ac:dyDescent="0.25">
      <c r="A128" s="711"/>
      <c r="B128" s="708"/>
      <c r="C128" s="708"/>
      <c r="D128" s="522"/>
      <c r="E128" s="407"/>
      <c r="F128" s="407"/>
      <c r="G128" s="470"/>
      <c r="H128" s="413"/>
      <c r="I128" s="214">
        <v>7</v>
      </c>
      <c r="J128" t="s">
        <v>837</v>
      </c>
      <c r="K128" s="866"/>
      <c r="L128" s="413"/>
      <c r="M128" s="396"/>
      <c r="N128" s="532"/>
      <c r="O128" s="533"/>
      <c r="P128" s="533"/>
    </row>
    <row r="129" spans="1:16" ht="13.8" x14ac:dyDescent="0.25">
      <c r="A129" s="717"/>
      <c r="B129" s="718"/>
      <c r="C129" s="718"/>
      <c r="D129" s="699"/>
      <c r="E129" s="407"/>
      <c r="F129" s="407"/>
      <c r="G129" s="598"/>
      <c r="H129" s="575"/>
      <c r="I129" s="221">
        <v>8</v>
      </c>
      <c r="J129" t="s">
        <v>939</v>
      </c>
      <c r="K129" s="866"/>
      <c r="L129" s="575"/>
      <c r="M129" s="397"/>
      <c r="N129" s="532"/>
      <c r="O129" s="533"/>
      <c r="P129" s="533"/>
    </row>
    <row r="130" spans="1:16" ht="13.8" x14ac:dyDescent="0.25">
      <c r="A130" s="717"/>
      <c r="B130" s="718"/>
      <c r="C130" s="718"/>
      <c r="D130" s="699"/>
      <c r="E130" s="407"/>
      <c r="F130" s="407"/>
      <c r="G130" s="598"/>
      <c r="H130" s="575"/>
      <c r="I130" s="221">
        <v>9</v>
      </c>
      <c r="J130" t="s">
        <v>940</v>
      </c>
      <c r="K130" s="866"/>
      <c r="L130" s="575"/>
      <c r="M130" s="397"/>
      <c r="N130" s="532"/>
      <c r="O130" s="533"/>
      <c r="P130" s="533"/>
    </row>
    <row r="131" spans="1:16" ht="13.8" x14ac:dyDescent="0.25">
      <c r="A131" s="717"/>
      <c r="B131" s="718"/>
      <c r="C131" s="718"/>
      <c r="D131" s="699"/>
      <c r="E131" s="407"/>
      <c r="F131" s="407"/>
      <c r="G131" s="598"/>
      <c r="H131" s="575"/>
      <c r="I131" s="221">
        <v>10</v>
      </c>
      <c r="J131" t="s">
        <v>941</v>
      </c>
      <c r="K131" s="866"/>
      <c r="L131" s="575"/>
      <c r="M131" s="397"/>
      <c r="N131" s="532"/>
      <c r="O131" s="533"/>
      <c r="P131" s="533"/>
    </row>
    <row r="132" spans="1:16" ht="7.5" customHeight="1" thickBot="1" x14ac:dyDescent="0.3">
      <c r="A132" s="717"/>
      <c r="B132" s="718"/>
      <c r="C132" s="718"/>
      <c r="D132" s="699"/>
      <c r="E132" s="407"/>
      <c r="F132" s="407"/>
      <c r="G132" s="598"/>
      <c r="H132" s="575"/>
      <c r="I132" s="221">
        <v>11</v>
      </c>
      <c r="J132" t="s">
        <v>942</v>
      </c>
      <c r="K132" s="866"/>
      <c r="L132" s="575"/>
      <c r="M132" s="397"/>
      <c r="N132" s="532"/>
      <c r="O132" s="533"/>
      <c r="P132" s="533"/>
    </row>
    <row r="133" spans="1:16" ht="14.4" hidden="1" thickBot="1" x14ac:dyDescent="0.3">
      <c r="A133" s="717"/>
      <c r="B133" s="718"/>
      <c r="C133" s="718"/>
      <c r="D133" s="699"/>
      <c r="E133" s="407"/>
      <c r="F133" s="407"/>
      <c r="G133" s="598"/>
      <c r="H133" s="575"/>
      <c r="I133" s="221">
        <v>12</v>
      </c>
      <c r="J133" s="222"/>
      <c r="K133" s="866"/>
      <c r="L133" s="575"/>
      <c r="M133" s="397"/>
      <c r="N133" s="532"/>
      <c r="O133" s="533"/>
      <c r="P133" s="533"/>
    </row>
    <row r="134" spans="1:16" ht="14.4" hidden="1" thickBot="1" x14ac:dyDescent="0.3">
      <c r="A134" s="717"/>
      <c r="B134" s="718"/>
      <c r="C134" s="718"/>
      <c r="D134" s="699"/>
      <c r="E134" s="407"/>
      <c r="F134" s="407"/>
      <c r="G134" s="598"/>
      <c r="H134" s="575"/>
      <c r="I134" s="221">
        <v>13</v>
      </c>
      <c r="J134" s="222"/>
      <c r="K134" s="866"/>
      <c r="L134" s="575"/>
      <c r="M134" s="397"/>
      <c r="N134" s="532"/>
      <c r="O134" s="533"/>
      <c r="P134" s="533"/>
    </row>
    <row r="135" spans="1:16" ht="14.4" hidden="1" thickBot="1" x14ac:dyDescent="0.3">
      <c r="A135" s="717"/>
      <c r="B135" s="718"/>
      <c r="C135" s="718"/>
      <c r="D135" s="699"/>
      <c r="E135" s="407"/>
      <c r="F135" s="407"/>
      <c r="G135" s="598"/>
      <c r="H135" s="575"/>
      <c r="I135" s="221">
        <v>14</v>
      </c>
      <c r="J135" s="222"/>
      <c r="K135" s="866"/>
      <c r="L135" s="575"/>
      <c r="M135" s="397"/>
      <c r="N135" s="532"/>
      <c r="O135" s="533"/>
      <c r="P135" s="533"/>
    </row>
    <row r="136" spans="1:16" ht="14.4" hidden="1" thickBot="1" x14ac:dyDescent="0.3">
      <c r="A136" s="717"/>
      <c r="B136" s="718"/>
      <c r="C136" s="718"/>
      <c r="D136" s="699"/>
      <c r="E136" s="407"/>
      <c r="F136" s="407"/>
      <c r="G136" s="598"/>
      <c r="H136" s="575"/>
      <c r="I136" s="221">
        <v>15</v>
      </c>
      <c r="J136" s="222"/>
      <c r="K136" s="866"/>
      <c r="L136" s="575"/>
      <c r="M136" s="397"/>
      <c r="N136" s="532"/>
      <c r="O136" s="533"/>
      <c r="P136" s="533"/>
    </row>
    <row r="137" spans="1:16" ht="14.4" hidden="1" thickBot="1" x14ac:dyDescent="0.3">
      <c r="A137" s="717"/>
      <c r="B137" s="718"/>
      <c r="C137" s="718"/>
      <c r="D137" s="699"/>
      <c r="E137" s="407"/>
      <c r="F137" s="407"/>
      <c r="G137" s="598"/>
      <c r="H137" s="575"/>
      <c r="I137" s="221">
        <v>16</v>
      </c>
      <c r="J137" s="222"/>
      <c r="K137" s="866"/>
      <c r="L137" s="575"/>
      <c r="M137" s="397"/>
      <c r="N137" s="532"/>
      <c r="O137" s="533"/>
      <c r="P137" s="533"/>
    </row>
    <row r="138" spans="1:16" ht="14.4" hidden="1" thickBot="1" x14ac:dyDescent="0.3">
      <c r="A138" s="717"/>
      <c r="B138" s="718"/>
      <c r="C138" s="718"/>
      <c r="D138" s="699"/>
      <c r="E138" s="407"/>
      <c r="F138" s="407"/>
      <c r="G138" s="598"/>
      <c r="H138" s="575"/>
      <c r="I138" s="221"/>
      <c r="J138" s="222"/>
      <c r="K138" s="866"/>
      <c r="L138" s="575"/>
      <c r="M138" s="397"/>
      <c r="N138" s="532"/>
      <c r="O138" s="533"/>
      <c r="P138" s="533"/>
    </row>
    <row r="139" spans="1:16" ht="14.4" hidden="1" thickBot="1" x14ac:dyDescent="0.3">
      <c r="A139" s="712"/>
      <c r="B139" s="713"/>
      <c r="C139" s="713"/>
      <c r="D139" s="523"/>
      <c r="E139" s="408"/>
      <c r="F139" s="408"/>
      <c r="G139" s="471"/>
      <c r="H139" s="414"/>
      <c r="I139" s="224"/>
      <c r="J139" s="227"/>
      <c r="K139" s="867"/>
      <c r="L139" s="414"/>
      <c r="M139" s="398"/>
      <c r="N139" s="532"/>
      <c r="O139" s="533"/>
      <c r="P139" s="533"/>
    </row>
    <row r="140" spans="1:16" ht="13.8" x14ac:dyDescent="0.25">
      <c r="A140" s="710">
        <v>9</v>
      </c>
      <c r="B140" s="707" t="s">
        <v>282</v>
      </c>
      <c r="C140" s="707" t="s">
        <v>301</v>
      </c>
      <c r="D140" s="521" t="str">
        <f>+LEFT(E140,4)</f>
        <v>12.2</v>
      </c>
      <c r="E140" s="542" t="s">
        <v>307</v>
      </c>
      <c r="F140" s="406" t="s">
        <v>308</v>
      </c>
      <c r="G140" s="421" t="s">
        <v>950</v>
      </c>
      <c r="H140" s="412">
        <v>3</v>
      </c>
      <c r="I140" s="83">
        <v>1</v>
      </c>
      <c r="J140" s="132" t="s">
        <v>158</v>
      </c>
      <c r="K140" s="363" t="s">
        <v>944</v>
      </c>
      <c r="L140" s="412">
        <v>3</v>
      </c>
      <c r="M140" s="513" t="str">
        <f>+IF(OR(ISBLANK(H140),ISBLANK(L140)),"",IF(OR(AND(H140=1,L140=1),AND(H140=1,L140=2),AND(H140=1,L140=3)),"Deficiencia de control mayor (diseño y ejecución)",IF(OR(AND(H140=2,L140=2),AND(H140=3,L140=1),AND(H140=3,L140=2),AND(H140=2,L140=1)),"Deficiencia de control (diseño o ejecución)",IF(AND(H140=2,L140=3),"Oportunidad de mejora","Mantenimiento del control"))))</f>
        <v>Mantenimiento del control</v>
      </c>
      <c r="N140" s="532">
        <f>+IF(M140="",152,IF(M140="Deficiencia de control mayor (diseño y ejecución)",160,IF(M140="Deficiencia de control (diseño o ejecución)",180,IF(M140="Oportunidad de mejora",200,220))))</f>
        <v>220</v>
      </c>
      <c r="O140" s="533">
        <v>4.2365000000000004</v>
      </c>
      <c r="P140" s="632">
        <f>+N140+O140</f>
        <v>224.23650000000001</v>
      </c>
    </row>
    <row r="141" spans="1:16" ht="13.8" x14ac:dyDescent="0.25">
      <c r="A141" s="711"/>
      <c r="B141" s="708"/>
      <c r="C141" s="708"/>
      <c r="D141" s="522"/>
      <c r="E141" s="543"/>
      <c r="F141" s="407"/>
      <c r="G141" s="422"/>
      <c r="H141" s="413"/>
      <c r="I141" s="81">
        <v>2</v>
      </c>
      <c r="J141" t="s">
        <v>945</v>
      </c>
      <c r="K141" s="364"/>
      <c r="L141" s="413"/>
      <c r="M141" s="396"/>
      <c r="N141" s="532"/>
      <c r="O141" s="533"/>
      <c r="P141" s="632"/>
    </row>
    <row r="142" spans="1:16" ht="13.8" x14ac:dyDescent="0.25">
      <c r="A142" s="711"/>
      <c r="B142" s="708"/>
      <c r="C142" s="708"/>
      <c r="D142" s="522"/>
      <c r="E142" s="543"/>
      <c r="F142" s="407"/>
      <c r="G142" s="422"/>
      <c r="H142" s="413"/>
      <c r="I142" s="81">
        <v>3</v>
      </c>
      <c r="J142" t="s">
        <v>946</v>
      </c>
      <c r="K142" s="364"/>
      <c r="L142" s="413"/>
      <c r="M142" s="396"/>
      <c r="N142" s="532"/>
      <c r="O142" s="533"/>
      <c r="P142" s="632"/>
    </row>
    <row r="143" spans="1:16" ht="13.8" x14ac:dyDescent="0.25">
      <c r="A143" s="711"/>
      <c r="B143" s="708"/>
      <c r="C143" s="708"/>
      <c r="D143" s="522"/>
      <c r="E143" s="543"/>
      <c r="F143" s="407"/>
      <c r="G143" s="422"/>
      <c r="H143" s="413"/>
      <c r="I143" s="81">
        <v>4</v>
      </c>
      <c r="J143" t="s">
        <v>947</v>
      </c>
      <c r="K143" s="364"/>
      <c r="L143" s="413"/>
      <c r="M143" s="396"/>
      <c r="N143" s="532"/>
      <c r="O143" s="533"/>
      <c r="P143" s="632"/>
    </row>
    <row r="144" spans="1:16" ht="13.8" x14ac:dyDescent="0.25">
      <c r="A144" s="711"/>
      <c r="B144" s="708"/>
      <c r="C144" s="708"/>
      <c r="D144" s="522"/>
      <c r="E144" s="543"/>
      <c r="F144" s="407"/>
      <c r="G144" s="422"/>
      <c r="H144" s="413"/>
      <c r="I144" s="81">
        <v>5</v>
      </c>
      <c r="J144" t="s">
        <v>948</v>
      </c>
      <c r="K144" s="364"/>
      <c r="L144" s="413"/>
      <c r="M144" s="396"/>
      <c r="N144" s="532"/>
      <c r="O144" s="533"/>
      <c r="P144" s="632"/>
    </row>
    <row r="145" spans="1:16" ht="13.8" x14ac:dyDescent="0.25">
      <c r="A145" s="711"/>
      <c r="B145" s="708"/>
      <c r="C145" s="708"/>
      <c r="D145" s="522"/>
      <c r="E145" s="543"/>
      <c r="F145" s="407"/>
      <c r="G145" s="422"/>
      <c r="H145" s="413"/>
      <c r="I145" s="81">
        <v>6</v>
      </c>
      <c r="J145" t="s">
        <v>852</v>
      </c>
      <c r="K145" s="364"/>
      <c r="L145" s="413"/>
      <c r="M145" s="396"/>
      <c r="N145" s="532"/>
      <c r="O145" s="533"/>
      <c r="P145" s="632"/>
    </row>
    <row r="146" spans="1:16" ht="13.8" x14ac:dyDescent="0.25">
      <c r="A146" s="711"/>
      <c r="B146" s="708"/>
      <c r="C146" s="708"/>
      <c r="D146" s="522"/>
      <c r="E146" s="543"/>
      <c r="F146" s="407"/>
      <c r="G146" s="422"/>
      <c r="H146" s="413"/>
      <c r="I146" s="81">
        <v>7</v>
      </c>
      <c r="J146" t="s">
        <v>949</v>
      </c>
      <c r="K146" s="364"/>
      <c r="L146" s="413"/>
      <c r="M146" s="396"/>
      <c r="N146" s="532"/>
      <c r="O146" s="533"/>
      <c r="P146" s="632"/>
    </row>
    <row r="147" spans="1:16" ht="13.8" x14ac:dyDescent="0.25">
      <c r="A147" s="717"/>
      <c r="B147" s="718"/>
      <c r="C147" s="718"/>
      <c r="D147" s="699"/>
      <c r="E147" s="657"/>
      <c r="F147" s="407"/>
      <c r="G147" s="479"/>
      <c r="H147" s="575"/>
      <c r="I147" s="200"/>
      <c r="J147" s="197"/>
      <c r="K147" s="364"/>
      <c r="L147" s="575"/>
      <c r="M147" s="397"/>
      <c r="N147" s="532"/>
      <c r="O147" s="533"/>
      <c r="P147" s="632"/>
    </row>
    <row r="148" spans="1:16" ht="108.75" customHeight="1" thickBot="1" x14ac:dyDescent="0.3">
      <c r="A148" s="712"/>
      <c r="B148" s="713"/>
      <c r="C148" s="713"/>
      <c r="D148" s="523"/>
      <c r="E148" s="544"/>
      <c r="F148" s="408"/>
      <c r="G148" s="423"/>
      <c r="H148" s="414"/>
      <c r="I148" s="82"/>
      <c r="J148" s="247"/>
      <c r="K148" s="380"/>
      <c r="L148" s="414"/>
      <c r="M148" s="398"/>
      <c r="N148" s="532"/>
      <c r="O148" s="533"/>
      <c r="P148" s="632"/>
    </row>
    <row r="149" spans="1:16" ht="13.95" customHeight="1" x14ac:dyDescent="0.25">
      <c r="A149" s="710">
        <v>10</v>
      </c>
      <c r="B149" s="707" t="s">
        <v>282</v>
      </c>
      <c r="C149" s="707" t="s">
        <v>283</v>
      </c>
      <c r="D149" s="521" t="str">
        <f>+LEFT(E149,4)</f>
        <v>12.3</v>
      </c>
      <c r="E149" s="658" t="s">
        <v>309</v>
      </c>
      <c r="F149" s="406" t="s">
        <v>310</v>
      </c>
      <c r="G149" s="421" t="s">
        <v>950</v>
      </c>
      <c r="H149" s="412">
        <v>3</v>
      </c>
      <c r="I149" s="83">
        <v>1</v>
      </c>
      <c r="J149" t="s">
        <v>946</v>
      </c>
      <c r="K149" s="363" t="s">
        <v>951</v>
      </c>
      <c r="L149" s="412">
        <v>3</v>
      </c>
      <c r="M149" s="513" t="str">
        <f>+IF(OR(ISBLANK(H149),ISBLANK(L149)),"",IF(OR(AND(H149=1,L149=1),AND(H149=1,L149=2),AND(H149=1,L149=3)),"Deficiencia de control mayor (diseño y ejecución)",IF(OR(AND(H149=2,L149=2),AND(H149=3,L149=1),AND(H149=3,L149=2),AND(H149=2,L149=1)),"Deficiencia de control (diseño o ejecución)",IF(AND(H149=2,L149=3),"Oportunidad de mejora","Mantenimiento del control"))))</f>
        <v>Mantenimiento del control</v>
      </c>
      <c r="N149" s="532">
        <f>+IF(M149="",152,IF(M149="Deficiencia de control mayor (diseño y ejecución)",160,IF(M149="Deficiencia de control (diseño o ejecución)",180,IF(M149="Oportunidad de mejora",200,220))))</f>
        <v>220</v>
      </c>
      <c r="O149" s="533">
        <v>4.2365599999999999</v>
      </c>
      <c r="P149" s="632">
        <f>+N149+O149</f>
        <v>224.23656</v>
      </c>
    </row>
    <row r="150" spans="1:16" ht="13.8" x14ac:dyDescent="0.25">
      <c r="A150" s="711"/>
      <c r="B150" s="708"/>
      <c r="C150" s="708"/>
      <c r="D150" s="522"/>
      <c r="E150" s="659"/>
      <c r="F150" s="407"/>
      <c r="G150" s="422"/>
      <c r="H150" s="413"/>
      <c r="I150" s="81">
        <v>2</v>
      </c>
      <c r="J150" t="s">
        <v>948</v>
      </c>
      <c r="K150" s="364"/>
      <c r="L150" s="413"/>
      <c r="M150" s="396"/>
      <c r="N150" s="532"/>
      <c r="O150" s="533"/>
      <c r="P150" s="632"/>
    </row>
    <row r="151" spans="1:16" ht="13.8" x14ac:dyDescent="0.25">
      <c r="A151" s="711"/>
      <c r="B151" s="708"/>
      <c r="C151" s="708"/>
      <c r="D151" s="522"/>
      <c r="E151" s="659"/>
      <c r="F151" s="407"/>
      <c r="G151" s="422"/>
      <c r="H151" s="413"/>
      <c r="I151" s="81">
        <v>3</v>
      </c>
      <c r="J151" t="s">
        <v>952</v>
      </c>
      <c r="K151" s="364"/>
      <c r="L151" s="413"/>
      <c r="M151" s="396"/>
      <c r="N151" s="532"/>
      <c r="O151" s="533"/>
      <c r="P151" s="632"/>
    </row>
    <row r="152" spans="1:16" ht="13.8" x14ac:dyDescent="0.25">
      <c r="A152" s="711"/>
      <c r="B152" s="708"/>
      <c r="C152" s="708"/>
      <c r="D152" s="522"/>
      <c r="E152" s="659"/>
      <c r="F152" s="407"/>
      <c r="G152" s="422"/>
      <c r="H152" s="413"/>
      <c r="I152" s="81">
        <v>4</v>
      </c>
      <c r="J152" t="s">
        <v>852</v>
      </c>
      <c r="K152" s="364"/>
      <c r="L152" s="413"/>
      <c r="M152" s="396"/>
      <c r="N152" s="532"/>
      <c r="O152" s="533"/>
      <c r="P152" s="632"/>
    </row>
    <row r="153" spans="1:16" ht="13.8" x14ac:dyDescent="0.25">
      <c r="A153" s="711"/>
      <c r="B153" s="708"/>
      <c r="C153" s="708"/>
      <c r="D153" s="522"/>
      <c r="E153" s="659"/>
      <c r="F153" s="407"/>
      <c r="G153" s="422"/>
      <c r="H153" s="413"/>
      <c r="I153" s="81">
        <v>5</v>
      </c>
      <c r="J153" t="s">
        <v>809</v>
      </c>
      <c r="K153" s="364"/>
      <c r="L153" s="413"/>
      <c r="M153" s="396"/>
      <c r="N153" s="532"/>
      <c r="O153" s="533"/>
      <c r="P153" s="632"/>
    </row>
    <row r="154" spans="1:16" ht="13.8" x14ac:dyDescent="0.25">
      <c r="A154" s="711"/>
      <c r="B154" s="708"/>
      <c r="C154" s="708"/>
      <c r="D154" s="522"/>
      <c r="E154" s="659"/>
      <c r="F154" s="407"/>
      <c r="G154" s="422"/>
      <c r="H154" s="413"/>
      <c r="I154" s="81">
        <v>6</v>
      </c>
      <c r="J154" t="s">
        <v>945</v>
      </c>
      <c r="K154" s="364"/>
      <c r="L154" s="413"/>
      <c r="M154" s="396"/>
      <c r="N154" s="532"/>
      <c r="O154" s="533"/>
      <c r="P154" s="632"/>
    </row>
    <row r="155" spans="1:16" ht="13.8" x14ac:dyDescent="0.25">
      <c r="A155" s="711"/>
      <c r="B155" s="708"/>
      <c r="C155" s="708"/>
      <c r="D155" s="522"/>
      <c r="E155" s="659"/>
      <c r="F155" s="407"/>
      <c r="G155" s="422"/>
      <c r="H155" s="413"/>
      <c r="I155" s="81">
        <v>7</v>
      </c>
      <c r="J155" t="s">
        <v>953</v>
      </c>
      <c r="K155" s="364"/>
      <c r="L155" s="413"/>
      <c r="M155" s="396"/>
      <c r="N155" s="532"/>
      <c r="O155" s="533"/>
      <c r="P155" s="632"/>
    </row>
    <row r="156" spans="1:16" ht="13.8" x14ac:dyDescent="0.25">
      <c r="A156" s="717"/>
      <c r="B156" s="718"/>
      <c r="C156" s="718"/>
      <c r="D156" s="699"/>
      <c r="E156" s="659"/>
      <c r="F156" s="407"/>
      <c r="G156" s="479"/>
      <c r="H156" s="575"/>
      <c r="I156" s="200">
        <v>8</v>
      </c>
      <c r="J156" t="s">
        <v>847</v>
      </c>
      <c r="K156" s="364"/>
      <c r="L156" s="575"/>
      <c r="M156" s="397"/>
      <c r="N156" s="532"/>
      <c r="O156" s="533"/>
      <c r="P156" s="632"/>
    </row>
    <row r="157" spans="1:16" ht="84.75" customHeight="1" thickBot="1" x14ac:dyDescent="0.3">
      <c r="A157" s="712"/>
      <c r="B157" s="713"/>
      <c r="C157" s="713"/>
      <c r="D157" s="523"/>
      <c r="E157" s="660"/>
      <c r="F157" s="408"/>
      <c r="G157" s="423"/>
      <c r="H157" s="414"/>
      <c r="I157" s="82">
        <v>9</v>
      </c>
      <c r="J157" s="272" t="s">
        <v>954</v>
      </c>
      <c r="K157" s="380"/>
      <c r="L157" s="414"/>
      <c r="M157" s="398"/>
      <c r="N157" s="532"/>
      <c r="O157" s="533"/>
      <c r="P157" s="632"/>
    </row>
    <row r="158" spans="1:16" ht="37.5" customHeight="1" x14ac:dyDescent="0.25">
      <c r="A158" s="710">
        <v>11</v>
      </c>
      <c r="B158" s="707" t="s">
        <v>282</v>
      </c>
      <c r="C158" s="707" t="s">
        <v>283</v>
      </c>
      <c r="D158" s="521" t="str">
        <f>+LEFT(E158,4)</f>
        <v>12.4</v>
      </c>
      <c r="E158" s="658" t="s">
        <v>311</v>
      </c>
      <c r="F158" s="406" t="s">
        <v>312</v>
      </c>
      <c r="G158" s="370" t="s">
        <v>313</v>
      </c>
      <c r="H158" s="412">
        <v>3</v>
      </c>
      <c r="I158" s="83">
        <v>1</v>
      </c>
      <c r="J158" s="132" t="s">
        <v>158</v>
      </c>
      <c r="K158" s="506" t="s">
        <v>955</v>
      </c>
      <c r="L158" s="412">
        <v>3</v>
      </c>
      <c r="M158" s="513" t="str">
        <f>+IF(OR(ISBLANK(H158),ISBLANK(L158)),"",IF(OR(AND(H158=1,L158=1),AND(H158=1,L158=2),AND(H158=1,L158=3)),"Deficiencia de control mayor (diseño y ejecución)",IF(OR(AND(H158=2,L158=2),AND(H158=3,L158=1),AND(H158=3,L158=2),AND(H158=2,L158=1)),"Deficiencia de control (diseño o ejecución)",IF(AND(H158=2,L158=3),"Oportunidad de mejora","Mantenimiento del control"))))</f>
        <v>Mantenimiento del control</v>
      </c>
      <c r="N158" s="532">
        <f>+IF(M158="",152,IF(M158="Deficiencia de control mayor (diseño y ejecución)",160,IF(M158="Deficiencia de control (diseño o ejecución)",180,IF(M158="Oportunidad de mejora",200,220))))</f>
        <v>220</v>
      </c>
      <c r="O158" s="533">
        <v>4.2365680000000001</v>
      </c>
      <c r="P158" s="632">
        <f>+N158+O158</f>
        <v>224.23656800000001</v>
      </c>
    </row>
    <row r="159" spans="1:16" ht="13.8" x14ac:dyDescent="0.25">
      <c r="A159" s="711"/>
      <c r="B159" s="708"/>
      <c r="C159" s="708"/>
      <c r="D159" s="522"/>
      <c r="E159" s="659"/>
      <c r="F159" s="407"/>
      <c r="G159" s="372"/>
      <c r="H159" s="413"/>
      <c r="I159" s="81">
        <v>2</v>
      </c>
      <c r="J159" t="s">
        <v>945</v>
      </c>
      <c r="K159" s="506"/>
      <c r="L159" s="413"/>
      <c r="M159" s="396"/>
      <c r="N159" s="532"/>
      <c r="O159" s="533"/>
      <c r="P159" s="632"/>
    </row>
    <row r="160" spans="1:16" ht="13.8" x14ac:dyDescent="0.25">
      <c r="A160" s="711"/>
      <c r="B160" s="708"/>
      <c r="C160" s="708"/>
      <c r="D160" s="522"/>
      <c r="E160" s="659"/>
      <c r="F160" s="407"/>
      <c r="G160" s="372"/>
      <c r="H160" s="413"/>
      <c r="I160" s="81">
        <v>3</v>
      </c>
      <c r="J160" t="s">
        <v>946</v>
      </c>
      <c r="K160" s="506"/>
      <c r="L160" s="413"/>
      <c r="M160" s="396"/>
      <c r="N160" s="532"/>
      <c r="O160" s="533"/>
      <c r="P160" s="632"/>
    </row>
    <row r="161" spans="1:16" ht="13.8" x14ac:dyDescent="0.25">
      <c r="A161" s="711"/>
      <c r="B161" s="708"/>
      <c r="C161" s="708"/>
      <c r="D161" s="522"/>
      <c r="E161" s="659"/>
      <c r="F161" s="407"/>
      <c r="G161" s="372"/>
      <c r="H161" s="413"/>
      <c r="I161" s="81">
        <v>4</v>
      </c>
      <c r="J161" t="s">
        <v>947</v>
      </c>
      <c r="K161" s="506"/>
      <c r="L161" s="413"/>
      <c r="M161" s="396"/>
      <c r="N161" s="532"/>
      <c r="O161" s="533"/>
      <c r="P161" s="632"/>
    </row>
    <row r="162" spans="1:16" ht="13.8" x14ac:dyDescent="0.25">
      <c r="A162" s="711"/>
      <c r="B162" s="708"/>
      <c r="C162" s="708"/>
      <c r="D162" s="522"/>
      <c r="E162" s="659"/>
      <c r="F162" s="407"/>
      <c r="G162" s="372"/>
      <c r="H162" s="413"/>
      <c r="I162" s="81">
        <v>5</v>
      </c>
      <c r="J162" t="s">
        <v>948</v>
      </c>
      <c r="K162" s="506"/>
      <c r="L162" s="413"/>
      <c r="M162" s="396"/>
      <c r="N162" s="532"/>
      <c r="O162" s="533"/>
      <c r="P162" s="632"/>
    </row>
    <row r="163" spans="1:16" ht="13.8" x14ac:dyDescent="0.25">
      <c r="A163" s="711"/>
      <c r="B163" s="708"/>
      <c r="C163" s="708"/>
      <c r="D163" s="522"/>
      <c r="E163" s="659"/>
      <c r="F163" s="407"/>
      <c r="G163" s="372"/>
      <c r="H163" s="413"/>
      <c r="I163" s="81">
        <v>6</v>
      </c>
      <c r="J163" t="s">
        <v>852</v>
      </c>
      <c r="K163" s="506"/>
      <c r="L163" s="413"/>
      <c r="M163" s="396"/>
      <c r="N163" s="532"/>
      <c r="O163" s="533"/>
      <c r="P163" s="632"/>
    </row>
    <row r="164" spans="1:16" ht="13.8" x14ac:dyDescent="0.25">
      <c r="A164" s="711"/>
      <c r="B164" s="708"/>
      <c r="C164" s="708"/>
      <c r="D164" s="522"/>
      <c r="E164" s="659"/>
      <c r="F164" s="407"/>
      <c r="G164" s="372"/>
      <c r="H164" s="413"/>
      <c r="I164" s="81">
        <v>7</v>
      </c>
      <c r="J164" t="s">
        <v>949</v>
      </c>
      <c r="K164" s="506"/>
      <c r="L164" s="413"/>
      <c r="M164" s="396"/>
      <c r="N164" s="532"/>
      <c r="O164" s="533"/>
      <c r="P164" s="632"/>
    </row>
    <row r="165" spans="1:16" ht="13.8" x14ac:dyDescent="0.25">
      <c r="A165" s="717"/>
      <c r="B165" s="718"/>
      <c r="C165" s="718"/>
      <c r="D165" s="699"/>
      <c r="E165" s="659"/>
      <c r="F165" s="407"/>
      <c r="G165" s="372"/>
      <c r="H165" s="575"/>
      <c r="I165" s="200">
        <v>8</v>
      </c>
      <c r="J165" s="222" t="s">
        <v>172</v>
      </c>
      <c r="K165" s="506"/>
      <c r="L165" s="575"/>
      <c r="M165" s="397"/>
      <c r="N165" s="532"/>
      <c r="O165" s="533"/>
      <c r="P165" s="632"/>
    </row>
    <row r="166" spans="1:16" ht="13.8" x14ac:dyDescent="0.25">
      <c r="A166" s="717"/>
      <c r="B166" s="718"/>
      <c r="C166" s="718"/>
      <c r="D166" s="699"/>
      <c r="E166" s="659"/>
      <c r="F166" s="407"/>
      <c r="G166" s="372"/>
      <c r="H166" s="575"/>
      <c r="I166" s="200">
        <v>9</v>
      </c>
      <c r="J166" s="250"/>
      <c r="K166" s="506"/>
      <c r="L166" s="575"/>
      <c r="M166" s="397"/>
      <c r="N166" s="532"/>
      <c r="O166" s="533"/>
      <c r="P166" s="632"/>
    </row>
    <row r="167" spans="1:16" ht="13.8" x14ac:dyDescent="0.25">
      <c r="A167" s="717"/>
      <c r="B167" s="718"/>
      <c r="C167" s="718"/>
      <c r="D167" s="699"/>
      <c r="E167" s="659"/>
      <c r="F167" s="407"/>
      <c r="G167" s="372"/>
      <c r="H167" s="575"/>
      <c r="I167" s="200">
        <v>10</v>
      </c>
      <c r="J167" s="250"/>
      <c r="K167" s="506"/>
      <c r="L167" s="575"/>
      <c r="M167" s="397"/>
      <c r="N167" s="532"/>
      <c r="O167" s="533"/>
      <c r="P167" s="632"/>
    </row>
    <row r="168" spans="1:16" ht="13.8" x14ac:dyDescent="0.25">
      <c r="A168" s="717"/>
      <c r="B168" s="718"/>
      <c r="C168" s="718"/>
      <c r="D168" s="699"/>
      <c r="E168" s="659"/>
      <c r="F168" s="407"/>
      <c r="G168" s="372"/>
      <c r="H168" s="575"/>
      <c r="I168" s="200">
        <v>11</v>
      </c>
      <c r="J168" s="197"/>
      <c r="K168" s="506"/>
      <c r="L168" s="575"/>
      <c r="M168" s="397"/>
      <c r="N168" s="532"/>
      <c r="O168" s="533"/>
      <c r="P168" s="632"/>
    </row>
    <row r="169" spans="1:16" ht="13.8" x14ac:dyDescent="0.25">
      <c r="A169" s="717"/>
      <c r="B169" s="718"/>
      <c r="C169" s="718"/>
      <c r="D169" s="699"/>
      <c r="E169" s="659"/>
      <c r="F169" s="407"/>
      <c r="G169" s="372"/>
      <c r="H169" s="575"/>
      <c r="I169" s="200">
        <v>12</v>
      </c>
      <c r="J169" s="197"/>
      <c r="K169" s="506"/>
      <c r="L169" s="575"/>
      <c r="M169" s="397"/>
      <c r="N169" s="532"/>
      <c r="O169" s="533"/>
      <c r="P169" s="632"/>
    </row>
    <row r="170" spans="1:16" ht="13.8" x14ac:dyDescent="0.25">
      <c r="A170" s="717"/>
      <c r="B170" s="718"/>
      <c r="C170" s="718"/>
      <c r="D170" s="699"/>
      <c r="E170" s="659"/>
      <c r="F170" s="407"/>
      <c r="G170" s="372"/>
      <c r="H170" s="575"/>
      <c r="I170" s="221">
        <v>13</v>
      </c>
      <c r="J170" s="222"/>
      <c r="K170" s="866"/>
      <c r="L170" s="575"/>
      <c r="M170" s="397"/>
      <c r="N170" s="532"/>
      <c r="O170" s="533"/>
      <c r="P170" s="632"/>
    </row>
    <row r="171" spans="1:16" ht="13.8" x14ac:dyDescent="0.25">
      <c r="A171" s="717"/>
      <c r="B171" s="718"/>
      <c r="C171" s="718"/>
      <c r="D171" s="699"/>
      <c r="E171" s="659"/>
      <c r="F171" s="407"/>
      <c r="G171" s="372"/>
      <c r="H171" s="575"/>
      <c r="I171" s="221">
        <v>14</v>
      </c>
      <c r="J171" s="222"/>
      <c r="K171" s="866"/>
      <c r="L171" s="575"/>
      <c r="M171" s="397"/>
      <c r="N171" s="532"/>
      <c r="O171" s="533"/>
      <c r="P171" s="632"/>
    </row>
    <row r="172" spans="1:16" ht="13.8" x14ac:dyDescent="0.25">
      <c r="A172" s="717"/>
      <c r="B172" s="718"/>
      <c r="C172" s="718"/>
      <c r="D172" s="699"/>
      <c r="E172" s="659"/>
      <c r="F172" s="407"/>
      <c r="G172" s="372"/>
      <c r="H172" s="575"/>
      <c r="I172" s="221">
        <v>15</v>
      </c>
      <c r="J172" s="222"/>
      <c r="K172" s="866"/>
      <c r="L172" s="575"/>
      <c r="M172" s="397"/>
      <c r="N172" s="532"/>
      <c r="O172" s="533"/>
      <c r="P172" s="632"/>
    </row>
    <row r="173" spans="1:16" ht="13.8" x14ac:dyDescent="0.25">
      <c r="A173" s="717"/>
      <c r="B173" s="718"/>
      <c r="C173" s="718"/>
      <c r="D173" s="699"/>
      <c r="E173" s="659"/>
      <c r="F173" s="407"/>
      <c r="G173" s="372"/>
      <c r="H173" s="575"/>
      <c r="I173" s="221">
        <v>16</v>
      </c>
      <c r="J173" s="222"/>
      <c r="K173" s="866"/>
      <c r="L173" s="575"/>
      <c r="M173" s="397"/>
      <c r="N173" s="532"/>
      <c r="O173" s="533"/>
      <c r="P173" s="632"/>
    </row>
    <row r="174" spans="1:16" ht="13.8" x14ac:dyDescent="0.25">
      <c r="A174" s="717"/>
      <c r="B174" s="718"/>
      <c r="C174" s="718"/>
      <c r="D174" s="699"/>
      <c r="E174" s="659"/>
      <c r="F174" s="407"/>
      <c r="G174" s="372"/>
      <c r="H174" s="575"/>
      <c r="I174" s="221">
        <v>17</v>
      </c>
      <c r="J174" s="222"/>
      <c r="K174" s="866"/>
      <c r="L174" s="575"/>
      <c r="M174" s="397"/>
      <c r="N174" s="532"/>
      <c r="O174" s="533"/>
      <c r="P174" s="632"/>
    </row>
    <row r="175" spans="1:16" ht="13.8" x14ac:dyDescent="0.25">
      <c r="A175" s="717"/>
      <c r="B175" s="718"/>
      <c r="C175" s="718"/>
      <c r="D175" s="699"/>
      <c r="E175" s="659"/>
      <c r="F175" s="407"/>
      <c r="G175" s="372"/>
      <c r="H175" s="575"/>
      <c r="I175" s="221">
        <v>18</v>
      </c>
      <c r="J175" s="222"/>
      <c r="K175" s="866"/>
      <c r="L175" s="575"/>
      <c r="M175" s="397"/>
      <c r="N175" s="532"/>
      <c r="O175" s="533"/>
      <c r="P175" s="632"/>
    </row>
    <row r="176" spans="1:16" ht="13.8" x14ac:dyDescent="0.25">
      <c r="A176" s="717"/>
      <c r="B176" s="718"/>
      <c r="C176" s="718"/>
      <c r="D176" s="699"/>
      <c r="E176" s="659"/>
      <c r="F176" s="407"/>
      <c r="G176" s="372"/>
      <c r="H176" s="575"/>
      <c r="I176" s="221">
        <v>19</v>
      </c>
      <c r="J176" s="222"/>
      <c r="K176" s="866"/>
      <c r="L176" s="575"/>
      <c r="M176" s="397"/>
      <c r="N176" s="532"/>
      <c r="O176" s="533"/>
      <c r="P176" s="632"/>
    </row>
    <row r="177" spans="1:16" ht="9.75" customHeight="1" thickBot="1" x14ac:dyDescent="0.3">
      <c r="A177" s="717"/>
      <c r="B177" s="718"/>
      <c r="C177" s="718"/>
      <c r="D177" s="699"/>
      <c r="E177" s="659"/>
      <c r="F177" s="407"/>
      <c r="G177" s="372"/>
      <c r="H177" s="575"/>
      <c r="I177" s="221">
        <v>20</v>
      </c>
      <c r="J177" s="222"/>
      <c r="K177" s="866"/>
      <c r="L177" s="575"/>
      <c r="M177" s="397"/>
      <c r="N177" s="532"/>
      <c r="O177" s="533"/>
      <c r="P177" s="632"/>
    </row>
    <row r="178" spans="1:16" ht="14.4" hidden="1" thickBot="1" x14ac:dyDescent="0.3">
      <c r="A178" s="717"/>
      <c r="B178" s="718"/>
      <c r="C178" s="718"/>
      <c r="D178" s="699"/>
      <c r="E178" s="659"/>
      <c r="F178" s="407"/>
      <c r="G178" s="372"/>
      <c r="H178" s="575"/>
      <c r="I178" s="221">
        <v>21</v>
      </c>
      <c r="J178" s="132"/>
      <c r="K178" s="866"/>
      <c r="L178" s="575"/>
      <c r="M178" s="397"/>
      <c r="N178" s="532"/>
      <c r="O178" s="533"/>
      <c r="P178" s="632"/>
    </row>
    <row r="179" spans="1:16" ht="14.4" hidden="1" thickBot="1" x14ac:dyDescent="0.3">
      <c r="A179" s="717"/>
      <c r="B179" s="718"/>
      <c r="C179" s="718"/>
      <c r="D179" s="699"/>
      <c r="E179" s="659"/>
      <c r="F179" s="407"/>
      <c r="G179" s="372"/>
      <c r="H179" s="575"/>
      <c r="I179" s="221"/>
      <c r="J179" s="222"/>
      <c r="K179" s="866"/>
      <c r="L179" s="575"/>
      <c r="M179" s="397"/>
      <c r="N179" s="532"/>
      <c r="O179" s="533"/>
      <c r="P179" s="632"/>
    </row>
    <row r="180" spans="1:16" ht="14.4" hidden="1" thickBot="1" x14ac:dyDescent="0.3">
      <c r="A180" s="717"/>
      <c r="B180" s="718"/>
      <c r="C180" s="718"/>
      <c r="D180" s="699"/>
      <c r="E180" s="659"/>
      <c r="F180" s="407"/>
      <c r="G180" s="372"/>
      <c r="H180" s="575"/>
      <c r="I180" s="200"/>
      <c r="J180" s="222"/>
      <c r="K180" s="506"/>
      <c r="L180" s="575"/>
      <c r="M180" s="397"/>
      <c r="N180" s="532"/>
      <c r="O180" s="533"/>
      <c r="P180" s="632"/>
    </row>
    <row r="181" spans="1:16" ht="20.25" hidden="1" customHeight="1" thickBot="1" x14ac:dyDescent="0.3">
      <c r="A181" s="712"/>
      <c r="B181" s="713"/>
      <c r="C181" s="713"/>
      <c r="D181" s="523"/>
      <c r="E181" s="660"/>
      <c r="F181" s="408"/>
      <c r="G181" s="373"/>
      <c r="H181" s="414"/>
      <c r="I181" s="82"/>
      <c r="J181" s="244"/>
      <c r="K181" s="507"/>
      <c r="L181" s="414"/>
      <c r="M181" s="398"/>
      <c r="N181" s="532"/>
      <c r="O181" s="533"/>
      <c r="P181" s="632"/>
    </row>
    <row r="182" spans="1:16" ht="22.5" customHeight="1" x14ac:dyDescent="0.25">
      <c r="A182" s="710">
        <v>12</v>
      </c>
      <c r="B182" s="707" t="s">
        <v>282</v>
      </c>
      <c r="C182" s="707" t="s">
        <v>283</v>
      </c>
      <c r="D182" s="521" t="str">
        <f>+LEFT(E182,4)</f>
        <v>12.5</v>
      </c>
      <c r="E182" s="658" t="s">
        <v>314</v>
      </c>
      <c r="F182" s="406" t="s">
        <v>315</v>
      </c>
      <c r="G182" s="421" t="s">
        <v>950</v>
      </c>
      <c r="H182" s="412">
        <v>3</v>
      </c>
      <c r="I182" s="83">
        <v>1</v>
      </c>
      <c r="J182" t="s">
        <v>957</v>
      </c>
      <c r="K182" s="363" t="s">
        <v>956</v>
      </c>
      <c r="L182" s="412">
        <v>3</v>
      </c>
      <c r="M182" s="513" t="str">
        <f>+IF(OR(ISBLANK(H182),ISBLANK(L182)),"",IF(OR(AND(H182=1,L182=1),AND(H182=1,L182=2),AND(H182=1,L182=3)),"Deficiencia de control mayor (diseño y ejecución)",IF(OR(AND(H182=2,L182=2),AND(H182=3,L182=1),AND(H182=3,L182=2),AND(H182=2,L182=1)),"Deficiencia de control (diseño o ejecución)",IF(AND(H182=2,L182=3),"Oportunidad de mejora","Mantenimiento del control"))))</f>
        <v>Mantenimiento del control</v>
      </c>
      <c r="N182" s="532">
        <f>+IF(M182="",152,IF(M182="Deficiencia de control mayor (diseño y ejecución)",160,IF(M182="Deficiencia de control (diseño o ejecución)",180,IF(M182="Oportunidad de mejora",200,220))))</f>
        <v>220</v>
      </c>
      <c r="O182" s="533">
        <v>4.3569000000000004</v>
      </c>
      <c r="P182" s="533">
        <f>+N182+O182</f>
        <v>224.3569</v>
      </c>
    </row>
    <row r="183" spans="1:16" ht="22.5" customHeight="1" x14ac:dyDescent="0.25">
      <c r="A183" s="711"/>
      <c r="B183" s="708"/>
      <c r="C183" s="708"/>
      <c r="D183" s="522"/>
      <c r="E183" s="659"/>
      <c r="F183" s="407"/>
      <c r="G183" s="422"/>
      <c r="H183" s="413"/>
      <c r="I183" s="81">
        <v>2</v>
      </c>
      <c r="J183" t="s">
        <v>958</v>
      </c>
      <c r="K183" s="506"/>
      <c r="L183" s="413"/>
      <c r="M183" s="396"/>
      <c r="N183" s="532"/>
      <c r="O183" s="533"/>
      <c r="P183" s="533"/>
    </row>
    <row r="184" spans="1:16" ht="22.5" customHeight="1" x14ac:dyDescent="0.25">
      <c r="A184" s="711"/>
      <c r="B184" s="708"/>
      <c r="C184" s="708"/>
      <c r="D184" s="522"/>
      <c r="E184" s="659"/>
      <c r="F184" s="407"/>
      <c r="G184" s="422"/>
      <c r="H184" s="413"/>
      <c r="I184" s="81">
        <v>3</v>
      </c>
      <c r="J184" t="s">
        <v>952</v>
      </c>
      <c r="K184" s="506"/>
      <c r="L184" s="413"/>
      <c r="M184" s="396"/>
      <c r="N184" s="532"/>
      <c r="O184" s="533"/>
      <c r="P184" s="533"/>
    </row>
    <row r="185" spans="1:16" ht="22.5" customHeight="1" x14ac:dyDescent="0.25">
      <c r="A185" s="711"/>
      <c r="B185" s="708"/>
      <c r="C185" s="708"/>
      <c r="D185" s="522"/>
      <c r="E185" s="659"/>
      <c r="F185" s="407"/>
      <c r="G185" s="422"/>
      <c r="H185" s="413"/>
      <c r="I185" s="81">
        <v>4</v>
      </c>
      <c r="J185" t="s">
        <v>959</v>
      </c>
      <c r="K185" s="506"/>
      <c r="L185" s="413"/>
      <c r="M185" s="396"/>
      <c r="N185" s="532"/>
      <c r="O185" s="533"/>
      <c r="P185" s="533"/>
    </row>
    <row r="186" spans="1:16" ht="22.5" customHeight="1" x14ac:dyDescent="0.25">
      <c r="A186" s="711"/>
      <c r="B186" s="708"/>
      <c r="C186" s="708"/>
      <c r="D186" s="522"/>
      <c r="E186" s="659"/>
      <c r="F186" s="407"/>
      <c r="G186" s="422"/>
      <c r="H186" s="413"/>
      <c r="I186" s="81">
        <v>5</v>
      </c>
      <c r="J186" t="s">
        <v>945</v>
      </c>
      <c r="K186" s="506"/>
      <c r="L186" s="413"/>
      <c r="M186" s="396"/>
      <c r="N186" s="532"/>
      <c r="O186" s="533"/>
      <c r="P186" s="533"/>
    </row>
    <row r="187" spans="1:16" ht="22.5" customHeight="1" x14ac:dyDescent="0.25">
      <c r="A187" s="711"/>
      <c r="B187" s="708"/>
      <c r="C187" s="708"/>
      <c r="D187" s="522"/>
      <c r="E187" s="659"/>
      <c r="F187" s="407"/>
      <c r="G187" s="422"/>
      <c r="H187" s="413"/>
      <c r="I187" s="81">
        <v>6</v>
      </c>
      <c r="J187" t="s">
        <v>837</v>
      </c>
      <c r="K187" s="506"/>
      <c r="L187" s="413"/>
      <c r="M187" s="396"/>
      <c r="N187" s="532"/>
      <c r="O187" s="533"/>
      <c r="P187" s="533"/>
    </row>
    <row r="188" spans="1:16" ht="97.5" customHeight="1" x14ac:dyDescent="0.25">
      <c r="A188" s="711"/>
      <c r="B188" s="708"/>
      <c r="C188" s="708"/>
      <c r="D188" s="522"/>
      <c r="E188" s="659"/>
      <c r="F188" s="407"/>
      <c r="G188" s="422"/>
      <c r="H188" s="413"/>
      <c r="I188" s="81">
        <v>7</v>
      </c>
      <c r="J188" t="s">
        <v>960</v>
      </c>
      <c r="K188" s="506"/>
      <c r="L188" s="413"/>
      <c r="M188" s="396"/>
      <c r="N188" s="532"/>
      <c r="O188" s="533"/>
      <c r="P188" s="533"/>
    </row>
    <row r="189" spans="1:16" ht="22.5" hidden="1" customHeight="1" x14ac:dyDescent="0.25">
      <c r="A189" s="717"/>
      <c r="B189" s="718"/>
      <c r="C189" s="718"/>
      <c r="D189" s="699"/>
      <c r="E189" s="659"/>
      <c r="F189" s="407"/>
      <c r="G189" s="479"/>
      <c r="H189" s="575"/>
      <c r="I189" s="200">
        <v>8</v>
      </c>
      <c r="J189" t="s">
        <v>961</v>
      </c>
      <c r="K189" s="506"/>
      <c r="L189" s="575"/>
      <c r="M189" s="397"/>
      <c r="N189" s="532"/>
      <c r="O189" s="533"/>
      <c r="P189" s="533"/>
    </row>
    <row r="190" spans="1:16" ht="22.5" hidden="1" customHeight="1" x14ac:dyDescent="0.25">
      <c r="A190" s="717"/>
      <c r="B190" s="718"/>
      <c r="C190" s="718"/>
      <c r="D190" s="699"/>
      <c r="E190" s="659"/>
      <c r="F190" s="407"/>
      <c r="G190" s="479"/>
      <c r="H190" s="575"/>
      <c r="I190" s="200">
        <v>9</v>
      </c>
      <c r="J190" t="s">
        <v>962</v>
      </c>
      <c r="K190" s="506"/>
      <c r="L190" s="575"/>
      <c r="M190" s="397"/>
      <c r="N190" s="532"/>
      <c r="O190" s="533"/>
      <c r="P190" s="533"/>
    </row>
    <row r="191" spans="1:16" ht="22.5" hidden="1" customHeight="1" x14ac:dyDescent="0.25">
      <c r="A191" s="717"/>
      <c r="B191" s="718"/>
      <c r="C191" s="718"/>
      <c r="D191" s="699"/>
      <c r="E191" s="659"/>
      <c r="F191" s="407"/>
      <c r="G191" s="479"/>
      <c r="H191" s="575"/>
      <c r="I191" s="200">
        <v>10</v>
      </c>
      <c r="J191" s="133"/>
      <c r="K191" s="506"/>
      <c r="L191" s="575"/>
      <c r="M191" s="397"/>
      <c r="N191" s="532"/>
      <c r="O191" s="533"/>
      <c r="P191" s="533"/>
    </row>
    <row r="192" spans="1:16" ht="22.5" hidden="1" customHeight="1" x14ac:dyDescent="0.25">
      <c r="A192" s="717"/>
      <c r="B192" s="718"/>
      <c r="C192" s="718"/>
      <c r="D192" s="699"/>
      <c r="E192" s="659"/>
      <c r="F192" s="407"/>
      <c r="G192" s="479"/>
      <c r="H192" s="575"/>
      <c r="I192" s="221">
        <v>11</v>
      </c>
      <c r="J192" s="133"/>
      <c r="K192" s="866"/>
      <c r="L192" s="575"/>
      <c r="M192" s="397"/>
      <c r="N192" s="532"/>
      <c r="O192" s="533"/>
      <c r="P192" s="533"/>
    </row>
    <row r="193" spans="1:16" ht="22.5" hidden="1" customHeight="1" x14ac:dyDescent="0.25">
      <c r="A193" s="717"/>
      <c r="B193" s="718"/>
      <c r="C193" s="718"/>
      <c r="D193" s="699"/>
      <c r="E193" s="659"/>
      <c r="F193" s="407"/>
      <c r="G193" s="479"/>
      <c r="H193" s="575"/>
      <c r="I193" s="221">
        <v>12</v>
      </c>
      <c r="J193" s="133"/>
      <c r="K193" s="866"/>
      <c r="L193" s="575"/>
      <c r="M193" s="397"/>
      <c r="N193" s="532"/>
      <c r="O193" s="533"/>
      <c r="P193" s="533"/>
    </row>
    <row r="194" spans="1:16" ht="22.5" hidden="1" customHeight="1" x14ac:dyDescent="0.25">
      <c r="A194" s="717"/>
      <c r="B194" s="718"/>
      <c r="C194" s="718"/>
      <c r="D194" s="699"/>
      <c r="E194" s="659"/>
      <c r="F194" s="407"/>
      <c r="G194" s="479"/>
      <c r="H194" s="575"/>
      <c r="I194" s="221">
        <v>13</v>
      </c>
      <c r="J194" s="133"/>
      <c r="K194" s="866"/>
      <c r="L194" s="575"/>
      <c r="M194" s="397"/>
      <c r="N194" s="532"/>
      <c r="O194" s="533"/>
      <c r="P194" s="533"/>
    </row>
    <row r="195" spans="1:16" ht="22.5" hidden="1" customHeight="1" x14ac:dyDescent="0.25">
      <c r="A195" s="717"/>
      <c r="B195" s="718"/>
      <c r="C195" s="718"/>
      <c r="D195" s="699"/>
      <c r="E195" s="659"/>
      <c r="F195" s="407"/>
      <c r="G195" s="479"/>
      <c r="H195" s="575"/>
      <c r="I195" s="221">
        <v>14</v>
      </c>
      <c r="J195" s="133"/>
      <c r="K195" s="866"/>
      <c r="L195" s="575"/>
      <c r="M195" s="397"/>
      <c r="N195" s="532"/>
      <c r="O195" s="533"/>
      <c r="P195" s="533"/>
    </row>
    <row r="196" spans="1:16" ht="22.5" hidden="1" customHeight="1" x14ac:dyDescent="0.25">
      <c r="A196" s="717"/>
      <c r="B196" s="718"/>
      <c r="C196" s="718"/>
      <c r="D196" s="699"/>
      <c r="E196" s="659"/>
      <c r="F196" s="407"/>
      <c r="G196" s="479"/>
      <c r="H196" s="575"/>
      <c r="I196" s="221">
        <v>15</v>
      </c>
      <c r="J196" s="133"/>
      <c r="K196" s="866"/>
      <c r="L196" s="575"/>
      <c r="M196" s="397"/>
      <c r="N196" s="532"/>
      <c r="O196" s="533"/>
      <c r="P196" s="533"/>
    </row>
    <row r="197" spans="1:16" ht="22.5" hidden="1" customHeight="1" x14ac:dyDescent="0.25">
      <c r="A197" s="717"/>
      <c r="B197" s="718"/>
      <c r="C197" s="718"/>
      <c r="D197" s="699"/>
      <c r="E197" s="659"/>
      <c r="F197" s="407"/>
      <c r="G197" s="479"/>
      <c r="H197" s="575"/>
      <c r="I197" s="221">
        <v>16</v>
      </c>
      <c r="J197" s="133"/>
      <c r="K197" s="866"/>
      <c r="L197" s="575"/>
      <c r="M197" s="397"/>
      <c r="N197" s="532"/>
      <c r="O197" s="533"/>
      <c r="P197" s="533"/>
    </row>
    <row r="198" spans="1:16" ht="22.5" hidden="1" customHeight="1" x14ac:dyDescent="0.25">
      <c r="A198" s="717"/>
      <c r="B198" s="718"/>
      <c r="C198" s="718"/>
      <c r="D198" s="699"/>
      <c r="E198" s="659"/>
      <c r="F198" s="407"/>
      <c r="G198" s="479"/>
      <c r="H198" s="575"/>
      <c r="I198" s="221"/>
      <c r="J198" s="133"/>
      <c r="K198" s="866"/>
      <c r="L198" s="575"/>
      <c r="M198" s="397"/>
      <c r="N198" s="532"/>
      <c r="O198" s="533"/>
      <c r="P198" s="533"/>
    </row>
    <row r="199" spans="1:16" ht="22.5" hidden="1" customHeight="1" x14ac:dyDescent="0.25">
      <c r="A199" s="717"/>
      <c r="B199" s="718"/>
      <c r="C199" s="718"/>
      <c r="D199" s="699"/>
      <c r="E199" s="659"/>
      <c r="F199" s="407"/>
      <c r="G199" s="479"/>
      <c r="H199" s="575"/>
      <c r="I199" s="221"/>
      <c r="J199" s="133"/>
      <c r="K199" s="866"/>
      <c r="L199" s="575"/>
      <c r="M199" s="397"/>
      <c r="N199" s="532"/>
      <c r="O199" s="533"/>
      <c r="P199" s="533"/>
    </row>
    <row r="200" spans="1:16" ht="22.5" hidden="1" customHeight="1" x14ac:dyDescent="0.25">
      <c r="A200" s="717"/>
      <c r="B200" s="718"/>
      <c r="C200" s="718"/>
      <c r="D200" s="699"/>
      <c r="E200" s="659"/>
      <c r="F200" s="407"/>
      <c r="G200" s="479"/>
      <c r="H200" s="575"/>
      <c r="I200" s="221"/>
      <c r="J200" s="133"/>
      <c r="K200" s="866"/>
      <c r="L200" s="575"/>
      <c r="M200" s="397"/>
      <c r="N200" s="532"/>
      <c r="O200" s="533"/>
      <c r="P200" s="533"/>
    </row>
    <row r="201" spans="1:16" ht="99.75" customHeight="1" thickBot="1" x14ac:dyDescent="0.3">
      <c r="A201" s="712"/>
      <c r="B201" s="713"/>
      <c r="C201" s="713"/>
      <c r="D201" s="523"/>
      <c r="E201" s="660"/>
      <c r="F201" s="408"/>
      <c r="G201" s="423"/>
      <c r="H201" s="414"/>
      <c r="I201" s="224"/>
      <c r="J201" s="213"/>
      <c r="K201" s="867"/>
      <c r="L201" s="414"/>
      <c r="M201" s="398"/>
      <c r="N201" s="532"/>
      <c r="O201" s="533"/>
      <c r="P201" s="533"/>
    </row>
  </sheetData>
  <mergeCells count="218">
    <mergeCell ref="A158:A181"/>
    <mergeCell ref="B158:B181"/>
    <mergeCell ref="C158:C181"/>
    <mergeCell ref="A182:A201"/>
    <mergeCell ref="B182:B201"/>
    <mergeCell ref="C182:C201"/>
    <mergeCell ref="A122:A139"/>
    <mergeCell ref="B122:B139"/>
    <mergeCell ref="C122:C139"/>
    <mergeCell ref="A140:A148"/>
    <mergeCell ref="B140:B148"/>
    <mergeCell ref="C140:C148"/>
    <mergeCell ref="A149:A157"/>
    <mergeCell ref="B149:B157"/>
    <mergeCell ref="C149:C157"/>
    <mergeCell ref="A86:A106"/>
    <mergeCell ref="B86:B106"/>
    <mergeCell ref="C86:C106"/>
    <mergeCell ref="A107:A118"/>
    <mergeCell ref="B107:B118"/>
    <mergeCell ref="C107:C118"/>
    <mergeCell ref="A119:A121"/>
    <mergeCell ref="B119:B121"/>
    <mergeCell ref="C119:C121"/>
    <mergeCell ref="A54:A56"/>
    <mergeCell ref="B54:B56"/>
    <mergeCell ref="C54:C56"/>
    <mergeCell ref="A57:A71"/>
    <mergeCell ref="B57:B71"/>
    <mergeCell ref="C57:C71"/>
    <mergeCell ref="A72:A85"/>
    <mergeCell ref="B72:B85"/>
    <mergeCell ref="C72:C85"/>
    <mergeCell ref="A21:A33"/>
    <mergeCell ref="B21:B33"/>
    <mergeCell ref="C21:C33"/>
    <mergeCell ref="A34:A45"/>
    <mergeCell ref="B34:B45"/>
    <mergeCell ref="C34:C45"/>
    <mergeCell ref="A46:A53"/>
    <mergeCell ref="B46:B53"/>
    <mergeCell ref="C46:C53"/>
    <mergeCell ref="H149:H157"/>
    <mergeCell ref="M149:M157"/>
    <mergeCell ref="E158:E181"/>
    <mergeCell ref="F158:F181"/>
    <mergeCell ref="G158:G181"/>
    <mergeCell ref="H158:H181"/>
    <mergeCell ref="K149:K157"/>
    <mergeCell ref="K158:K181"/>
    <mergeCell ref="L158:L181"/>
    <mergeCell ref="M158:M181"/>
    <mergeCell ref="L149:L157"/>
    <mergeCell ref="D122:D139"/>
    <mergeCell ref="D140:D148"/>
    <mergeCell ref="D182:D201"/>
    <mergeCell ref="D57:D71"/>
    <mergeCell ref="D72:D85"/>
    <mergeCell ref="D86:D106"/>
    <mergeCell ref="D107:D118"/>
    <mergeCell ref="D119:D121"/>
    <mergeCell ref="D18:D20"/>
    <mergeCell ref="D21:D33"/>
    <mergeCell ref="D34:D45"/>
    <mergeCell ref="D46:D53"/>
    <mergeCell ref="D54:D56"/>
    <mergeCell ref="D149:D157"/>
    <mergeCell ref="D158:D181"/>
    <mergeCell ref="E15:M15"/>
    <mergeCell ref="E16:M16"/>
    <mergeCell ref="M57:M71"/>
    <mergeCell ref="M72:M85"/>
    <mergeCell ref="M86:M106"/>
    <mergeCell ref="M107:M118"/>
    <mergeCell ref="M119:M121"/>
    <mergeCell ref="M18:M20"/>
    <mergeCell ref="M21:M33"/>
    <mergeCell ref="M34:M45"/>
    <mergeCell ref="M46:M53"/>
    <mergeCell ref="M54:M56"/>
    <mergeCell ref="E21:E33"/>
    <mergeCell ref="G21:G33"/>
    <mergeCell ref="H21:H33"/>
    <mergeCell ref="I19:I20"/>
    <mergeCell ref="F21:F33"/>
    <mergeCell ref="L18:L20"/>
    <mergeCell ref="L21:L33"/>
    <mergeCell ref="E18:E20"/>
    <mergeCell ref="H18:H20"/>
    <mergeCell ref="F18:F20"/>
    <mergeCell ref="K19:K20"/>
    <mergeCell ref="I18:K18"/>
    <mergeCell ref="G18:G20"/>
    <mergeCell ref="L72:L85"/>
    <mergeCell ref="L182:L201"/>
    <mergeCell ref="H107:H118"/>
    <mergeCell ref="L107:L118"/>
    <mergeCell ref="L119:L121"/>
    <mergeCell ref="L122:L139"/>
    <mergeCell ref="L140:L148"/>
    <mergeCell ref="L86:L106"/>
    <mergeCell ref="H72:H85"/>
    <mergeCell ref="I120:I121"/>
    <mergeCell ref="I119:K119"/>
    <mergeCell ref="K120:K121"/>
    <mergeCell ref="H140:H148"/>
    <mergeCell ref="H119:H121"/>
    <mergeCell ref="H122:H139"/>
    <mergeCell ref="H182:H201"/>
    <mergeCell ref="H86:H106"/>
    <mergeCell ref="H46:H53"/>
    <mergeCell ref="L46:L53"/>
    <mergeCell ref="J19:J20"/>
    <mergeCell ref="J55:J56"/>
    <mergeCell ref="J120:J121"/>
    <mergeCell ref="K21:K33"/>
    <mergeCell ref="E182:E201"/>
    <mergeCell ref="F182:F201"/>
    <mergeCell ref="F119:F121"/>
    <mergeCell ref="E140:E148"/>
    <mergeCell ref="G140:G148"/>
    <mergeCell ref="E119:E121"/>
    <mergeCell ref="E122:E139"/>
    <mergeCell ref="G122:G139"/>
    <mergeCell ref="F107:F118"/>
    <mergeCell ref="F122:F139"/>
    <mergeCell ref="F140:F148"/>
    <mergeCell ref="G182:G201"/>
    <mergeCell ref="G119:G121"/>
    <mergeCell ref="E107:E118"/>
    <mergeCell ref="G107:G118"/>
    <mergeCell ref="E149:E157"/>
    <mergeCell ref="F149:F157"/>
    <mergeCell ref="G149:G157"/>
    <mergeCell ref="E72:E85"/>
    <mergeCell ref="G72:G85"/>
    <mergeCell ref="F72:F85"/>
    <mergeCell ref="E86:E106"/>
    <mergeCell ref="F86:F106"/>
    <mergeCell ref="G86:G106"/>
    <mergeCell ref="E46:E53"/>
    <mergeCell ref="F46:F53"/>
    <mergeCell ref="G46:G53"/>
    <mergeCell ref="E34:E45"/>
    <mergeCell ref="F34:F45"/>
    <mergeCell ref="G34:G45"/>
    <mergeCell ref="H34:H45"/>
    <mergeCell ref="L34:L45"/>
    <mergeCell ref="L57:L71"/>
    <mergeCell ref="E54:E56"/>
    <mergeCell ref="F54:F56"/>
    <mergeCell ref="G54:G56"/>
    <mergeCell ref="H54:H56"/>
    <mergeCell ref="I54:K54"/>
    <mergeCell ref="L54:L56"/>
    <mergeCell ref="I55:I56"/>
    <mergeCell ref="K55:K56"/>
    <mergeCell ref="E57:E71"/>
    <mergeCell ref="F57:F71"/>
    <mergeCell ref="G57:G71"/>
    <mergeCell ref="H57:H71"/>
    <mergeCell ref="N182:N201"/>
    <mergeCell ref="O18:O20"/>
    <mergeCell ref="O21:O33"/>
    <mergeCell ref="O34:O45"/>
    <mergeCell ref="O46:O53"/>
    <mergeCell ref="O54:O56"/>
    <mergeCell ref="O57:O71"/>
    <mergeCell ref="O72:O85"/>
    <mergeCell ref="O86:O106"/>
    <mergeCell ref="O107:O118"/>
    <mergeCell ref="O119:O121"/>
    <mergeCell ref="O122:O139"/>
    <mergeCell ref="O140:O148"/>
    <mergeCell ref="O182:O201"/>
    <mergeCell ref="N18:N20"/>
    <mergeCell ref="N21:N33"/>
    <mergeCell ref="N34:N45"/>
    <mergeCell ref="N46:N53"/>
    <mergeCell ref="N54:N56"/>
    <mergeCell ref="N57:N71"/>
    <mergeCell ref="N72:N85"/>
    <mergeCell ref="N86:N106"/>
    <mergeCell ref="N107:N118"/>
    <mergeCell ref="N149:N157"/>
    <mergeCell ref="P182:P201"/>
    <mergeCell ref="P18:P20"/>
    <mergeCell ref="P21:P33"/>
    <mergeCell ref="P34:P45"/>
    <mergeCell ref="P46:P53"/>
    <mergeCell ref="P54:P56"/>
    <mergeCell ref="P57:P71"/>
    <mergeCell ref="P72:P85"/>
    <mergeCell ref="P86:P106"/>
    <mergeCell ref="P107:P118"/>
    <mergeCell ref="P149:P157"/>
    <mergeCell ref="P158:P181"/>
    <mergeCell ref="N158:N181"/>
    <mergeCell ref="O149:O157"/>
    <mergeCell ref="O158:O181"/>
    <mergeCell ref="K122:K139"/>
    <mergeCell ref="K140:K148"/>
    <mergeCell ref="P119:P121"/>
    <mergeCell ref="P122:P139"/>
    <mergeCell ref="P140:P148"/>
    <mergeCell ref="N119:N121"/>
    <mergeCell ref="N122:N139"/>
    <mergeCell ref="N140:N148"/>
    <mergeCell ref="K182:K201"/>
    <mergeCell ref="M122:M139"/>
    <mergeCell ref="M140:M148"/>
    <mergeCell ref="M182:M201"/>
    <mergeCell ref="K34:K45"/>
    <mergeCell ref="K46:K53"/>
    <mergeCell ref="K57:K71"/>
    <mergeCell ref="K72:K85"/>
    <mergeCell ref="K86:K106"/>
    <mergeCell ref="K107:K118"/>
  </mergeCells>
  <dataValidations count="1">
    <dataValidation type="list" allowBlank="1" showInputMessage="1" showErrorMessage="1" sqref="L57:L118 H57:H118 H122:H201 L122:L201 L21:L53 H21:H53" xr:uid="{00000000-0002-0000-0400-000000000000}">
      <formula1>"1,2,3"</formula1>
    </dataValidation>
  </dataValidations>
  <hyperlinks>
    <hyperlink ref="J46" r:id="rId1" xr:uid="{891AC6B1-A11A-4AD1-9ADC-4DB84E6B97ED}"/>
    <hyperlink ref="J47" r:id="rId2" display="https://uaespdc.sharepoint.com/:b:/s/oficinadecontrolinterno/EYCgsr-WwnBNqvOLNPtQPN8BiRBUAX-pt9fQ_i7BcH79oQ?e=5j7j66" xr:uid="{7DFFD227-93BE-48E4-90F8-3DA7DD155AF2}"/>
    <hyperlink ref="J165" r:id="rId3" xr:uid="{5E3BC2ED-F5C5-47E2-B3F3-E638C8E635DE}"/>
    <hyperlink ref="J48" r:id="rId4" display="https://uaespdc.sharepoint.com/:f:/s/oficinadecontrolinterno/EkRS-DL3ZgJOjy5rBiS4n7oB-vI_5giskAEWOlRb-EK4Gw?e=oxbDsu" xr:uid="{CE43E72F-29D2-4087-A170-DC66C6FA2AFF}"/>
    <hyperlink ref="J140" r:id="rId5" xr:uid="{4B9FBA00-7F55-4ACC-BA31-B3BC7366A136}"/>
    <hyperlink ref="J158" r:id="rId6" xr:uid="{AE21AC81-F2D6-42A9-9DFA-1A9BD571B17D}"/>
  </hyperlinks>
  <pageMargins left="0.7" right="0.7" top="0.75" bottom="0.75" header="0.3" footer="0.3"/>
  <pageSetup orientation="portrait" r:id="rId7"/>
  <drawing r:id="rId8"/>
  <extLst>
    <ext xmlns:x14="http://schemas.microsoft.com/office/spreadsheetml/2009/9/main" uri="{CCE6A557-97BC-4b89-ADB6-D9C93CAAB3DF}">
      <x14:dataValidations xmlns:xm="http://schemas.microsoft.com/office/excel/2006/main" count="3">
        <x14:dataValidation type="list" allowBlank="1" showInputMessage="1" showErrorMessage="1" xr:uid="{8D13D4B9-5110-4E81-AD7A-8470221B946D}">
          <x14:formula1>
            <xm:f>Datos!$A$1:$A$16</xm:f>
          </x14:formula1>
          <xm:sqref>C57:C118 C122:C201 C21:C53</xm:sqref>
        </x14:dataValidation>
        <x14:dataValidation type="list" allowBlank="1" showInputMessage="1" showErrorMessage="1" xr:uid="{9C789B96-B2BA-4790-AF5A-AE85908984C9}">
          <x14:formula1>
            <xm:f>Datos!$B$1:$B$2</xm:f>
          </x14:formula1>
          <xm:sqref>B122:B201 B57:B118</xm:sqref>
        </x14:dataValidation>
        <x14:dataValidation type="list" allowBlank="1" showInputMessage="1" showErrorMessage="1" xr:uid="{DD833B68-A052-46FA-9384-00C42DEE1A4E}">
          <x14:formula1>
            <xm:f>Datos!$B$1:$B$3</xm:f>
          </x14:formula1>
          <xm:sqref>B21:B53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2:Q169"/>
  <sheetViews>
    <sheetView showGridLines="0" topLeftCell="F14" zoomScale="50" zoomScaleNormal="50" workbookViewId="0">
      <selection activeCell="F19" sqref="F19:F30"/>
    </sheetView>
  </sheetViews>
  <sheetFormatPr baseColWidth="10" defaultColWidth="9.109375" defaultRowHeight="32.25" customHeight="1" x14ac:dyDescent="0.25"/>
  <cols>
    <col min="1" max="1" width="4" style="9" hidden="1" customWidth="1"/>
    <col min="2" max="2" width="0" style="9" hidden="1" customWidth="1"/>
    <col min="3" max="3" width="20.33203125" style="9" hidden="1" customWidth="1"/>
    <col min="4" max="4" width="2.44140625" style="9" hidden="1" customWidth="1"/>
    <col min="5" max="5" width="4.44140625" style="9" hidden="1" customWidth="1"/>
    <col min="6" max="6" width="37.88671875" style="9" customWidth="1"/>
    <col min="7" max="7" width="25.33203125" style="9" customWidth="1"/>
    <col min="8" max="8" width="60" style="9" customWidth="1"/>
    <col min="9" max="9" width="7.44140625" style="9" customWidth="1"/>
    <col min="10" max="10" width="3.44140625" style="9" bestFit="1" customWidth="1"/>
    <col min="11" max="11" width="36.33203125" style="154" customWidth="1"/>
    <col min="12" max="12" width="110.88671875" style="9" customWidth="1"/>
    <col min="13" max="13" width="7.44140625" style="9" customWidth="1"/>
    <col min="14" max="14" width="10.33203125" style="9" customWidth="1"/>
    <col min="15" max="17" width="9.109375" style="53"/>
    <col min="18" max="16384" width="9.109375" style="9"/>
  </cols>
  <sheetData>
    <row r="12" spans="5:17" ht="26.25" customHeight="1" x14ac:dyDescent="0.25">
      <c r="F12" s="763" t="s">
        <v>316</v>
      </c>
      <c r="G12" s="763"/>
      <c r="H12" s="763"/>
      <c r="I12" s="763"/>
      <c r="J12" s="763"/>
      <c r="K12" s="763"/>
      <c r="L12" s="763"/>
      <c r="M12" s="763"/>
      <c r="N12" s="763"/>
    </row>
    <row r="13" spans="5:17" ht="66.75" customHeight="1" x14ac:dyDescent="0.25">
      <c r="F13" s="432" t="s">
        <v>317</v>
      </c>
      <c r="G13" s="432"/>
      <c r="H13" s="432"/>
      <c r="I13" s="432"/>
      <c r="J13" s="432"/>
      <c r="K13" s="432"/>
      <c r="L13" s="432"/>
      <c r="M13" s="432"/>
      <c r="N13" s="432"/>
    </row>
    <row r="14" spans="5:17" ht="13.8" x14ac:dyDescent="0.25"/>
    <row r="15" spans="5:17" ht="12.75" customHeight="1" x14ac:dyDescent="0.25">
      <c r="E15" s="764" t="s">
        <v>111</v>
      </c>
      <c r="F15" s="764" t="s">
        <v>318</v>
      </c>
      <c r="G15" s="731" t="s">
        <v>8</v>
      </c>
      <c r="H15" s="749" t="s">
        <v>149</v>
      </c>
      <c r="I15" s="739" t="s">
        <v>220</v>
      </c>
      <c r="J15" s="753" t="s">
        <v>116</v>
      </c>
      <c r="K15" s="753"/>
      <c r="L15" s="753"/>
      <c r="M15" s="739" t="s">
        <v>221</v>
      </c>
      <c r="N15" s="761" t="s">
        <v>152</v>
      </c>
      <c r="O15" s="570"/>
      <c r="P15" s="570"/>
      <c r="Q15" s="570"/>
    </row>
    <row r="16" spans="5:17" ht="15" customHeight="1" x14ac:dyDescent="0.25">
      <c r="E16" s="727"/>
      <c r="F16" s="727"/>
      <c r="G16" s="731"/>
      <c r="H16" s="750"/>
      <c r="I16" s="739"/>
      <c r="J16" s="753"/>
      <c r="K16" s="753"/>
      <c r="L16" s="753"/>
      <c r="M16" s="739"/>
      <c r="N16" s="761"/>
      <c r="O16" s="570"/>
      <c r="P16" s="570"/>
      <c r="Q16" s="570"/>
    </row>
    <row r="17" spans="1:17" ht="27.75" customHeight="1" x14ac:dyDescent="0.25">
      <c r="E17" s="727"/>
      <c r="F17" s="727"/>
      <c r="G17" s="731"/>
      <c r="H17" s="750"/>
      <c r="I17" s="739"/>
      <c r="J17" s="753" t="s">
        <v>13</v>
      </c>
      <c r="K17" s="731" t="s">
        <v>15</v>
      </c>
      <c r="L17" s="731" t="s">
        <v>119</v>
      </c>
      <c r="M17" s="739"/>
      <c r="N17" s="761"/>
      <c r="O17" s="570"/>
      <c r="P17" s="570"/>
      <c r="Q17" s="570"/>
    </row>
    <row r="18" spans="1:17" ht="72" customHeight="1" thickBot="1" x14ac:dyDescent="0.3">
      <c r="A18" s="125" t="s">
        <v>274</v>
      </c>
      <c r="B18" s="125" t="s">
        <v>275</v>
      </c>
      <c r="C18" s="126" t="s">
        <v>276</v>
      </c>
      <c r="E18" s="727"/>
      <c r="F18" s="727"/>
      <c r="G18" s="731"/>
      <c r="H18" s="751"/>
      <c r="I18" s="739"/>
      <c r="J18" s="753"/>
      <c r="K18" s="731"/>
      <c r="L18" s="753"/>
      <c r="M18" s="739"/>
      <c r="N18" s="762"/>
      <c r="O18" s="570"/>
      <c r="P18" s="570"/>
      <c r="Q18" s="570"/>
    </row>
    <row r="19" spans="1:17" ht="13.8" x14ac:dyDescent="0.25">
      <c r="A19" s="707">
        <v>1</v>
      </c>
      <c r="B19" s="707" t="s">
        <v>289</v>
      </c>
      <c r="C19" s="707" t="s">
        <v>290</v>
      </c>
      <c r="E19" s="521" t="str">
        <f>+LEFT(F19,4)</f>
        <v>13.1</v>
      </c>
      <c r="F19" s="765" t="s">
        <v>319</v>
      </c>
      <c r="G19" s="406" t="s">
        <v>320</v>
      </c>
      <c r="H19" s="421" t="s">
        <v>963</v>
      </c>
      <c r="I19" s="740">
        <v>3</v>
      </c>
      <c r="J19" s="83">
        <v>1</v>
      </c>
      <c r="K19" t="s">
        <v>890</v>
      </c>
      <c r="L19" s="370" t="s">
        <v>964</v>
      </c>
      <c r="M19" s="412">
        <v>3</v>
      </c>
      <c r="N19" s="513" t="str">
        <f>+IF(OR(ISBLANK(I19),ISBLANK(M19)),"",IF(OR(AND(I19=1,M19=1),AND(I19=1,M19=2),AND(I19=1,M19=3)),"Deficiencia de control mayor (diseño y ejecución)",IF(OR(AND(I19=2,M19=2),AND(I19=3,M19=1),AND(I19=3,M19=2),AND(I19=2,M19=1)),"Deficiencia de control (diseño o ejecución)",IF(AND(I19=2,M19=3),"Oportunidad de mejora","Mantenimiento del control"))))</f>
        <v>Mantenimiento del control</v>
      </c>
      <c r="O19" s="532">
        <f>+IF(N19="",231,IF(N19="Deficiencia de control mayor (diseño y ejecución)",240,IF(N19="Deficiencia de control (diseño o ejecución)",260,IF(N19="Oportunidad de mejora",280,300))))</f>
        <v>300</v>
      </c>
      <c r="P19" s="533">
        <v>4.4569000000000001</v>
      </c>
      <c r="Q19" s="533">
        <f>+O19+P19</f>
        <v>304.45690000000002</v>
      </c>
    </row>
    <row r="20" spans="1:17" ht="13.8" x14ac:dyDescent="0.25">
      <c r="A20" s="708"/>
      <c r="B20" s="708"/>
      <c r="C20" s="708"/>
      <c r="E20" s="522"/>
      <c r="F20" s="737"/>
      <c r="G20" s="407"/>
      <c r="H20" s="470"/>
      <c r="I20" s="741"/>
      <c r="J20" s="81">
        <v>2</v>
      </c>
      <c r="K20" t="s">
        <v>965</v>
      </c>
      <c r="L20" s="372"/>
      <c r="M20" s="413"/>
      <c r="N20" s="396"/>
      <c r="O20" s="532"/>
      <c r="P20" s="533"/>
      <c r="Q20" s="533"/>
    </row>
    <row r="21" spans="1:17" ht="13.8" x14ac:dyDescent="0.25">
      <c r="A21" s="708"/>
      <c r="B21" s="708"/>
      <c r="C21" s="708"/>
      <c r="E21" s="522"/>
      <c r="F21" s="737"/>
      <c r="G21" s="407"/>
      <c r="H21" s="470"/>
      <c r="I21" s="741"/>
      <c r="J21" s="81">
        <v>3</v>
      </c>
      <c r="K21" t="s">
        <v>966</v>
      </c>
      <c r="L21" s="372"/>
      <c r="M21" s="413"/>
      <c r="N21" s="396"/>
      <c r="O21" s="532"/>
      <c r="P21" s="533"/>
      <c r="Q21" s="533"/>
    </row>
    <row r="22" spans="1:17" ht="13.8" x14ac:dyDescent="0.25">
      <c r="A22" s="708"/>
      <c r="B22" s="708"/>
      <c r="C22" s="708"/>
      <c r="E22" s="522"/>
      <c r="F22" s="737"/>
      <c r="G22" s="407"/>
      <c r="H22" s="470"/>
      <c r="I22" s="741"/>
      <c r="J22" s="81">
        <v>4</v>
      </c>
      <c r="K22" t="s">
        <v>967</v>
      </c>
      <c r="L22" s="372"/>
      <c r="M22" s="413"/>
      <c r="N22" s="396"/>
      <c r="O22" s="532"/>
      <c r="P22" s="533"/>
      <c r="Q22" s="533"/>
    </row>
    <row r="23" spans="1:17" ht="13.8" x14ac:dyDescent="0.25">
      <c r="A23" s="708"/>
      <c r="B23" s="708"/>
      <c r="C23" s="708"/>
      <c r="E23" s="522"/>
      <c r="F23" s="737"/>
      <c r="G23" s="407"/>
      <c r="H23" s="470"/>
      <c r="I23" s="741"/>
      <c r="J23" s="81">
        <v>5</v>
      </c>
      <c r="K23" t="s">
        <v>968</v>
      </c>
      <c r="L23" s="372"/>
      <c r="M23" s="413"/>
      <c r="N23" s="396"/>
      <c r="O23" s="532"/>
      <c r="P23" s="533"/>
      <c r="Q23" s="533"/>
    </row>
    <row r="24" spans="1:17" ht="13.8" x14ac:dyDescent="0.25">
      <c r="A24" s="708"/>
      <c r="B24" s="708"/>
      <c r="C24" s="708"/>
      <c r="E24" s="522"/>
      <c r="F24" s="737"/>
      <c r="G24" s="407"/>
      <c r="H24" s="470"/>
      <c r="I24" s="741"/>
      <c r="J24" s="81">
        <v>6</v>
      </c>
      <c r="K24" t="s">
        <v>969</v>
      </c>
      <c r="L24" s="372"/>
      <c r="M24" s="413"/>
      <c r="N24" s="396"/>
      <c r="O24" s="532"/>
      <c r="P24" s="533"/>
      <c r="Q24" s="533"/>
    </row>
    <row r="25" spans="1:17" ht="13.8" x14ac:dyDescent="0.25">
      <c r="A25" s="708"/>
      <c r="B25" s="708"/>
      <c r="C25" s="708"/>
      <c r="E25" s="522"/>
      <c r="F25" s="737"/>
      <c r="G25" s="407"/>
      <c r="H25" s="470"/>
      <c r="I25" s="741"/>
      <c r="J25" s="81">
        <v>7</v>
      </c>
      <c r="K25" t="s">
        <v>970</v>
      </c>
      <c r="L25" s="372"/>
      <c r="M25" s="413"/>
      <c r="N25" s="396"/>
      <c r="O25" s="532"/>
      <c r="P25" s="533"/>
      <c r="Q25" s="533"/>
    </row>
    <row r="26" spans="1:17" ht="13.8" x14ac:dyDescent="0.25">
      <c r="A26" s="708"/>
      <c r="B26" s="708"/>
      <c r="C26" s="708"/>
      <c r="E26" s="522"/>
      <c r="F26" s="737"/>
      <c r="G26" s="407"/>
      <c r="H26" s="470"/>
      <c r="I26" s="741"/>
      <c r="J26" s="81">
        <v>8</v>
      </c>
      <c r="K26" t="s">
        <v>971</v>
      </c>
      <c r="L26" s="372"/>
      <c r="M26" s="413"/>
      <c r="N26" s="396"/>
      <c r="O26" s="532"/>
      <c r="P26" s="533"/>
      <c r="Q26" s="533"/>
    </row>
    <row r="27" spans="1:17" ht="13.8" x14ac:dyDescent="0.25">
      <c r="A27" s="708"/>
      <c r="B27" s="708"/>
      <c r="C27" s="708"/>
      <c r="E27" s="522"/>
      <c r="F27" s="737"/>
      <c r="G27" s="407"/>
      <c r="H27" s="470"/>
      <c r="I27" s="741"/>
      <c r="J27" s="81">
        <v>9</v>
      </c>
      <c r="K27" t="s">
        <v>972</v>
      </c>
      <c r="L27" s="372"/>
      <c r="M27" s="413"/>
      <c r="N27" s="396"/>
      <c r="O27" s="532"/>
      <c r="P27" s="533"/>
      <c r="Q27" s="533"/>
    </row>
    <row r="28" spans="1:17" ht="13.8" x14ac:dyDescent="0.25">
      <c r="A28" s="708"/>
      <c r="B28" s="708"/>
      <c r="C28" s="708"/>
      <c r="E28" s="522"/>
      <c r="F28" s="737"/>
      <c r="G28" s="407"/>
      <c r="H28" s="470"/>
      <c r="I28" s="741"/>
      <c r="J28" s="81">
        <v>10</v>
      </c>
      <c r="K28" t="s">
        <v>973</v>
      </c>
      <c r="L28" s="372"/>
      <c r="M28" s="413"/>
      <c r="N28" s="396"/>
      <c r="O28" s="532"/>
      <c r="P28" s="533"/>
      <c r="Q28" s="533"/>
    </row>
    <row r="29" spans="1:17" ht="13.8" x14ac:dyDescent="0.25">
      <c r="A29" s="708"/>
      <c r="B29" s="708"/>
      <c r="C29" s="708"/>
      <c r="E29" s="522"/>
      <c r="F29" s="737"/>
      <c r="G29" s="407"/>
      <c r="H29" s="470"/>
      <c r="I29" s="741"/>
      <c r="J29" s="81"/>
      <c r="K29"/>
      <c r="L29" s="372"/>
      <c r="M29" s="413"/>
      <c r="N29" s="396"/>
      <c r="O29" s="532"/>
      <c r="P29" s="533"/>
      <c r="Q29" s="533"/>
    </row>
    <row r="30" spans="1:17" ht="14.4" thickBot="1" x14ac:dyDescent="0.3">
      <c r="A30" s="713"/>
      <c r="B30" s="713"/>
      <c r="C30" s="713"/>
      <c r="E30" s="523"/>
      <c r="F30" s="738"/>
      <c r="G30" s="408"/>
      <c r="H30" s="471"/>
      <c r="I30" s="742"/>
      <c r="J30" s="82"/>
      <c r="K30" s="136"/>
      <c r="L30" s="373"/>
      <c r="M30" s="414"/>
      <c r="N30" s="398"/>
      <c r="O30" s="532"/>
      <c r="P30" s="533"/>
      <c r="Q30" s="533"/>
    </row>
    <row r="31" spans="1:17" ht="13.8" x14ac:dyDescent="0.25">
      <c r="A31" s="707">
        <v>2</v>
      </c>
      <c r="B31" s="707" t="s">
        <v>289</v>
      </c>
      <c r="C31" s="707" t="s">
        <v>290</v>
      </c>
      <c r="E31" s="521" t="str">
        <f>+LEFT(F31,4)</f>
        <v>13.2</v>
      </c>
      <c r="F31" s="756" t="s">
        <v>322</v>
      </c>
      <c r="G31" s="406" t="s">
        <v>323</v>
      </c>
      <c r="H31" s="421" t="s">
        <v>991</v>
      </c>
      <c r="I31" s="415">
        <v>3</v>
      </c>
      <c r="J31" s="83">
        <v>1</v>
      </c>
      <c r="K31" t="s">
        <v>896</v>
      </c>
      <c r="L31" s="370" t="s">
        <v>974</v>
      </c>
      <c r="M31" s="412">
        <v>3</v>
      </c>
      <c r="N31" s="513" t="str">
        <f>+IF(OR(ISBLANK(I31),ISBLANK(M31)),"",IF(OR(AND(I31=1,M31=1),AND(I31=1,M31=2),AND(I31=1,M31=3)),"Deficiencia de control mayor (diseño y ejecución)",IF(OR(AND(I31=2,M31=2),AND(I31=3,M31=1),AND(I31=3,M31=2),AND(I31=2,M31=1)),"Deficiencia de control (diseño o ejecución)",IF(AND(I31=2,M31=3),"Oportunidad de mejora","Mantenimiento del control"))))</f>
        <v>Mantenimiento del control</v>
      </c>
      <c r="O31" s="532">
        <f>+IF(N31="",231,IF(N31="Deficiencia de control mayor (diseño y ejecución)",240,IF(N31="Deficiencia de control (diseño o ejecución)",260,IF(N31="Oportunidad de mejora",280,300))))</f>
        <v>300</v>
      </c>
      <c r="P31" s="533">
        <v>4.5632000000000001</v>
      </c>
      <c r="Q31" s="533">
        <f>+O31+P31</f>
        <v>304.56319999999999</v>
      </c>
    </row>
    <row r="32" spans="1:17" ht="13.8" x14ac:dyDescent="0.25">
      <c r="A32" s="708"/>
      <c r="B32" s="708"/>
      <c r="C32" s="708"/>
      <c r="E32" s="522"/>
      <c r="F32" s="737"/>
      <c r="G32" s="407"/>
      <c r="H32" s="470"/>
      <c r="I32" s="416"/>
      <c r="J32" s="81">
        <v>2</v>
      </c>
      <c r="K32" t="s">
        <v>975</v>
      </c>
      <c r="L32" s="372"/>
      <c r="M32" s="413"/>
      <c r="N32" s="396"/>
      <c r="O32" s="532"/>
      <c r="P32" s="533"/>
      <c r="Q32" s="533"/>
    </row>
    <row r="33" spans="1:17" ht="13.8" x14ac:dyDescent="0.25">
      <c r="A33" s="708"/>
      <c r="B33" s="708"/>
      <c r="C33" s="708"/>
      <c r="E33" s="522"/>
      <c r="F33" s="737"/>
      <c r="G33" s="407"/>
      <c r="H33" s="470"/>
      <c r="I33" s="416"/>
      <c r="J33" s="81">
        <v>3</v>
      </c>
      <c r="K33" t="s">
        <v>976</v>
      </c>
      <c r="L33" s="372"/>
      <c r="M33" s="413"/>
      <c r="N33" s="396"/>
      <c r="O33" s="532"/>
      <c r="P33" s="533"/>
      <c r="Q33" s="533"/>
    </row>
    <row r="34" spans="1:17" ht="13.8" x14ac:dyDescent="0.25">
      <c r="A34" s="708"/>
      <c r="B34" s="708"/>
      <c r="C34" s="708"/>
      <c r="E34" s="522"/>
      <c r="F34" s="737"/>
      <c r="G34" s="407"/>
      <c r="H34" s="470"/>
      <c r="I34" s="416"/>
      <c r="J34" s="81">
        <v>4</v>
      </c>
      <c r="K34" t="s">
        <v>977</v>
      </c>
      <c r="L34" s="372"/>
      <c r="M34" s="413"/>
      <c r="N34" s="396"/>
      <c r="O34" s="532"/>
      <c r="P34" s="533"/>
      <c r="Q34" s="533"/>
    </row>
    <row r="35" spans="1:17" ht="13.8" x14ac:dyDescent="0.25">
      <c r="A35" s="708"/>
      <c r="B35" s="708"/>
      <c r="C35" s="708"/>
      <c r="E35" s="522"/>
      <c r="F35" s="737"/>
      <c r="G35" s="407"/>
      <c r="H35" s="470"/>
      <c r="I35" s="416"/>
      <c r="J35" s="81">
        <v>5</v>
      </c>
      <c r="K35" t="s">
        <v>978</v>
      </c>
      <c r="L35" s="372"/>
      <c r="M35" s="413"/>
      <c r="N35" s="396"/>
      <c r="O35" s="532"/>
      <c r="P35" s="533"/>
      <c r="Q35" s="533"/>
    </row>
    <row r="36" spans="1:17" ht="13.8" x14ac:dyDescent="0.25">
      <c r="A36" s="708"/>
      <c r="B36" s="708"/>
      <c r="C36" s="708"/>
      <c r="E36" s="522"/>
      <c r="F36" s="737"/>
      <c r="G36" s="407"/>
      <c r="H36" s="470"/>
      <c r="I36" s="416"/>
      <c r="J36" s="81">
        <v>6</v>
      </c>
      <c r="K36" t="s">
        <v>971</v>
      </c>
      <c r="L36" s="372"/>
      <c r="M36" s="413"/>
      <c r="N36" s="396"/>
      <c r="O36" s="532"/>
      <c r="P36" s="533"/>
      <c r="Q36" s="533"/>
    </row>
    <row r="37" spans="1:17" ht="13.8" x14ac:dyDescent="0.25">
      <c r="A37" s="708"/>
      <c r="B37" s="708"/>
      <c r="C37" s="708"/>
      <c r="E37" s="522"/>
      <c r="F37" s="737"/>
      <c r="G37" s="407"/>
      <c r="H37" s="470"/>
      <c r="I37" s="416"/>
      <c r="J37" s="81">
        <v>7</v>
      </c>
      <c r="K37" t="s">
        <v>979</v>
      </c>
      <c r="L37" s="372"/>
      <c r="M37" s="413"/>
      <c r="N37" s="396"/>
      <c r="O37" s="532"/>
      <c r="P37" s="533"/>
      <c r="Q37" s="533"/>
    </row>
    <row r="38" spans="1:17" ht="13.8" x14ac:dyDescent="0.25">
      <c r="A38" s="708"/>
      <c r="B38" s="708"/>
      <c r="C38" s="708"/>
      <c r="E38" s="522"/>
      <c r="F38" s="737"/>
      <c r="G38" s="407"/>
      <c r="H38" s="470"/>
      <c r="I38" s="416"/>
      <c r="J38" s="81">
        <v>8</v>
      </c>
      <c r="K38" t="s">
        <v>980</v>
      </c>
      <c r="L38" s="372"/>
      <c r="M38" s="413"/>
      <c r="N38" s="396"/>
      <c r="O38" s="532"/>
      <c r="P38" s="533"/>
      <c r="Q38" s="533"/>
    </row>
    <row r="39" spans="1:17" ht="13.8" x14ac:dyDescent="0.25">
      <c r="A39" s="708"/>
      <c r="B39" s="708"/>
      <c r="C39" s="708"/>
      <c r="E39" s="522"/>
      <c r="F39" s="737"/>
      <c r="G39" s="407"/>
      <c r="H39" s="470"/>
      <c r="I39" s="416"/>
      <c r="J39" s="81">
        <v>9</v>
      </c>
      <c r="K39" s="152"/>
      <c r="L39" s="372"/>
      <c r="M39" s="413"/>
      <c r="N39" s="396"/>
      <c r="O39" s="532"/>
      <c r="P39" s="533"/>
      <c r="Q39" s="533"/>
    </row>
    <row r="40" spans="1:17" ht="101.25" customHeight="1" thickBot="1" x14ac:dyDescent="0.3">
      <c r="A40" s="708"/>
      <c r="B40" s="708"/>
      <c r="C40" s="708"/>
      <c r="E40" s="522"/>
      <c r="F40" s="737"/>
      <c r="G40" s="407"/>
      <c r="H40" s="470"/>
      <c r="I40" s="416"/>
      <c r="J40" s="81"/>
      <c r="K40" s="273"/>
      <c r="L40" s="372"/>
      <c r="M40" s="413"/>
      <c r="N40" s="396"/>
      <c r="O40" s="532"/>
      <c r="P40" s="533"/>
      <c r="Q40" s="533"/>
    </row>
    <row r="41" spans="1:17" ht="13.8" x14ac:dyDescent="0.25">
      <c r="A41" s="766">
        <v>3</v>
      </c>
      <c r="B41" s="707" t="s">
        <v>289</v>
      </c>
      <c r="C41" s="707" t="s">
        <v>290</v>
      </c>
      <c r="E41" s="521" t="str">
        <f>+LEFT(F41,4)</f>
        <v>13.3</v>
      </c>
      <c r="F41" s="756" t="s">
        <v>325</v>
      </c>
      <c r="G41" s="406" t="s">
        <v>323</v>
      </c>
      <c r="H41" s="421" t="s">
        <v>990</v>
      </c>
      <c r="I41" s="415">
        <v>3</v>
      </c>
      <c r="J41" s="83">
        <v>1</v>
      </c>
      <c r="K41" s="265" t="s">
        <v>981</v>
      </c>
      <c r="L41" s="370" t="s">
        <v>989</v>
      </c>
      <c r="M41" s="412">
        <v>3</v>
      </c>
      <c r="N41" s="513" t="str">
        <f>+IF(OR(ISBLANK(I41),ISBLANK(M41)),"",IF(OR(AND(I41=1,M41=1),AND(I41=1,M41=2),AND(I41=1,M41=3)),"Deficiencia de control mayor (diseño y ejecución)",IF(OR(AND(I41=2,M41=2),AND(I41=3,M41=1),AND(I41=3,M41=2),AND(I41=2,M41=1)),"Deficiencia de control (diseño o ejecución)",IF(AND(I41=2,M41=3),"Oportunidad de mejora","Mantenimiento del control"))))</f>
        <v>Mantenimiento del control</v>
      </c>
      <c r="O41" s="532">
        <f>+IF(N41="",231,IF(N41="Deficiencia de control mayor (diseño y ejecución)",240,IF(N41="Deficiencia de control (diseño o ejecución)",260,IF(N41="Oportunidad de mejora",280,300))))</f>
        <v>300</v>
      </c>
      <c r="P41" s="533">
        <v>4.6321000000000003</v>
      </c>
      <c r="Q41" s="533">
        <f>+O41+P41</f>
        <v>304.63209999999998</v>
      </c>
    </row>
    <row r="42" spans="1:17" ht="13.8" x14ac:dyDescent="0.25">
      <c r="A42" s="767"/>
      <c r="B42" s="708"/>
      <c r="C42" s="708"/>
      <c r="E42" s="522"/>
      <c r="F42" s="737"/>
      <c r="G42" s="407"/>
      <c r="H42" s="470"/>
      <c r="I42" s="416"/>
      <c r="J42" s="81">
        <v>2</v>
      </c>
      <c r="K42" s="263" t="s">
        <v>982</v>
      </c>
      <c r="L42" s="372"/>
      <c r="M42" s="413"/>
      <c r="N42" s="396"/>
      <c r="O42" s="532"/>
      <c r="P42" s="533"/>
      <c r="Q42" s="533"/>
    </row>
    <row r="43" spans="1:17" ht="13.8" x14ac:dyDescent="0.25">
      <c r="A43" s="767"/>
      <c r="B43" s="708"/>
      <c r="C43" s="708"/>
      <c r="E43" s="522"/>
      <c r="F43" s="737"/>
      <c r="G43" s="407"/>
      <c r="H43" s="470"/>
      <c r="I43" s="416"/>
      <c r="J43" s="81">
        <v>3</v>
      </c>
      <c r="K43" s="263" t="s">
        <v>983</v>
      </c>
      <c r="L43" s="372"/>
      <c r="M43" s="413"/>
      <c r="N43" s="396"/>
      <c r="O43" s="532"/>
      <c r="P43" s="533"/>
      <c r="Q43" s="533"/>
    </row>
    <row r="44" spans="1:17" ht="13.8" x14ac:dyDescent="0.25">
      <c r="A44" s="767"/>
      <c r="B44" s="708"/>
      <c r="C44" s="708"/>
      <c r="E44" s="522"/>
      <c r="F44" s="737"/>
      <c r="G44" s="407"/>
      <c r="H44" s="470"/>
      <c r="I44" s="416"/>
      <c r="J44" s="81">
        <v>4</v>
      </c>
      <c r="K44" s="263" t="s">
        <v>984</v>
      </c>
      <c r="L44" s="372"/>
      <c r="M44" s="413"/>
      <c r="N44" s="396"/>
      <c r="O44" s="532"/>
      <c r="P44" s="533"/>
      <c r="Q44" s="533"/>
    </row>
    <row r="45" spans="1:17" ht="13.8" x14ac:dyDescent="0.25">
      <c r="A45" s="767"/>
      <c r="B45" s="708"/>
      <c r="C45" s="708"/>
      <c r="E45" s="522"/>
      <c r="F45" s="737"/>
      <c r="G45" s="407"/>
      <c r="H45" s="470"/>
      <c r="I45" s="416"/>
      <c r="J45" s="81">
        <v>5</v>
      </c>
      <c r="K45" s="263" t="s">
        <v>985</v>
      </c>
      <c r="L45" s="372"/>
      <c r="M45" s="413"/>
      <c r="N45" s="396"/>
      <c r="O45" s="532"/>
      <c r="P45" s="533"/>
      <c r="Q45" s="533"/>
    </row>
    <row r="46" spans="1:17" ht="13.8" x14ac:dyDescent="0.25">
      <c r="A46" s="767"/>
      <c r="B46" s="708"/>
      <c r="C46" s="708"/>
      <c r="E46" s="522"/>
      <c r="F46" s="737"/>
      <c r="G46" s="407"/>
      <c r="H46" s="470"/>
      <c r="I46" s="416"/>
      <c r="J46" s="81">
        <v>6</v>
      </c>
      <c r="K46" s="263" t="s">
        <v>986</v>
      </c>
      <c r="L46" s="372"/>
      <c r="M46" s="413"/>
      <c r="N46" s="396"/>
      <c r="O46" s="532"/>
      <c r="P46" s="533"/>
      <c r="Q46" s="533"/>
    </row>
    <row r="47" spans="1:17" ht="13.8" x14ac:dyDescent="0.25">
      <c r="A47" s="767"/>
      <c r="B47" s="708"/>
      <c r="C47" s="708"/>
      <c r="E47" s="522"/>
      <c r="F47" s="737"/>
      <c r="G47" s="407"/>
      <c r="H47" s="470"/>
      <c r="I47" s="416"/>
      <c r="J47" s="81">
        <v>7</v>
      </c>
      <c r="K47" s="263" t="s">
        <v>987</v>
      </c>
      <c r="L47" s="372"/>
      <c r="M47" s="413"/>
      <c r="N47" s="396"/>
      <c r="O47" s="532"/>
      <c r="P47" s="533"/>
      <c r="Q47" s="533"/>
    </row>
    <row r="48" spans="1:17" ht="13.8" x14ac:dyDescent="0.25">
      <c r="A48" s="767"/>
      <c r="B48" s="708"/>
      <c r="C48" s="708"/>
      <c r="E48" s="522"/>
      <c r="F48" s="737"/>
      <c r="G48" s="407"/>
      <c r="H48" s="470"/>
      <c r="I48" s="416"/>
      <c r="J48" s="81">
        <v>8</v>
      </c>
      <c r="K48" s="263" t="s">
        <v>764</v>
      </c>
      <c r="L48" s="372"/>
      <c r="M48" s="413"/>
      <c r="N48" s="396"/>
      <c r="O48" s="532"/>
      <c r="P48" s="533"/>
      <c r="Q48" s="533"/>
    </row>
    <row r="49" spans="1:17" ht="13.8" x14ac:dyDescent="0.25">
      <c r="A49" s="767"/>
      <c r="B49" s="708"/>
      <c r="C49" s="708"/>
      <c r="E49" s="522"/>
      <c r="F49" s="737"/>
      <c r="G49" s="407"/>
      <c r="H49" s="470"/>
      <c r="I49" s="416"/>
      <c r="J49" s="81">
        <v>9</v>
      </c>
      <c r="K49" s="263" t="s">
        <v>852</v>
      </c>
      <c r="L49" s="372"/>
      <c r="M49" s="413"/>
      <c r="N49" s="396"/>
      <c r="O49" s="532"/>
      <c r="P49" s="533"/>
      <c r="Q49" s="533"/>
    </row>
    <row r="50" spans="1:17" ht="13.8" x14ac:dyDescent="0.25">
      <c r="A50" s="767"/>
      <c r="B50" s="708"/>
      <c r="C50" s="708"/>
      <c r="E50" s="522"/>
      <c r="F50" s="737"/>
      <c r="G50" s="407"/>
      <c r="H50" s="470"/>
      <c r="I50" s="416"/>
      <c r="J50" s="81">
        <v>10</v>
      </c>
      <c r="K50" s="263" t="s">
        <v>988</v>
      </c>
      <c r="L50" s="372"/>
      <c r="M50" s="413"/>
      <c r="N50" s="396"/>
      <c r="O50" s="532"/>
      <c r="P50" s="533"/>
      <c r="Q50" s="533"/>
    </row>
    <row r="51" spans="1:17" ht="141.6" customHeight="1" thickBot="1" x14ac:dyDescent="0.3">
      <c r="A51" s="768"/>
      <c r="B51" s="713"/>
      <c r="C51" s="713"/>
      <c r="E51" s="523"/>
      <c r="F51" s="738"/>
      <c r="G51" s="408"/>
      <c r="H51" s="471"/>
      <c r="I51" s="417"/>
      <c r="J51" s="82"/>
      <c r="K51" s="267"/>
      <c r="L51" s="373"/>
      <c r="M51" s="414"/>
      <c r="N51" s="398"/>
      <c r="O51" s="532"/>
      <c r="P51" s="533"/>
      <c r="Q51" s="533"/>
    </row>
    <row r="52" spans="1:17" ht="13.8" x14ac:dyDescent="0.25">
      <c r="A52" s="766">
        <v>4</v>
      </c>
      <c r="B52" s="707" t="s">
        <v>289</v>
      </c>
      <c r="C52" s="707" t="s">
        <v>290</v>
      </c>
      <c r="D52" s="725"/>
      <c r="E52" s="521" t="str">
        <f>+LEFT(F52,4)</f>
        <v>13.4</v>
      </c>
      <c r="F52" s="756" t="s">
        <v>326</v>
      </c>
      <c r="G52" s="406" t="s">
        <v>323</v>
      </c>
      <c r="H52" s="421" t="s">
        <v>327</v>
      </c>
      <c r="I52" s="415">
        <v>3</v>
      </c>
      <c r="J52" s="83">
        <v>1</v>
      </c>
      <c r="K52" s="265" t="s">
        <v>891</v>
      </c>
      <c r="L52" s="377" t="s">
        <v>992</v>
      </c>
      <c r="M52" s="412">
        <v>3</v>
      </c>
      <c r="N52" s="513" t="str">
        <f>+IF(OR(ISBLANK(I52),ISBLANK(M52)),"",IF(OR(AND(I52=1,M52=1),AND(I52=1,M52=2),AND(I52=1,M52=3)),"Deficiencia de control mayor (diseño y ejecución)",IF(OR(AND(I52=2,M52=2),AND(I52=3,M52=1),AND(I52=3,M52=2),AND(I52=2,M52=1)),"Deficiencia de control (diseño o ejecución)",IF(AND(I52=2,M52=3),"Oportunidad de mejora","Mantenimiento del control"))))</f>
        <v>Mantenimiento del control</v>
      </c>
      <c r="O52" s="532">
        <f>+IF(N52="",231,IF(N52="Deficiencia de control mayor (diseño y ejecución)",240,IF(N52="Deficiencia de control (diseño o ejecución)",260,IF(N52="Oportunidad de mejora",280,300))))</f>
        <v>300</v>
      </c>
      <c r="P52" s="533">
        <v>4.7896000000000001</v>
      </c>
      <c r="Q52" s="533">
        <f>+O52+P52</f>
        <v>304.78960000000001</v>
      </c>
    </row>
    <row r="53" spans="1:17" ht="13.8" x14ac:dyDescent="0.25">
      <c r="A53" s="767"/>
      <c r="B53" s="708"/>
      <c r="C53" s="708"/>
      <c r="D53" s="725"/>
      <c r="E53" s="522"/>
      <c r="F53" s="737"/>
      <c r="G53" s="407"/>
      <c r="H53" s="470"/>
      <c r="I53" s="416"/>
      <c r="J53" s="81">
        <v>2</v>
      </c>
      <c r="K53" s="263" t="s">
        <v>896</v>
      </c>
      <c r="L53" s="372"/>
      <c r="M53" s="413"/>
      <c r="N53" s="396"/>
      <c r="O53" s="532"/>
      <c r="P53" s="533"/>
      <c r="Q53" s="533"/>
    </row>
    <row r="54" spans="1:17" ht="13.8" x14ac:dyDescent="0.25">
      <c r="A54" s="767"/>
      <c r="B54" s="708"/>
      <c r="C54" s="708"/>
      <c r="E54" s="522"/>
      <c r="F54" s="737"/>
      <c r="G54" s="407"/>
      <c r="H54" s="470"/>
      <c r="I54" s="416"/>
      <c r="J54" s="81">
        <v>3</v>
      </c>
      <c r="K54" s="263" t="s">
        <v>895</v>
      </c>
      <c r="L54" s="372"/>
      <c r="M54" s="413"/>
      <c r="N54" s="396"/>
      <c r="O54" s="532"/>
      <c r="P54" s="533"/>
      <c r="Q54" s="533"/>
    </row>
    <row r="55" spans="1:17" ht="13.8" x14ac:dyDescent="0.25">
      <c r="A55" s="767"/>
      <c r="B55" s="708"/>
      <c r="C55" s="708"/>
      <c r="E55" s="522"/>
      <c r="F55" s="737"/>
      <c r="G55" s="407"/>
      <c r="H55" s="470"/>
      <c r="I55" s="416"/>
      <c r="J55" s="81">
        <v>4</v>
      </c>
      <c r="K55" s="263" t="s">
        <v>893</v>
      </c>
      <c r="L55" s="372"/>
      <c r="M55" s="413"/>
      <c r="N55" s="396"/>
      <c r="O55" s="532"/>
      <c r="P55" s="533"/>
      <c r="Q55" s="533"/>
    </row>
    <row r="56" spans="1:17" ht="13.8" x14ac:dyDescent="0.25">
      <c r="A56" s="767"/>
      <c r="B56" s="708"/>
      <c r="C56" s="708"/>
      <c r="E56" s="522"/>
      <c r="F56" s="737"/>
      <c r="G56" s="407"/>
      <c r="H56" s="470"/>
      <c r="I56" s="416"/>
      <c r="J56" s="81">
        <v>5</v>
      </c>
      <c r="K56" s="263" t="s">
        <v>993</v>
      </c>
      <c r="L56" s="372"/>
      <c r="M56" s="413"/>
      <c r="N56" s="396"/>
      <c r="O56" s="532"/>
      <c r="P56" s="533"/>
      <c r="Q56" s="533"/>
    </row>
    <row r="57" spans="1:17" ht="13.8" x14ac:dyDescent="0.25">
      <c r="A57" s="767"/>
      <c r="B57" s="708"/>
      <c r="C57" s="708"/>
      <c r="E57" s="522"/>
      <c r="F57" s="737"/>
      <c r="G57" s="407"/>
      <c r="H57" s="470"/>
      <c r="I57" s="416"/>
      <c r="J57" s="81">
        <v>6</v>
      </c>
      <c r="K57" s="263" t="s">
        <v>897</v>
      </c>
      <c r="L57" s="372"/>
      <c r="M57" s="413"/>
      <c r="N57" s="396"/>
      <c r="O57" s="532"/>
      <c r="P57" s="533"/>
      <c r="Q57" s="533"/>
    </row>
    <row r="58" spans="1:17" ht="13.8" x14ac:dyDescent="0.25">
      <c r="A58" s="767"/>
      <c r="B58" s="708"/>
      <c r="C58" s="708"/>
      <c r="E58" s="522"/>
      <c r="F58" s="737"/>
      <c r="G58" s="407"/>
      <c r="H58" s="470"/>
      <c r="I58" s="416"/>
      <c r="J58" s="81">
        <v>7</v>
      </c>
      <c r="K58" s="263" t="s">
        <v>980</v>
      </c>
      <c r="L58" s="372"/>
      <c r="M58" s="413"/>
      <c r="N58" s="396"/>
      <c r="O58" s="532"/>
      <c r="P58" s="533"/>
      <c r="Q58" s="533"/>
    </row>
    <row r="59" spans="1:17" ht="13.8" x14ac:dyDescent="0.25">
      <c r="A59" s="767"/>
      <c r="B59" s="708"/>
      <c r="C59" s="708"/>
      <c r="E59" s="522"/>
      <c r="F59" s="737"/>
      <c r="G59" s="407"/>
      <c r="H59" s="470"/>
      <c r="I59" s="416"/>
      <c r="J59" s="81">
        <v>8</v>
      </c>
      <c r="K59" s="263" t="s">
        <v>898</v>
      </c>
      <c r="L59" s="372"/>
      <c r="M59" s="413"/>
      <c r="N59" s="396"/>
      <c r="O59" s="532"/>
      <c r="P59" s="533"/>
      <c r="Q59" s="533"/>
    </row>
    <row r="60" spans="1:17" ht="13.8" x14ac:dyDescent="0.25">
      <c r="A60" s="767"/>
      <c r="B60" s="708"/>
      <c r="C60" s="708"/>
      <c r="E60" s="522"/>
      <c r="F60" s="737"/>
      <c r="G60" s="407"/>
      <c r="H60" s="470"/>
      <c r="I60" s="416"/>
      <c r="J60" s="81">
        <v>9</v>
      </c>
      <c r="K60" s="263" t="s">
        <v>847</v>
      </c>
      <c r="L60" s="372"/>
      <c r="M60" s="413"/>
      <c r="N60" s="396"/>
      <c r="O60" s="532"/>
      <c r="P60" s="533"/>
      <c r="Q60" s="533"/>
    </row>
    <row r="61" spans="1:17" ht="13.8" x14ac:dyDescent="0.25">
      <c r="A61" s="767"/>
      <c r="B61" s="708"/>
      <c r="C61" s="708"/>
      <c r="E61" s="522"/>
      <c r="F61" s="737"/>
      <c r="G61" s="407"/>
      <c r="H61" s="470"/>
      <c r="I61" s="416"/>
      <c r="J61" s="81">
        <v>10</v>
      </c>
      <c r="K61" s="263" t="s">
        <v>994</v>
      </c>
      <c r="L61" s="372"/>
      <c r="M61" s="413"/>
      <c r="N61" s="396"/>
      <c r="O61" s="532"/>
      <c r="P61" s="533"/>
      <c r="Q61" s="533"/>
    </row>
    <row r="62" spans="1:17" ht="97.2" customHeight="1" x14ac:dyDescent="0.25">
      <c r="A62" s="767"/>
      <c r="B62" s="708"/>
      <c r="C62" s="708"/>
      <c r="E62" s="522"/>
      <c r="F62" s="737"/>
      <c r="G62" s="407"/>
      <c r="H62" s="470"/>
      <c r="I62" s="416"/>
      <c r="J62" s="81"/>
      <c r="K62" s="274"/>
      <c r="L62" s="372"/>
      <c r="M62" s="413"/>
      <c r="N62" s="396"/>
      <c r="O62" s="532"/>
      <c r="P62" s="533"/>
      <c r="Q62" s="533"/>
    </row>
    <row r="63" spans="1:17" ht="12.75" customHeight="1" x14ac:dyDescent="0.25">
      <c r="A63" s="736"/>
      <c r="B63" s="736"/>
      <c r="C63" s="736"/>
      <c r="E63" s="736"/>
      <c r="F63" s="726" t="s">
        <v>329</v>
      </c>
      <c r="G63" s="731" t="s">
        <v>8</v>
      </c>
      <c r="H63" s="732" t="s">
        <v>149</v>
      </c>
      <c r="I63" s="735" t="s">
        <v>220</v>
      </c>
      <c r="J63" s="754"/>
      <c r="K63" s="755"/>
      <c r="L63" s="754"/>
      <c r="M63" s="735" t="s">
        <v>221</v>
      </c>
      <c r="N63" s="759" t="s">
        <v>152</v>
      </c>
      <c r="O63" s="569"/>
      <c r="P63" s="569"/>
      <c r="Q63" s="569"/>
    </row>
    <row r="64" spans="1:17" ht="15" customHeight="1" x14ac:dyDescent="0.25">
      <c r="A64" s="727"/>
      <c r="B64" s="727"/>
      <c r="C64" s="727"/>
      <c r="E64" s="727"/>
      <c r="F64" s="727"/>
      <c r="G64" s="731"/>
      <c r="H64" s="733"/>
      <c r="I64" s="735"/>
      <c r="J64" s="754"/>
      <c r="K64" s="754"/>
      <c r="L64" s="754"/>
      <c r="M64" s="735"/>
      <c r="N64" s="759"/>
      <c r="O64" s="569"/>
      <c r="P64" s="569"/>
      <c r="Q64" s="569"/>
    </row>
    <row r="65" spans="1:17" ht="27.75" customHeight="1" x14ac:dyDescent="0.25">
      <c r="A65" s="727"/>
      <c r="B65" s="727"/>
      <c r="C65" s="727"/>
      <c r="E65" s="727"/>
      <c r="F65" s="727"/>
      <c r="G65" s="731"/>
      <c r="H65" s="733"/>
      <c r="I65" s="735"/>
      <c r="J65" s="754" t="s">
        <v>13</v>
      </c>
      <c r="K65" s="720" t="s">
        <v>15</v>
      </c>
      <c r="L65" s="720" t="s">
        <v>119</v>
      </c>
      <c r="M65" s="735"/>
      <c r="N65" s="759"/>
      <c r="O65" s="569"/>
      <c r="P65" s="569"/>
      <c r="Q65" s="569"/>
    </row>
    <row r="66" spans="1:17" ht="87.75" customHeight="1" thickBot="1" x14ac:dyDescent="0.3">
      <c r="A66" s="727"/>
      <c r="B66" s="727"/>
      <c r="C66" s="727"/>
      <c r="E66" s="727"/>
      <c r="F66" s="727"/>
      <c r="G66" s="731"/>
      <c r="H66" s="734"/>
      <c r="I66" s="735"/>
      <c r="J66" s="754"/>
      <c r="K66" s="720"/>
      <c r="L66" s="754"/>
      <c r="M66" s="735"/>
      <c r="N66" s="760"/>
      <c r="O66" s="569"/>
      <c r="P66" s="569"/>
      <c r="Q66" s="569"/>
    </row>
    <row r="67" spans="1:17" ht="13.8" x14ac:dyDescent="0.25">
      <c r="A67" s="710">
        <v>5</v>
      </c>
      <c r="B67" s="707" t="s">
        <v>282</v>
      </c>
      <c r="C67" s="707" t="s">
        <v>330</v>
      </c>
      <c r="E67" s="521" t="str">
        <f>+LEFT(F67,4)</f>
        <v>14.1</v>
      </c>
      <c r="F67" s="746" t="s">
        <v>331</v>
      </c>
      <c r="G67" s="406" t="s">
        <v>332</v>
      </c>
      <c r="H67" s="421" t="s">
        <v>995</v>
      </c>
      <c r="I67" s="415">
        <v>3</v>
      </c>
      <c r="J67" s="83">
        <v>1</v>
      </c>
      <c r="K67" t="s">
        <v>997</v>
      </c>
      <c r="L67" s="370" t="s">
        <v>996</v>
      </c>
      <c r="M67" s="412">
        <v>3</v>
      </c>
      <c r="N67" s="513" t="str">
        <f>+IF(OR(ISBLANK(I67),ISBLANK(M67)),"",IF(OR(AND(I67=1,M67=1),AND(I67=1,M67=2),AND(I67=1,M67=3)),"Deficiencia de control mayor (diseño y ejecución)",IF(OR(AND(I67=2,M67=2),AND(I67=3,M67=1),AND(I67=3,M67=2),AND(I67=2,M67=1)),"Deficiencia de control (diseño o ejecución)",IF(AND(I67=2,M67=3),"Oportunidad de mejora","Mantenimiento del control"))))</f>
        <v>Mantenimiento del control</v>
      </c>
      <c r="O67" s="532">
        <f>+IF(N67="",231,IF(N67="Deficiencia de control mayor (diseño y ejecución)",240,IF(N67="Deficiencia de control (diseño o ejecución)",260,IF(N67="Oportunidad de mejora",280,300))))</f>
        <v>300</v>
      </c>
      <c r="P67" s="533">
        <v>4.8964999999999996</v>
      </c>
      <c r="Q67" s="533">
        <f>+O67+P67</f>
        <v>304.8965</v>
      </c>
    </row>
    <row r="68" spans="1:17" ht="13.8" x14ac:dyDescent="0.25">
      <c r="A68" s="711"/>
      <c r="B68" s="708"/>
      <c r="C68" s="708"/>
      <c r="E68" s="522"/>
      <c r="F68" s="747"/>
      <c r="G68" s="407"/>
      <c r="H68" s="422"/>
      <c r="I68" s="416"/>
      <c r="J68" s="81">
        <v>2</v>
      </c>
      <c r="K68" t="s">
        <v>998</v>
      </c>
      <c r="L68" s="372"/>
      <c r="M68" s="413"/>
      <c r="N68" s="396"/>
      <c r="O68" s="532"/>
      <c r="P68" s="533"/>
      <c r="Q68" s="533"/>
    </row>
    <row r="69" spans="1:17" ht="13.8" x14ac:dyDescent="0.25">
      <c r="A69" s="711"/>
      <c r="B69" s="708"/>
      <c r="C69" s="708"/>
      <c r="E69" s="522"/>
      <c r="F69" s="747"/>
      <c r="G69" s="407"/>
      <c r="H69" s="422"/>
      <c r="I69" s="416"/>
      <c r="J69" s="81">
        <v>3</v>
      </c>
      <c r="K69" t="s">
        <v>999</v>
      </c>
      <c r="L69" s="372"/>
      <c r="M69" s="413"/>
      <c r="N69" s="396"/>
      <c r="O69" s="532"/>
      <c r="P69" s="533"/>
      <c r="Q69" s="533"/>
    </row>
    <row r="70" spans="1:17" ht="13.8" x14ac:dyDescent="0.25">
      <c r="A70" s="711"/>
      <c r="B70" s="708"/>
      <c r="C70" s="708"/>
      <c r="E70" s="522"/>
      <c r="F70" s="747"/>
      <c r="G70" s="407"/>
      <c r="H70" s="422"/>
      <c r="I70" s="416"/>
      <c r="J70" s="81">
        <v>4</v>
      </c>
      <c r="K70" t="s">
        <v>1000</v>
      </c>
      <c r="L70" s="372"/>
      <c r="M70" s="413"/>
      <c r="N70" s="396"/>
      <c r="O70" s="532"/>
      <c r="P70" s="533"/>
      <c r="Q70" s="533"/>
    </row>
    <row r="71" spans="1:17" ht="13.8" x14ac:dyDescent="0.25">
      <c r="A71" s="711"/>
      <c r="B71" s="708"/>
      <c r="C71" s="708"/>
      <c r="E71" s="522"/>
      <c r="F71" s="747"/>
      <c r="G71" s="407"/>
      <c r="H71" s="422"/>
      <c r="I71" s="416"/>
      <c r="J71" s="81">
        <v>5</v>
      </c>
      <c r="K71" t="s">
        <v>1001</v>
      </c>
      <c r="L71" s="372"/>
      <c r="M71" s="413"/>
      <c r="N71" s="396"/>
      <c r="O71" s="532"/>
      <c r="P71" s="533"/>
      <c r="Q71" s="533"/>
    </row>
    <row r="72" spans="1:17" ht="13.8" x14ac:dyDescent="0.25">
      <c r="A72" s="711"/>
      <c r="B72" s="708"/>
      <c r="C72" s="708"/>
      <c r="E72" s="522"/>
      <c r="F72" s="747"/>
      <c r="G72" s="407"/>
      <c r="H72" s="422"/>
      <c r="I72" s="416"/>
      <c r="J72" s="81">
        <v>6</v>
      </c>
      <c r="K72" t="s">
        <v>1002</v>
      </c>
      <c r="L72" s="372"/>
      <c r="M72" s="413"/>
      <c r="N72" s="396"/>
      <c r="O72" s="532"/>
      <c r="P72" s="533"/>
      <c r="Q72" s="533"/>
    </row>
    <row r="73" spans="1:17" ht="13.8" x14ac:dyDescent="0.25">
      <c r="A73" s="711"/>
      <c r="B73" s="708"/>
      <c r="C73" s="708"/>
      <c r="E73" s="522"/>
      <c r="F73" s="747"/>
      <c r="G73" s="407"/>
      <c r="H73" s="422"/>
      <c r="I73" s="416"/>
      <c r="J73" s="81">
        <v>7</v>
      </c>
      <c r="K73" t="s">
        <v>1003</v>
      </c>
      <c r="L73" s="372"/>
      <c r="M73" s="413"/>
      <c r="N73" s="396"/>
      <c r="O73" s="532"/>
      <c r="P73" s="533"/>
      <c r="Q73" s="533"/>
    </row>
    <row r="74" spans="1:17" ht="13.8" x14ac:dyDescent="0.25">
      <c r="A74" s="711"/>
      <c r="B74" s="708"/>
      <c r="C74" s="708"/>
      <c r="E74" s="522"/>
      <c r="F74" s="747"/>
      <c r="G74" s="407"/>
      <c r="H74" s="422"/>
      <c r="I74" s="416"/>
      <c r="J74" s="81">
        <v>8</v>
      </c>
      <c r="K74" t="s">
        <v>1004</v>
      </c>
      <c r="L74" s="372"/>
      <c r="M74" s="413"/>
      <c r="N74" s="396"/>
      <c r="O74" s="532"/>
      <c r="P74" s="533"/>
      <c r="Q74" s="533"/>
    </row>
    <row r="75" spans="1:17" ht="13.8" x14ac:dyDescent="0.25">
      <c r="A75" s="711"/>
      <c r="B75" s="708"/>
      <c r="C75" s="708"/>
      <c r="E75" s="522"/>
      <c r="F75" s="747"/>
      <c r="G75" s="407"/>
      <c r="H75" s="422"/>
      <c r="I75" s="416"/>
      <c r="J75" s="81"/>
      <c r="K75" s="197"/>
      <c r="L75" s="372"/>
      <c r="M75" s="413"/>
      <c r="N75" s="396"/>
      <c r="O75" s="532"/>
      <c r="P75" s="533"/>
      <c r="Q75" s="533"/>
    </row>
    <row r="76" spans="1:17" ht="13.8" x14ac:dyDescent="0.25">
      <c r="A76" s="711"/>
      <c r="B76" s="708"/>
      <c r="C76" s="708"/>
      <c r="E76" s="522"/>
      <c r="F76" s="747"/>
      <c r="G76" s="407"/>
      <c r="H76" s="422"/>
      <c r="I76" s="416"/>
      <c r="J76" s="81"/>
      <c r="K76" s="152"/>
      <c r="L76" s="372"/>
      <c r="M76" s="413"/>
      <c r="N76" s="396"/>
      <c r="O76" s="532"/>
      <c r="P76" s="533"/>
      <c r="Q76" s="533"/>
    </row>
    <row r="77" spans="1:17" ht="14.4" thickBot="1" x14ac:dyDescent="0.3">
      <c r="A77" s="712"/>
      <c r="B77" s="713"/>
      <c r="C77" s="713"/>
      <c r="E77" s="523"/>
      <c r="F77" s="748"/>
      <c r="G77" s="408"/>
      <c r="H77" s="423"/>
      <c r="I77" s="417"/>
      <c r="J77" s="82"/>
      <c r="K77" s="152"/>
      <c r="L77" s="373"/>
      <c r="M77" s="414"/>
      <c r="N77" s="398"/>
      <c r="O77" s="532"/>
      <c r="P77" s="533"/>
      <c r="Q77" s="533"/>
    </row>
    <row r="78" spans="1:17" ht="23.1" customHeight="1" x14ac:dyDescent="0.25">
      <c r="A78" s="710">
        <v>6</v>
      </c>
      <c r="B78" s="707" t="s">
        <v>282</v>
      </c>
      <c r="C78" s="707" t="s">
        <v>333</v>
      </c>
      <c r="E78" s="521" t="str">
        <f>+LEFT(F78,4)</f>
        <v>14.2</v>
      </c>
      <c r="F78" s="728" t="s">
        <v>334</v>
      </c>
      <c r="G78" s="433" t="s">
        <v>335</v>
      </c>
      <c r="H78" s="421" t="s">
        <v>336</v>
      </c>
      <c r="I78" s="415">
        <v>3</v>
      </c>
      <c r="J78" s="83">
        <v>1</v>
      </c>
      <c r="K78" s="132" t="s">
        <v>155</v>
      </c>
      <c r="L78" s="370" t="s">
        <v>1005</v>
      </c>
      <c r="M78" s="412">
        <v>2</v>
      </c>
      <c r="N78" s="513" t="str">
        <f>+IF(OR(ISBLANK(I78),ISBLANK(M78)),"",IF(OR(AND(I78=1,M78=1),AND(I78=1,M78=2),AND(I78=1,M78=3)),"Deficiencia de control mayor (diseño y ejecución)",IF(OR(AND(I78=2,M78=2),AND(I78=3,M78=1),AND(I78=3,M78=2),AND(I78=2,M78=1)),"Deficiencia de control (diseño o ejecución)",IF(AND(I78=2,M78=3),"Oportunidad de mejora","Mantenimiento del control"))))</f>
        <v>Deficiencia de control (diseño o ejecución)</v>
      </c>
      <c r="O78" s="532">
        <f>+IF(N78="",231,IF(N78="Deficiencia de control mayor (diseño y ejecución)",240,IF(N78="Deficiencia de control (diseño o ejecución)",260,IF(N78="Oportunidad de mejora",280,300))))</f>
        <v>260</v>
      </c>
      <c r="P78" s="533">
        <v>4.9854000000000003</v>
      </c>
      <c r="Q78" s="533">
        <f>+O78+P78</f>
        <v>264.98540000000003</v>
      </c>
    </row>
    <row r="79" spans="1:17" ht="52.8" x14ac:dyDescent="0.25">
      <c r="A79" s="711"/>
      <c r="B79" s="708"/>
      <c r="C79" s="708"/>
      <c r="E79" s="522"/>
      <c r="F79" s="729"/>
      <c r="G79" s="407"/>
      <c r="H79" s="422"/>
      <c r="I79" s="416"/>
      <c r="J79" s="81">
        <v>2</v>
      </c>
      <c r="K79" s="133" t="s">
        <v>337</v>
      </c>
      <c r="L79" s="372"/>
      <c r="M79" s="413"/>
      <c r="N79" s="396"/>
      <c r="O79" s="532"/>
      <c r="P79" s="533"/>
      <c r="Q79" s="533"/>
    </row>
    <row r="80" spans="1:17" ht="39.6" x14ac:dyDescent="0.25">
      <c r="A80" s="711"/>
      <c r="B80" s="708"/>
      <c r="C80" s="708"/>
      <c r="E80" s="522"/>
      <c r="F80" s="729"/>
      <c r="G80" s="407"/>
      <c r="H80" s="422"/>
      <c r="I80" s="416"/>
      <c r="J80" s="81">
        <v>3</v>
      </c>
      <c r="K80" s="133" t="s">
        <v>338</v>
      </c>
      <c r="L80" s="372"/>
      <c r="M80" s="413"/>
      <c r="N80" s="396"/>
      <c r="O80" s="532"/>
      <c r="P80" s="533"/>
      <c r="Q80" s="533"/>
    </row>
    <row r="81" spans="1:17" ht="26.4" x14ac:dyDescent="0.25">
      <c r="A81" s="711"/>
      <c r="B81" s="708"/>
      <c r="C81" s="708"/>
      <c r="E81" s="522"/>
      <c r="F81" s="729"/>
      <c r="G81" s="407"/>
      <c r="H81" s="422"/>
      <c r="I81" s="416"/>
      <c r="J81" s="81">
        <v>4</v>
      </c>
      <c r="K81" s="133" t="s">
        <v>339</v>
      </c>
      <c r="L81" s="372"/>
      <c r="M81" s="413"/>
      <c r="N81" s="396"/>
      <c r="O81" s="532"/>
      <c r="P81" s="533"/>
      <c r="Q81" s="533"/>
    </row>
    <row r="82" spans="1:17" ht="13.8" x14ac:dyDescent="0.25">
      <c r="A82" s="711"/>
      <c r="B82" s="708"/>
      <c r="C82" s="708"/>
      <c r="E82" s="522"/>
      <c r="F82" s="729"/>
      <c r="G82" s="407"/>
      <c r="H82" s="422"/>
      <c r="I82" s="416"/>
      <c r="J82" s="81">
        <v>5</v>
      </c>
      <c r="K82" s="133" t="s">
        <v>340</v>
      </c>
      <c r="L82" s="372"/>
      <c r="M82" s="413"/>
      <c r="N82" s="396"/>
      <c r="O82" s="532"/>
      <c r="P82" s="533"/>
      <c r="Q82" s="533"/>
    </row>
    <row r="83" spans="1:17" ht="13.8" x14ac:dyDescent="0.25">
      <c r="A83" s="711"/>
      <c r="B83" s="708"/>
      <c r="C83" s="708"/>
      <c r="E83" s="522"/>
      <c r="F83" s="729"/>
      <c r="G83" s="407"/>
      <c r="H83" s="422"/>
      <c r="I83" s="416"/>
      <c r="J83" s="81">
        <v>6</v>
      </c>
      <c r="K83" t="s">
        <v>1006</v>
      </c>
      <c r="L83" s="372"/>
      <c r="M83" s="413"/>
      <c r="N83" s="396"/>
      <c r="O83" s="532"/>
      <c r="P83" s="533"/>
      <c r="Q83" s="533"/>
    </row>
    <row r="84" spans="1:17" ht="13.8" x14ac:dyDescent="0.25">
      <c r="A84" s="711"/>
      <c r="B84" s="708"/>
      <c r="C84" s="708"/>
      <c r="E84" s="522"/>
      <c r="F84" s="729"/>
      <c r="G84" s="407"/>
      <c r="H84" s="422"/>
      <c r="I84" s="416"/>
      <c r="J84" s="81">
        <v>7</v>
      </c>
      <c r="K84" t="s">
        <v>1007</v>
      </c>
      <c r="L84" s="372"/>
      <c r="M84" s="413"/>
      <c r="N84" s="396"/>
      <c r="O84" s="532"/>
      <c r="P84" s="533"/>
      <c r="Q84" s="533"/>
    </row>
    <row r="85" spans="1:17" ht="13.8" x14ac:dyDescent="0.25">
      <c r="A85" s="711"/>
      <c r="B85" s="708"/>
      <c r="C85" s="708"/>
      <c r="E85" s="522"/>
      <c r="F85" s="729"/>
      <c r="G85" s="407"/>
      <c r="H85" s="422"/>
      <c r="I85" s="416"/>
      <c r="J85" s="81">
        <v>8</v>
      </c>
      <c r="K85" t="s">
        <v>1008</v>
      </c>
      <c r="L85" s="372"/>
      <c r="M85" s="413"/>
      <c r="N85" s="396"/>
      <c r="O85" s="532"/>
      <c r="P85" s="533"/>
      <c r="Q85" s="533"/>
    </row>
    <row r="86" spans="1:17" ht="13.8" x14ac:dyDescent="0.25">
      <c r="A86" s="717"/>
      <c r="B86" s="718"/>
      <c r="C86" s="718"/>
      <c r="E86" s="699"/>
      <c r="F86" s="729"/>
      <c r="G86" s="407"/>
      <c r="H86" s="479"/>
      <c r="I86" s="480"/>
      <c r="J86" s="200">
        <v>9</v>
      </c>
      <c r="K86" t="s">
        <v>1009</v>
      </c>
      <c r="L86" s="372"/>
      <c r="M86" s="575"/>
      <c r="N86" s="397"/>
      <c r="O86" s="532"/>
      <c r="P86" s="533"/>
      <c r="Q86" s="533"/>
    </row>
    <row r="87" spans="1:17" ht="150" customHeight="1" thickBot="1" x14ac:dyDescent="0.3">
      <c r="A87" s="712"/>
      <c r="B87" s="713"/>
      <c r="C87" s="713"/>
      <c r="E87" s="523"/>
      <c r="F87" s="730"/>
      <c r="G87" s="408"/>
      <c r="H87" s="423"/>
      <c r="I87" s="417"/>
      <c r="J87" s="82">
        <v>10</v>
      </c>
      <c r="K87" s="275" t="s">
        <v>1010</v>
      </c>
      <c r="L87" s="373"/>
      <c r="M87" s="414"/>
      <c r="N87" s="398"/>
      <c r="O87" s="532"/>
      <c r="P87" s="533"/>
      <c r="Q87" s="533"/>
    </row>
    <row r="88" spans="1:17" ht="13.8" x14ac:dyDescent="0.25">
      <c r="A88" s="710">
        <v>7</v>
      </c>
      <c r="B88" s="707" t="s">
        <v>282</v>
      </c>
      <c r="C88" s="707" t="s">
        <v>341</v>
      </c>
      <c r="E88" s="521" t="str">
        <f>+LEFT(F88,4)</f>
        <v>14.3</v>
      </c>
      <c r="F88" s="743" t="s">
        <v>342</v>
      </c>
      <c r="G88" s="406" t="s">
        <v>332</v>
      </c>
      <c r="H88" s="421" t="s">
        <v>343</v>
      </c>
      <c r="I88" s="415">
        <v>3</v>
      </c>
      <c r="J88" s="83">
        <v>1</v>
      </c>
      <c r="K88" s="132" t="s">
        <v>344</v>
      </c>
      <c r="L88" s="370" t="s">
        <v>345</v>
      </c>
      <c r="M88" s="412">
        <v>3</v>
      </c>
      <c r="N88" s="513" t="str">
        <f>+IF(OR(ISBLANK(I88),ISBLANK(M88)),"",IF(OR(AND(I88=1,M88=1),AND(I88=1,M88=2),AND(I88=1,M88=3)),"Deficiencia de control mayor (diseño y ejecución)",IF(OR(AND(I88=2,M88=2),AND(I88=3,M88=1),AND(I88=3,M88=2),AND(I88=2,M88=1)),"Deficiencia de control (diseño o ejecución)",IF(AND(I88=2,M88=3),"Oportunidad de mejora","Mantenimiento del control"))))</f>
        <v>Mantenimiento del control</v>
      </c>
      <c r="O88" s="532">
        <f>+IF(N88="",231,IF(N88="Deficiencia de control mayor (diseño y ejecución)",240,IF(N88="Deficiencia de control (diseño o ejecución)",260,IF(N88="Oportunidad de mejora",280,300))))</f>
        <v>300</v>
      </c>
      <c r="P88" s="533">
        <v>5.0122999999999998</v>
      </c>
      <c r="Q88" s="533">
        <f>+O88+P88</f>
        <v>305.01229999999998</v>
      </c>
    </row>
    <row r="89" spans="1:17" ht="21.75" customHeight="1" x14ac:dyDescent="0.25">
      <c r="A89" s="711"/>
      <c r="B89" s="708"/>
      <c r="C89" s="708"/>
      <c r="E89" s="522"/>
      <c r="F89" s="744"/>
      <c r="G89" s="407"/>
      <c r="H89" s="422"/>
      <c r="I89" s="416"/>
      <c r="J89" s="81">
        <v>2</v>
      </c>
      <c r="K89" s="133" t="s">
        <v>346</v>
      </c>
      <c r="L89" s="721"/>
      <c r="M89" s="413"/>
      <c r="N89" s="396"/>
      <c r="O89" s="532"/>
      <c r="P89" s="533"/>
      <c r="Q89" s="533"/>
    </row>
    <row r="90" spans="1:17" ht="13.8" x14ac:dyDescent="0.25">
      <c r="A90" s="711"/>
      <c r="B90" s="708"/>
      <c r="C90" s="708"/>
      <c r="E90" s="522"/>
      <c r="F90" s="744"/>
      <c r="G90" s="407"/>
      <c r="H90" s="422"/>
      <c r="I90" s="416"/>
      <c r="J90" s="81"/>
      <c r="K90" s="133" t="s">
        <v>145</v>
      </c>
      <c r="L90" s="721"/>
      <c r="M90" s="413"/>
      <c r="N90" s="396"/>
      <c r="O90" s="532"/>
      <c r="P90" s="533"/>
      <c r="Q90" s="533"/>
    </row>
    <row r="91" spans="1:17" ht="13.8" x14ac:dyDescent="0.25">
      <c r="A91" s="711"/>
      <c r="B91" s="708"/>
      <c r="C91" s="708"/>
      <c r="E91" s="522"/>
      <c r="F91" s="744"/>
      <c r="G91" s="407"/>
      <c r="H91" s="422"/>
      <c r="I91" s="416"/>
      <c r="J91" s="81"/>
      <c r="K91" s="133"/>
      <c r="L91" s="721"/>
      <c r="M91" s="413"/>
      <c r="N91" s="396"/>
      <c r="O91" s="532"/>
      <c r="P91" s="533"/>
      <c r="Q91" s="533"/>
    </row>
    <row r="92" spans="1:17" ht="13.8" x14ac:dyDescent="0.25">
      <c r="A92" s="711"/>
      <c r="B92" s="708"/>
      <c r="C92" s="708"/>
      <c r="E92" s="522"/>
      <c r="F92" s="744"/>
      <c r="G92" s="407"/>
      <c r="H92" s="422"/>
      <c r="I92" s="416"/>
      <c r="J92" s="81"/>
      <c r="K92" s="133"/>
      <c r="L92" s="721"/>
      <c r="M92" s="413"/>
      <c r="N92" s="396"/>
      <c r="O92" s="532"/>
      <c r="P92" s="533"/>
      <c r="Q92" s="533"/>
    </row>
    <row r="93" spans="1:17" ht="13.8" x14ac:dyDescent="0.25">
      <c r="A93" s="711"/>
      <c r="B93" s="708"/>
      <c r="C93" s="708"/>
      <c r="E93" s="522"/>
      <c r="F93" s="744"/>
      <c r="G93" s="407"/>
      <c r="H93" s="422"/>
      <c r="I93" s="416"/>
      <c r="J93" s="81"/>
      <c r="K93" s="135"/>
      <c r="L93" s="721"/>
      <c r="M93" s="413"/>
      <c r="N93" s="396"/>
      <c r="O93" s="532"/>
      <c r="P93" s="533"/>
      <c r="Q93" s="533"/>
    </row>
    <row r="94" spans="1:17" ht="13.8" x14ac:dyDescent="0.25">
      <c r="A94" s="711"/>
      <c r="B94" s="708"/>
      <c r="C94" s="708"/>
      <c r="E94" s="522"/>
      <c r="F94" s="744"/>
      <c r="G94" s="407"/>
      <c r="H94" s="422"/>
      <c r="I94" s="416"/>
      <c r="J94" s="81"/>
      <c r="K94" s="152"/>
      <c r="L94" s="721"/>
      <c r="M94" s="413"/>
      <c r="N94" s="396"/>
      <c r="O94" s="532"/>
      <c r="P94" s="533"/>
      <c r="Q94" s="533"/>
    </row>
    <row r="95" spans="1:17" ht="81.900000000000006" customHeight="1" thickBot="1" x14ac:dyDescent="0.3">
      <c r="A95" s="712"/>
      <c r="B95" s="713"/>
      <c r="C95" s="713"/>
      <c r="E95" s="523"/>
      <c r="F95" s="745"/>
      <c r="G95" s="408"/>
      <c r="H95" s="423"/>
      <c r="I95" s="417"/>
      <c r="J95" s="82"/>
      <c r="K95" s="136"/>
      <c r="L95" s="722"/>
      <c r="M95" s="414"/>
      <c r="N95" s="398"/>
      <c r="O95" s="532"/>
      <c r="P95" s="533"/>
      <c r="Q95" s="533"/>
    </row>
    <row r="96" spans="1:17" ht="79.2" x14ac:dyDescent="0.25">
      <c r="A96" s="710">
        <v>8</v>
      </c>
      <c r="B96" s="707" t="s">
        <v>282</v>
      </c>
      <c r="C96" s="707" t="s">
        <v>330</v>
      </c>
      <c r="E96" s="521" t="str">
        <f>+LEFT(F96,4)</f>
        <v>14.4</v>
      </c>
      <c r="F96" s="728" t="s">
        <v>347</v>
      </c>
      <c r="G96" s="406" t="s">
        <v>332</v>
      </c>
      <c r="H96" s="421" t="s">
        <v>1014</v>
      </c>
      <c r="I96" s="415">
        <v>3</v>
      </c>
      <c r="J96" s="83">
        <v>1</v>
      </c>
      <c r="K96" s="229" t="s">
        <v>348</v>
      </c>
      <c r="L96" s="367" t="s">
        <v>1011</v>
      </c>
      <c r="M96" s="412">
        <v>3</v>
      </c>
      <c r="N96" s="513" t="str">
        <f>+IF(OR(ISBLANK(I96),ISBLANK(M96)),"",IF(OR(AND(I96=1,M96=1),AND(I96=1,M96=2),AND(I96=1,M96=3)),"Deficiencia de control mayor (diseño y ejecución)",IF(OR(AND(I96=2,M96=2),AND(I96=3,M96=1),AND(I96=3,M96=2),AND(I96=2,M96=1)),"Deficiencia de control (diseño o ejecución)",IF(AND(I96=2,M96=3),"Oportunidad de mejora","Mantenimiento del control"))))</f>
        <v>Mantenimiento del control</v>
      </c>
      <c r="O96" s="532">
        <f>+IF(N96="",231,IF(N96="Deficiencia de control mayor (diseño y ejecución)",240,IF(N96="Deficiencia de control (diseño o ejecución)",260,IF(N96="Oportunidad de mejora",280,300))))</f>
        <v>300</v>
      </c>
      <c r="P96" s="533">
        <v>5.1235999999999997</v>
      </c>
      <c r="Q96" s="533">
        <f>+O96+P96</f>
        <v>305.12360000000001</v>
      </c>
    </row>
    <row r="97" spans="1:17" ht="13.8" x14ac:dyDescent="0.25">
      <c r="A97" s="711"/>
      <c r="B97" s="708"/>
      <c r="C97" s="708"/>
      <c r="E97" s="522"/>
      <c r="F97" s="729"/>
      <c r="G97" s="407"/>
      <c r="H97" s="422"/>
      <c r="I97" s="416"/>
      <c r="J97" s="81">
        <v>2</v>
      </c>
      <c r="K97" t="s">
        <v>997</v>
      </c>
      <c r="L97" s="378"/>
      <c r="M97" s="413"/>
      <c r="N97" s="396"/>
      <c r="O97" s="532"/>
      <c r="P97" s="533"/>
      <c r="Q97" s="533"/>
    </row>
    <row r="98" spans="1:17" ht="13.8" x14ac:dyDescent="0.25">
      <c r="A98" s="711"/>
      <c r="B98" s="708"/>
      <c r="C98" s="708"/>
      <c r="E98" s="522"/>
      <c r="F98" s="729"/>
      <c r="G98" s="407"/>
      <c r="H98" s="422"/>
      <c r="I98" s="416"/>
      <c r="J98" s="214">
        <v>3</v>
      </c>
      <c r="K98" t="s">
        <v>998</v>
      </c>
      <c r="L98" s="723"/>
      <c r="M98" s="413"/>
      <c r="N98" s="396"/>
      <c r="O98" s="532"/>
      <c r="P98" s="533"/>
      <c r="Q98" s="533"/>
    </row>
    <row r="99" spans="1:17" ht="13.8" x14ac:dyDescent="0.25">
      <c r="A99" s="711"/>
      <c r="B99" s="708"/>
      <c r="C99" s="708"/>
      <c r="E99" s="522"/>
      <c r="F99" s="729"/>
      <c r="G99" s="407"/>
      <c r="H99" s="422"/>
      <c r="I99" s="416"/>
      <c r="J99" s="214"/>
      <c r="K99" t="s">
        <v>999</v>
      </c>
      <c r="L99" s="723"/>
      <c r="M99" s="413"/>
      <c r="N99" s="396"/>
      <c r="O99" s="532"/>
      <c r="P99" s="533"/>
      <c r="Q99" s="533"/>
    </row>
    <row r="100" spans="1:17" ht="13.8" x14ac:dyDescent="0.25">
      <c r="A100" s="711"/>
      <c r="B100" s="708"/>
      <c r="C100" s="708"/>
      <c r="E100" s="522"/>
      <c r="F100" s="729"/>
      <c r="G100" s="407"/>
      <c r="H100" s="422"/>
      <c r="I100" s="416"/>
      <c r="J100" s="214"/>
      <c r="K100" t="s">
        <v>1012</v>
      </c>
      <c r="L100" s="723"/>
      <c r="M100" s="413"/>
      <c r="N100" s="396"/>
      <c r="O100" s="532"/>
      <c r="P100" s="533"/>
      <c r="Q100" s="533"/>
    </row>
    <row r="101" spans="1:17" ht="13.8" x14ac:dyDescent="0.25">
      <c r="A101" s="711"/>
      <c r="B101" s="708"/>
      <c r="C101" s="708"/>
      <c r="E101" s="522"/>
      <c r="F101" s="729"/>
      <c r="G101" s="407"/>
      <c r="H101" s="422"/>
      <c r="I101" s="416"/>
      <c r="J101" s="214"/>
      <c r="K101" t="s">
        <v>1013</v>
      </c>
      <c r="L101" s="723"/>
      <c r="M101" s="413"/>
      <c r="N101" s="396"/>
      <c r="O101" s="532"/>
      <c r="P101" s="533"/>
      <c r="Q101" s="533"/>
    </row>
    <row r="102" spans="1:17" ht="13.8" x14ac:dyDescent="0.25">
      <c r="A102" s="711"/>
      <c r="B102" s="708"/>
      <c r="C102" s="708"/>
      <c r="E102" s="522"/>
      <c r="F102" s="729"/>
      <c r="G102" s="407"/>
      <c r="H102" s="422"/>
      <c r="I102" s="416"/>
      <c r="J102" s="214"/>
      <c r="K102" s="225"/>
      <c r="L102" s="723"/>
      <c r="M102" s="413"/>
      <c r="N102" s="396"/>
      <c r="O102" s="532"/>
      <c r="P102" s="533"/>
      <c r="Q102" s="533"/>
    </row>
    <row r="103" spans="1:17" ht="94.5" customHeight="1" thickBot="1" x14ac:dyDescent="0.3">
      <c r="A103" s="712"/>
      <c r="B103" s="713"/>
      <c r="C103" s="713"/>
      <c r="E103" s="523"/>
      <c r="F103" s="730"/>
      <c r="G103" s="408"/>
      <c r="H103" s="423"/>
      <c r="I103" s="417"/>
      <c r="J103" s="224"/>
      <c r="K103" s="225"/>
      <c r="L103" s="724"/>
      <c r="M103" s="414"/>
      <c r="N103" s="398"/>
      <c r="O103" s="532"/>
      <c r="P103" s="533"/>
      <c r="Q103" s="533"/>
    </row>
    <row r="104" spans="1:17" ht="12.75" customHeight="1" x14ac:dyDescent="0.25">
      <c r="A104" s="736"/>
      <c r="B104" s="736"/>
      <c r="C104" s="736"/>
      <c r="E104" s="736"/>
      <c r="F104" s="726" t="s">
        <v>349</v>
      </c>
      <c r="G104" s="731" t="s">
        <v>8</v>
      </c>
      <c r="H104" s="732" t="s">
        <v>149</v>
      </c>
      <c r="I104" s="735" t="s">
        <v>220</v>
      </c>
      <c r="J104" s="754" t="s">
        <v>116</v>
      </c>
      <c r="K104" s="755"/>
      <c r="L104" s="754"/>
      <c r="M104" s="735" t="s">
        <v>221</v>
      </c>
      <c r="N104" s="759" t="s">
        <v>152</v>
      </c>
      <c r="O104" s="569"/>
      <c r="P104" s="569"/>
      <c r="Q104" s="569"/>
    </row>
    <row r="105" spans="1:17" ht="15" customHeight="1" x14ac:dyDescent="0.25">
      <c r="A105" s="727"/>
      <c r="B105" s="727"/>
      <c r="C105" s="727"/>
      <c r="E105" s="727"/>
      <c r="F105" s="727"/>
      <c r="G105" s="731"/>
      <c r="H105" s="733"/>
      <c r="I105" s="735"/>
      <c r="J105" s="754"/>
      <c r="K105" s="754"/>
      <c r="L105" s="754"/>
      <c r="M105" s="735"/>
      <c r="N105" s="759"/>
      <c r="O105" s="569"/>
      <c r="P105" s="569"/>
      <c r="Q105" s="569"/>
    </row>
    <row r="106" spans="1:17" ht="27.75" customHeight="1" x14ac:dyDescent="0.25">
      <c r="A106" s="727"/>
      <c r="B106" s="727"/>
      <c r="C106" s="727"/>
      <c r="E106" s="727"/>
      <c r="F106" s="727"/>
      <c r="G106" s="731"/>
      <c r="H106" s="733"/>
      <c r="I106" s="735"/>
      <c r="J106" s="754" t="s">
        <v>13</v>
      </c>
      <c r="K106" s="720" t="s">
        <v>15</v>
      </c>
      <c r="L106" s="720" t="s">
        <v>119</v>
      </c>
      <c r="M106" s="735"/>
      <c r="N106" s="759"/>
      <c r="O106" s="569"/>
      <c r="P106" s="569"/>
      <c r="Q106" s="569"/>
    </row>
    <row r="107" spans="1:17" ht="14.4" thickBot="1" x14ac:dyDescent="0.3">
      <c r="A107" s="727"/>
      <c r="B107" s="727"/>
      <c r="C107" s="727"/>
      <c r="E107" s="727"/>
      <c r="F107" s="727"/>
      <c r="G107" s="731"/>
      <c r="H107" s="734"/>
      <c r="I107" s="735"/>
      <c r="J107" s="754"/>
      <c r="K107" s="720"/>
      <c r="L107" s="754"/>
      <c r="M107" s="735"/>
      <c r="N107" s="760"/>
      <c r="O107" s="569"/>
      <c r="P107" s="569"/>
      <c r="Q107" s="569"/>
    </row>
    <row r="108" spans="1:17" ht="79.2" x14ac:dyDescent="0.25">
      <c r="A108" s="710">
        <v>9</v>
      </c>
      <c r="B108" s="707" t="s">
        <v>282</v>
      </c>
      <c r="C108" s="707" t="s">
        <v>330</v>
      </c>
      <c r="E108" s="521" t="str">
        <f>+LEFT(F108,4)</f>
        <v>15.1</v>
      </c>
      <c r="F108" s="737" t="s">
        <v>350</v>
      </c>
      <c r="G108" s="406" t="s">
        <v>351</v>
      </c>
      <c r="H108" s="421" t="s">
        <v>1019</v>
      </c>
      <c r="I108" s="415">
        <v>3</v>
      </c>
      <c r="J108" s="83">
        <v>1</v>
      </c>
      <c r="K108" s="229" t="s">
        <v>352</v>
      </c>
      <c r="L108" s="370" t="s">
        <v>1015</v>
      </c>
      <c r="M108" s="412">
        <v>3</v>
      </c>
      <c r="N108" s="513" t="str">
        <f>+IF(OR(ISBLANK(I108),ISBLANK(M108)),"",IF(OR(AND(I108=1,M108=1),AND(I108=1,M108=2),AND(I108=1,M108=3)),"Deficiencia de control mayor (diseño y ejecución)",IF(OR(AND(I108=2,M108=2),AND(I108=3,M108=1),AND(I108=3,M108=2),AND(I108=2,M108=1)),"Deficiencia de control (diseño o ejecución)",IF(AND(I108=2,M108=3),"Oportunidad de mejora","Mantenimiento del control"))))</f>
        <v>Mantenimiento del control</v>
      </c>
      <c r="O108" s="532">
        <f>+IF(N108="",231,IF(N108="Deficiencia de control mayor (diseño y ejecución)",240,IF(N108="Deficiencia de control (diseño o ejecución)",260,IF(N108="Oportunidad de mejora",280,300))))</f>
        <v>300</v>
      </c>
      <c r="P108" s="533">
        <v>5.2369000000000003</v>
      </c>
      <c r="Q108" s="533">
        <f>+O108+P108</f>
        <v>305.23689999999999</v>
      </c>
    </row>
    <row r="109" spans="1:17" ht="13.8" x14ac:dyDescent="0.25">
      <c r="A109" s="711"/>
      <c r="B109" s="708"/>
      <c r="C109" s="708"/>
      <c r="E109" s="522"/>
      <c r="F109" s="737"/>
      <c r="G109" s="407"/>
      <c r="H109" s="422"/>
      <c r="I109" s="416"/>
      <c r="J109" s="81">
        <v>2</v>
      </c>
      <c r="K109" t="s">
        <v>997</v>
      </c>
      <c r="L109" s="372"/>
      <c r="M109" s="413"/>
      <c r="N109" s="396"/>
      <c r="O109" s="532"/>
      <c r="P109" s="533"/>
      <c r="Q109" s="533"/>
    </row>
    <row r="110" spans="1:17" ht="13.8" x14ac:dyDescent="0.25">
      <c r="A110" s="711"/>
      <c r="B110" s="708"/>
      <c r="C110" s="708"/>
      <c r="E110" s="522"/>
      <c r="F110" s="737"/>
      <c r="G110" s="407"/>
      <c r="H110" s="422"/>
      <c r="I110" s="416"/>
      <c r="J110" s="214">
        <v>3</v>
      </c>
      <c r="K110" t="s">
        <v>1016</v>
      </c>
      <c r="L110" s="371"/>
      <c r="M110" s="413"/>
      <c r="N110" s="396"/>
      <c r="O110" s="532"/>
      <c r="P110" s="533"/>
      <c r="Q110" s="533"/>
    </row>
    <row r="111" spans="1:17" ht="13.8" x14ac:dyDescent="0.25">
      <c r="A111" s="711"/>
      <c r="B111" s="708"/>
      <c r="C111" s="708"/>
      <c r="E111" s="522"/>
      <c r="F111" s="737"/>
      <c r="G111" s="407"/>
      <c r="H111" s="422"/>
      <c r="I111" s="416"/>
      <c r="J111" s="214">
        <v>4</v>
      </c>
      <c r="K111" t="s">
        <v>1017</v>
      </c>
      <c r="L111" s="371"/>
      <c r="M111" s="413"/>
      <c r="N111" s="396"/>
      <c r="O111" s="532"/>
      <c r="P111" s="533"/>
      <c r="Q111" s="533"/>
    </row>
    <row r="112" spans="1:17" ht="13.8" x14ac:dyDescent="0.25">
      <c r="A112" s="711"/>
      <c r="B112" s="708"/>
      <c r="C112" s="708"/>
      <c r="E112" s="522"/>
      <c r="F112" s="737"/>
      <c r="G112" s="407"/>
      <c r="H112" s="422"/>
      <c r="I112" s="416"/>
      <c r="J112" s="214">
        <v>5</v>
      </c>
      <c r="K112" t="s">
        <v>1018</v>
      </c>
      <c r="L112" s="371"/>
      <c r="M112" s="413"/>
      <c r="N112" s="396"/>
      <c r="O112" s="532"/>
      <c r="P112" s="533"/>
      <c r="Q112" s="533"/>
    </row>
    <row r="113" spans="1:17" ht="13.8" x14ac:dyDescent="0.25">
      <c r="A113" s="711"/>
      <c r="B113" s="708"/>
      <c r="C113" s="708"/>
      <c r="E113" s="522"/>
      <c r="F113" s="737"/>
      <c r="G113" s="407"/>
      <c r="H113" s="422"/>
      <c r="I113" s="416"/>
      <c r="J113" s="214"/>
      <c r="K113" s="231"/>
      <c r="L113" s="371"/>
      <c r="M113" s="413"/>
      <c r="N113" s="396"/>
      <c r="O113" s="532"/>
      <c r="P113" s="533"/>
      <c r="Q113" s="533"/>
    </row>
    <row r="114" spans="1:17" ht="13.8" x14ac:dyDescent="0.25">
      <c r="A114" s="711"/>
      <c r="B114" s="708"/>
      <c r="C114" s="708"/>
      <c r="E114" s="522"/>
      <c r="F114" s="737"/>
      <c r="G114" s="407"/>
      <c r="H114" s="422"/>
      <c r="I114" s="416"/>
      <c r="J114" s="214"/>
      <c r="K114" s="231"/>
      <c r="L114" s="371"/>
      <c r="M114" s="413"/>
      <c r="N114" s="396"/>
      <c r="O114" s="532"/>
      <c r="P114" s="533"/>
      <c r="Q114" s="533"/>
    </row>
    <row r="115" spans="1:17" ht="3" customHeight="1" thickBot="1" x14ac:dyDescent="0.3">
      <c r="A115" s="712"/>
      <c r="B115" s="713"/>
      <c r="C115" s="713"/>
      <c r="E115" s="523"/>
      <c r="F115" s="738"/>
      <c r="G115" s="408"/>
      <c r="H115" s="423"/>
      <c r="I115" s="417"/>
      <c r="J115" s="82"/>
      <c r="K115" s="276"/>
      <c r="L115" s="373"/>
      <c r="M115" s="414"/>
      <c r="N115" s="398"/>
      <c r="O115" s="532"/>
      <c r="P115" s="533"/>
      <c r="Q115" s="533"/>
    </row>
    <row r="116" spans="1:17" ht="79.2" x14ac:dyDescent="0.25">
      <c r="A116" s="710">
        <v>10</v>
      </c>
      <c r="B116" s="707" t="s">
        <v>282</v>
      </c>
      <c r="C116" s="707" t="s">
        <v>330</v>
      </c>
      <c r="E116" s="521" t="str">
        <f>+LEFT(F116,4)</f>
        <v>15.2</v>
      </c>
      <c r="F116" s="737" t="s">
        <v>353</v>
      </c>
      <c r="G116" s="406" t="s">
        <v>354</v>
      </c>
      <c r="H116" s="421" t="s">
        <v>1020</v>
      </c>
      <c r="I116" s="415">
        <v>3</v>
      </c>
      <c r="J116" s="83">
        <v>1</v>
      </c>
      <c r="K116" s="278" t="s">
        <v>352</v>
      </c>
      <c r="L116" s="370" t="s">
        <v>1021</v>
      </c>
      <c r="M116" s="412">
        <v>3</v>
      </c>
      <c r="N116" s="513" t="str">
        <f>+IF(OR(ISBLANK(I116),ISBLANK(M116)),"",IF(OR(AND(I116=1,M116=1),AND(I116=1,M116=2),AND(I116=1,M116=3)),"Deficiencia de control mayor (diseño y ejecución)",IF(OR(AND(I116=2,M116=2),AND(I116=3,M116=1),AND(I116=3,M116=2),AND(I116=2,M116=1)),"Deficiencia de control (diseño o ejecución)",IF(AND(I116=2,M116=3),"Oportunidad de mejora","Mantenimiento del control"))))</f>
        <v>Mantenimiento del control</v>
      </c>
      <c r="O116" s="532">
        <f>+IF(N116="",231,IF(N116="Deficiencia de control mayor (diseño y ejecución)",240,IF(N116="Deficiencia de control (diseño o ejecución)",260,IF(N116="Oportunidad de mejora",280,300))))</f>
        <v>300</v>
      </c>
      <c r="P116" s="533">
        <v>5.3654000000000002</v>
      </c>
      <c r="Q116" s="533">
        <f>+O116+P116</f>
        <v>305.36540000000002</v>
      </c>
    </row>
    <row r="117" spans="1:17" ht="79.2" x14ac:dyDescent="0.25">
      <c r="A117" s="711"/>
      <c r="B117" s="708"/>
      <c r="C117" s="708"/>
      <c r="E117" s="522"/>
      <c r="F117" s="737"/>
      <c r="G117" s="407"/>
      <c r="H117" s="422"/>
      <c r="I117" s="416"/>
      <c r="J117" s="214">
        <v>2</v>
      </c>
      <c r="K117" s="205" t="s">
        <v>355</v>
      </c>
      <c r="L117" s="371"/>
      <c r="M117" s="413"/>
      <c r="N117" s="396"/>
      <c r="O117" s="532"/>
      <c r="P117" s="533"/>
      <c r="Q117" s="533"/>
    </row>
    <row r="118" spans="1:17" ht="13.8" x14ac:dyDescent="0.25">
      <c r="A118" s="711"/>
      <c r="B118" s="708"/>
      <c r="C118" s="708"/>
      <c r="E118" s="522"/>
      <c r="F118" s="737"/>
      <c r="G118" s="407"/>
      <c r="H118" s="422"/>
      <c r="I118" s="416"/>
      <c r="J118" s="214">
        <v>3</v>
      </c>
      <c r="K118" t="s">
        <v>997</v>
      </c>
      <c r="L118" s="371"/>
      <c r="M118" s="413"/>
      <c r="N118" s="396"/>
      <c r="O118" s="532"/>
      <c r="P118" s="533"/>
      <c r="Q118" s="533"/>
    </row>
    <row r="119" spans="1:17" ht="13.8" x14ac:dyDescent="0.25">
      <c r="A119" s="711"/>
      <c r="B119" s="708"/>
      <c r="C119" s="708"/>
      <c r="E119" s="522"/>
      <c r="F119" s="737"/>
      <c r="G119" s="407"/>
      <c r="H119" s="422"/>
      <c r="I119" s="416"/>
      <c r="J119" s="214">
        <v>4</v>
      </c>
      <c r="K119" t="s">
        <v>1016</v>
      </c>
      <c r="L119" s="371"/>
      <c r="M119" s="413"/>
      <c r="N119" s="396"/>
      <c r="O119" s="532"/>
      <c r="P119" s="533"/>
      <c r="Q119" s="533"/>
    </row>
    <row r="120" spans="1:17" ht="13.8" x14ac:dyDescent="0.25">
      <c r="A120" s="711"/>
      <c r="B120" s="708"/>
      <c r="C120" s="708"/>
      <c r="E120" s="522"/>
      <c r="F120" s="737"/>
      <c r="G120" s="407"/>
      <c r="H120" s="422"/>
      <c r="I120" s="416"/>
      <c r="J120" s="214">
        <v>5</v>
      </c>
      <c r="K120" t="s">
        <v>1017</v>
      </c>
      <c r="L120" s="371"/>
      <c r="M120" s="413"/>
      <c r="N120" s="396"/>
      <c r="O120" s="532"/>
      <c r="P120" s="533"/>
      <c r="Q120" s="533"/>
    </row>
    <row r="121" spans="1:17" ht="13.8" x14ac:dyDescent="0.25">
      <c r="A121" s="711"/>
      <c r="B121" s="708"/>
      <c r="C121" s="708"/>
      <c r="E121" s="522"/>
      <c r="F121" s="737"/>
      <c r="G121" s="407"/>
      <c r="H121" s="422"/>
      <c r="I121" s="416"/>
      <c r="J121" s="214">
        <v>6</v>
      </c>
      <c r="K121" t="s">
        <v>1022</v>
      </c>
      <c r="L121" s="371"/>
      <c r="M121" s="413"/>
      <c r="N121" s="396"/>
      <c r="O121" s="532"/>
      <c r="P121" s="533"/>
      <c r="Q121" s="533"/>
    </row>
    <row r="122" spans="1:17" ht="13.8" x14ac:dyDescent="0.25">
      <c r="A122" s="711"/>
      <c r="B122" s="708"/>
      <c r="C122" s="708"/>
      <c r="E122" s="522"/>
      <c r="F122" s="737"/>
      <c r="G122" s="407"/>
      <c r="H122" s="422"/>
      <c r="I122" s="416"/>
      <c r="J122" s="214">
        <v>7</v>
      </c>
      <c r="K122" t="s">
        <v>1001</v>
      </c>
      <c r="L122" s="371"/>
      <c r="M122" s="413"/>
      <c r="N122" s="396"/>
      <c r="O122" s="532"/>
      <c r="P122" s="533"/>
      <c r="Q122" s="533"/>
    </row>
    <row r="123" spans="1:17" ht="13.8" x14ac:dyDescent="0.25">
      <c r="A123" s="711"/>
      <c r="B123" s="708"/>
      <c r="C123" s="708"/>
      <c r="E123" s="522"/>
      <c r="F123" s="737"/>
      <c r="G123" s="407"/>
      <c r="H123" s="422"/>
      <c r="I123" s="416"/>
      <c r="J123" s="81">
        <v>8</v>
      </c>
      <c r="K123" t="s">
        <v>1023</v>
      </c>
      <c r="L123" s="372"/>
      <c r="M123" s="413"/>
      <c r="N123" s="396"/>
      <c r="O123" s="532"/>
      <c r="P123" s="533"/>
      <c r="Q123" s="533"/>
    </row>
    <row r="124" spans="1:17" ht="13.8" x14ac:dyDescent="0.25">
      <c r="A124" s="711"/>
      <c r="B124" s="708"/>
      <c r="C124" s="708"/>
      <c r="E124" s="522"/>
      <c r="F124" s="737"/>
      <c r="G124" s="407"/>
      <c r="H124" s="422"/>
      <c r="I124" s="416"/>
      <c r="J124" s="81">
        <v>9</v>
      </c>
      <c r="K124" t="s">
        <v>1024</v>
      </c>
      <c r="L124" s="372"/>
      <c r="M124" s="413"/>
      <c r="N124" s="396"/>
      <c r="O124" s="532"/>
      <c r="P124" s="533"/>
      <c r="Q124" s="533"/>
    </row>
    <row r="125" spans="1:17" ht="14.4" thickBot="1" x14ac:dyDescent="0.3">
      <c r="A125" s="712"/>
      <c r="B125" s="713"/>
      <c r="C125" s="713"/>
      <c r="E125" s="523"/>
      <c r="F125" s="737"/>
      <c r="G125" s="408"/>
      <c r="H125" s="423"/>
      <c r="I125" s="417"/>
      <c r="J125" s="82">
        <v>10</v>
      </c>
      <c r="K125" s="279" t="s">
        <v>1025</v>
      </c>
      <c r="L125" s="373"/>
      <c r="M125" s="414"/>
      <c r="N125" s="398"/>
      <c r="O125" s="532"/>
      <c r="P125" s="533"/>
      <c r="Q125" s="533"/>
    </row>
    <row r="126" spans="1:17" ht="28.5" customHeight="1" x14ac:dyDescent="0.25">
      <c r="A126" s="710">
        <v>11</v>
      </c>
      <c r="B126" s="707" t="s">
        <v>282</v>
      </c>
      <c r="C126" s="707" t="s">
        <v>333</v>
      </c>
      <c r="E126" s="521" t="str">
        <f>+LEFT(F126,4)</f>
        <v>15.3</v>
      </c>
      <c r="F126" s="756" t="s">
        <v>356</v>
      </c>
      <c r="G126" s="406" t="s">
        <v>357</v>
      </c>
      <c r="H126" s="421" t="s">
        <v>1026</v>
      </c>
      <c r="I126" s="415">
        <v>3</v>
      </c>
      <c r="J126" s="83">
        <v>1</v>
      </c>
      <c r="K126" s="277" t="s">
        <v>358</v>
      </c>
      <c r="L126" s="370" t="s">
        <v>1027</v>
      </c>
      <c r="M126" s="412">
        <v>2</v>
      </c>
      <c r="N126" s="513" t="str">
        <f>+IF(OR(ISBLANK(I126),ISBLANK(M126)),"",IF(OR(AND(I126=1,M126=1),AND(I126=1,M126=2),AND(I126=1,M126=3)),"Deficiencia de control mayor (diseño y ejecución)",IF(OR(AND(I126=2,M126=2),AND(I126=3,M126=1),AND(I126=3,M126=2),AND(I126=2,M126=1)),"Deficiencia de control (diseño o ejecución)",IF(AND(I126=2,M126=3),"Oportunidad de mejora","Mantenimiento del control"))))</f>
        <v>Deficiencia de control (diseño o ejecución)</v>
      </c>
      <c r="O126" s="532">
        <f>+IF(N126="",231,IF(N126="Deficiencia de control mayor (diseño y ejecución)",240,IF(N126="Deficiencia de control (diseño o ejecución)",260,IF(N126="Oportunidad de mejora",280,300))))</f>
        <v>260</v>
      </c>
      <c r="P126" s="533">
        <v>5.4562999999999997</v>
      </c>
      <c r="Q126" s="533">
        <f>+O126+P126</f>
        <v>265.4563</v>
      </c>
    </row>
    <row r="127" spans="1:17" ht="13.8" x14ac:dyDescent="0.25">
      <c r="A127" s="711"/>
      <c r="B127" s="708"/>
      <c r="C127" s="708"/>
      <c r="E127" s="522"/>
      <c r="F127" s="737"/>
      <c r="G127" s="407"/>
      <c r="H127" s="422"/>
      <c r="I127" s="416"/>
      <c r="J127" s="214">
        <v>2</v>
      </c>
      <c r="K127" t="s">
        <v>1028</v>
      </c>
      <c r="L127" s="719"/>
      <c r="M127" s="413"/>
      <c r="N127" s="396"/>
      <c r="O127" s="532"/>
      <c r="P127" s="533"/>
      <c r="Q127" s="533"/>
    </row>
    <row r="128" spans="1:17" ht="13.8" x14ac:dyDescent="0.25">
      <c r="A128" s="711"/>
      <c r="B128" s="708"/>
      <c r="C128" s="708"/>
      <c r="E128" s="522"/>
      <c r="F128" s="737"/>
      <c r="G128" s="407"/>
      <c r="H128" s="422"/>
      <c r="I128" s="416"/>
      <c r="J128" s="214">
        <v>3</v>
      </c>
      <c r="K128" t="s">
        <v>1029</v>
      </c>
      <c r="L128" s="719"/>
      <c r="M128" s="413"/>
      <c r="N128" s="396"/>
      <c r="O128" s="532"/>
      <c r="P128" s="533"/>
      <c r="Q128" s="533"/>
    </row>
    <row r="129" spans="1:17" ht="13.8" x14ac:dyDescent="0.25">
      <c r="A129" s="711"/>
      <c r="B129" s="708"/>
      <c r="C129" s="708"/>
      <c r="E129" s="522"/>
      <c r="F129" s="737"/>
      <c r="G129" s="407"/>
      <c r="H129" s="422"/>
      <c r="I129" s="416"/>
      <c r="J129" s="214">
        <v>4</v>
      </c>
      <c r="K129" t="s">
        <v>1030</v>
      </c>
      <c r="L129" s="719"/>
      <c r="M129" s="413"/>
      <c r="N129" s="396"/>
      <c r="O129" s="532"/>
      <c r="P129" s="533"/>
      <c r="Q129" s="533"/>
    </row>
    <row r="130" spans="1:17" ht="13.8" x14ac:dyDescent="0.25">
      <c r="A130" s="711"/>
      <c r="B130" s="708"/>
      <c r="C130" s="708"/>
      <c r="E130" s="522"/>
      <c r="F130" s="737"/>
      <c r="G130" s="407"/>
      <c r="H130" s="422"/>
      <c r="I130" s="416"/>
      <c r="J130" s="214">
        <v>5</v>
      </c>
      <c r="K130" t="s">
        <v>1031</v>
      </c>
      <c r="L130" s="719"/>
      <c r="M130" s="413"/>
      <c r="N130" s="396"/>
      <c r="O130" s="532"/>
      <c r="P130" s="533"/>
      <c r="Q130" s="533"/>
    </row>
    <row r="131" spans="1:17" ht="13.8" x14ac:dyDescent="0.25">
      <c r="A131" s="711"/>
      <c r="B131" s="708"/>
      <c r="C131" s="708"/>
      <c r="E131" s="522"/>
      <c r="F131" s="737"/>
      <c r="G131" s="407"/>
      <c r="H131" s="422"/>
      <c r="I131" s="416"/>
      <c r="J131" s="214">
        <v>6</v>
      </c>
      <c r="K131" t="s">
        <v>1032</v>
      </c>
      <c r="L131" s="719"/>
      <c r="M131" s="413"/>
      <c r="N131" s="396"/>
      <c r="O131" s="532"/>
      <c r="P131" s="533"/>
      <c r="Q131" s="533"/>
    </row>
    <row r="132" spans="1:17" ht="13.8" x14ac:dyDescent="0.25">
      <c r="A132" s="711"/>
      <c r="B132" s="708"/>
      <c r="C132" s="708"/>
      <c r="E132" s="522"/>
      <c r="F132" s="737"/>
      <c r="G132" s="407"/>
      <c r="H132" s="422"/>
      <c r="I132" s="416"/>
      <c r="J132" s="81">
        <v>7</v>
      </c>
      <c r="K132" t="s">
        <v>1009</v>
      </c>
      <c r="L132" s="440"/>
      <c r="M132" s="413"/>
      <c r="N132" s="396"/>
      <c r="O132" s="532"/>
      <c r="P132" s="533"/>
      <c r="Q132" s="533"/>
    </row>
    <row r="133" spans="1:17" ht="13.8" x14ac:dyDescent="0.25">
      <c r="A133" s="717"/>
      <c r="B133" s="718"/>
      <c r="C133" s="718"/>
      <c r="E133" s="699"/>
      <c r="F133" s="758"/>
      <c r="G133" s="407"/>
      <c r="H133" s="479"/>
      <c r="I133" s="480"/>
      <c r="J133" s="200">
        <v>8</v>
      </c>
      <c r="K133" t="s">
        <v>1033</v>
      </c>
      <c r="L133" s="440"/>
      <c r="M133" s="575"/>
      <c r="N133" s="397"/>
      <c r="O133" s="532"/>
      <c r="P133" s="533"/>
      <c r="Q133" s="533"/>
    </row>
    <row r="134" spans="1:17" ht="90.6" customHeight="1" thickBot="1" x14ac:dyDescent="0.3">
      <c r="A134" s="712"/>
      <c r="B134" s="713"/>
      <c r="C134" s="713"/>
      <c r="E134" s="523"/>
      <c r="F134" s="738"/>
      <c r="G134" s="408"/>
      <c r="H134" s="423"/>
      <c r="I134" s="417"/>
      <c r="J134" s="82">
        <v>9</v>
      </c>
      <c r="K134" s="275" t="s">
        <v>1034</v>
      </c>
      <c r="L134" s="441"/>
      <c r="M134" s="414"/>
      <c r="N134" s="398"/>
      <c r="O134" s="532"/>
      <c r="P134" s="533"/>
      <c r="Q134" s="533"/>
    </row>
    <row r="135" spans="1:17" ht="39.6" x14ac:dyDescent="0.25">
      <c r="A135" s="710">
        <v>12</v>
      </c>
      <c r="B135" s="707" t="s">
        <v>282</v>
      </c>
      <c r="C135" s="707" t="s">
        <v>330</v>
      </c>
      <c r="E135" s="521" t="str">
        <f>+LEFT(F135,4)</f>
        <v>15.4</v>
      </c>
      <c r="F135" s="757" t="s">
        <v>359</v>
      </c>
      <c r="G135" s="406" t="s">
        <v>360</v>
      </c>
      <c r="H135" s="421" t="s">
        <v>361</v>
      </c>
      <c r="I135" s="415">
        <v>3</v>
      </c>
      <c r="J135" s="83">
        <v>1</v>
      </c>
      <c r="K135" s="133" t="s">
        <v>362</v>
      </c>
      <c r="L135" s="370" t="s">
        <v>1035</v>
      </c>
      <c r="M135" s="412">
        <v>3</v>
      </c>
      <c r="N135" s="513" t="str">
        <f>+IF(OR(ISBLANK(I135),ISBLANK(M135)),"",IF(OR(AND(I135=1,M135=1),AND(I135=1,M135=2),AND(I135=1,M135=3)),"Deficiencia de control mayor (diseño y ejecución)",IF(OR(AND(I135=2,M135=2),AND(I135=3,M135=1),AND(I135=3,M135=2),AND(I135=2,M135=1)),"Deficiencia de control (diseño o ejecución)",IF(AND(I135=2,M135=3),"Oportunidad de mejora","Mantenimiento del control"))))</f>
        <v>Mantenimiento del control</v>
      </c>
      <c r="O135" s="532">
        <f>+IF(N135="",231,IF(N135="Deficiencia de control mayor (diseño y ejecución)",240,IF(N135="Deficiencia de control (diseño o ejecución)",260,IF(N135="Oportunidad de mejora",280,300))))</f>
        <v>300</v>
      </c>
      <c r="P135" s="533">
        <v>5.5632000000000001</v>
      </c>
      <c r="Q135" s="533">
        <f>+O135+P135</f>
        <v>305.56319999999999</v>
      </c>
    </row>
    <row r="136" spans="1:17" ht="26.4" x14ac:dyDescent="0.25">
      <c r="A136" s="711"/>
      <c r="B136" s="708"/>
      <c r="C136" s="708"/>
      <c r="E136" s="522"/>
      <c r="F136" s="737"/>
      <c r="G136" s="407"/>
      <c r="H136" s="422"/>
      <c r="I136" s="416"/>
      <c r="J136" s="81">
        <v>2</v>
      </c>
      <c r="K136" s="135" t="s">
        <v>363</v>
      </c>
      <c r="L136" s="440"/>
      <c r="M136" s="413"/>
      <c r="N136" s="396"/>
      <c r="O136" s="532"/>
      <c r="P136" s="533"/>
      <c r="Q136" s="533"/>
    </row>
    <row r="137" spans="1:17" ht="39.6" x14ac:dyDescent="0.25">
      <c r="A137" s="711"/>
      <c r="B137" s="708"/>
      <c r="C137" s="708"/>
      <c r="E137" s="522"/>
      <c r="F137" s="737"/>
      <c r="G137" s="407"/>
      <c r="H137" s="422"/>
      <c r="I137" s="416"/>
      <c r="J137" s="81">
        <v>3</v>
      </c>
      <c r="K137" s="135" t="s">
        <v>364</v>
      </c>
      <c r="L137" s="440"/>
      <c r="M137" s="413"/>
      <c r="N137" s="396"/>
      <c r="O137" s="532"/>
      <c r="P137" s="533"/>
      <c r="Q137" s="533"/>
    </row>
    <row r="138" spans="1:17" ht="13.5" customHeight="1" x14ac:dyDescent="0.25">
      <c r="A138" s="711"/>
      <c r="B138" s="708"/>
      <c r="C138" s="708"/>
      <c r="E138" s="522"/>
      <c r="F138" s="737"/>
      <c r="G138" s="407"/>
      <c r="H138" s="422"/>
      <c r="I138" s="416"/>
      <c r="J138" s="81"/>
      <c r="K138" s="199"/>
      <c r="L138" s="440"/>
      <c r="M138" s="413"/>
      <c r="N138" s="396"/>
      <c r="O138" s="532"/>
      <c r="P138" s="533"/>
      <c r="Q138" s="533"/>
    </row>
    <row r="139" spans="1:17" ht="13.8" x14ac:dyDescent="0.25">
      <c r="A139" s="711"/>
      <c r="B139" s="708"/>
      <c r="C139" s="708"/>
      <c r="E139" s="522"/>
      <c r="F139" s="737"/>
      <c r="G139" s="407"/>
      <c r="H139" s="422"/>
      <c r="I139" s="416"/>
      <c r="J139" s="81"/>
      <c r="K139" s="135"/>
      <c r="L139" s="440"/>
      <c r="M139" s="413"/>
      <c r="N139" s="396"/>
      <c r="O139" s="532"/>
      <c r="P139" s="533"/>
      <c r="Q139" s="533"/>
    </row>
    <row r="140" spans="1:17" ht="13.8" x14ac:dyDescent="0.25">
      <c r="A140" s="711"/>
      <c r="B140" s="708"/>
      <c r="C140" s="708"/>
      <c r="E140" s="522"/>
      <c r="F140" s="737"/>
      <c r="G140" s="407"/>
      <c r="H140" s="422"/>
      <c r="I140" s="416"/>
      <c r="J140" s="81"/>
      <c r="K140" s="135"/>
      <c r="L140" s="440"/>
      <c r="M140" s="413"/>
      <c r="N140" s="396"/>
      <c r="O140" s="532"/>
      <c r="P140" s="533"/>
      <c r="Q140" s="533"/>
    </row>
    <row r="141" spans="1:17" ht="13.8" x14ac:dyDescent="0.25">
      <c r="A141" s="711"/>
      <c r="B141" s="708"/>
      <c r="C141" s="708"/>
      <c r="E141" s="522"/>
      <c r="F141" s="737"/>
      <c r="G141" s="407"/>
      <c r="H141" s="422"/>
      <c r="I141" s="416"/>
      <c r="J141" s="81"/>
      <c r="K141" s="135"/>
      <c r="L141" s="440"/>
      <c r="M141" s="413"/>
      <c r="N141" s="396"/>
      <c r="O141" s="532"/>
      <c r="P141" s="533"/>
      <c r="Q141" s="533"/>
    </row>
    <row r="142" spans="1:17" ht="14.4" thickBot="1" x14ac:dyDescent="0.3">
      <c r="A142" s="712"/>
      <c r="B142" s="713"/>
      <c r="C142" s="713"/>
      <c r="E142" s="523"/>
      <c r="F142" s="737"/>
      <c r="G142" s="408"/>
      <c r="H142" s="423"/>
      <c r="I142" s="417"/>
      <c r="J142" s="82"/>
      <c r="K142" s="156"/>
      <c r="L142" s="441"/>
      <c r="M142" s="414"/>
      <c r="N142" s="398"/>
      <c r="O142" s="532"/>
      <c r="P142" s="533"/>
      <c r="Q142" s="533"/>
    </row>
    <row r="143" spans="1:17" ht="13.8" x14ac:dyDescent="0.25">
      <c r="A143" s="710">
        <v>13</v>
      </c>
      <c r="B143" s="707" t="s">
        <v>282</v>
      </c>
      <c r="C143" s="707" t="s">
        <v>283</v>
      </c>
      <c r="E143" s="521" t="str">
        <f>+LEFT(F143,4)</f>
        <v>15.5</v>
      </c>
      <c r="F143" s="737" t="s">
        <v>365</v>
      </c>
      <c r="G143" s="406" t="s">
        <v>366</v>
      </c>
      <c r="H143" s="421" t="s">
        <v>367</v>
      </c>
      <c r="I143" s="415">
        <v>3</v>
      </c>
      <c r="J143" s="83">
        <v>1</v>
      </c>
      <c r="K143" t="s">
        <v>1037</v>
      </c>
      <c r="L143" s="370" t="s">
        <v>1036</v>
      </c>
      <c r="M143" s="412">
        <v>3</v>
      </c>
      <c r="N143" s="513" t="str">
        <f>+IF(OR(ISBLANK(I143),ISBLANK(M143)),"",IF(OR(AND(I143=1,M143=1),AND(I143=1,M143=2),AND(I143=1,M143=3)),"Deficiencia de control mayor (diseño y ejecución)",IF(OR(AND(I143=2,M143=2),AND(I143=3,M143=1),AND(I143=3,M143=2),AND(I143=2,M143=1)),"Deficiencia de control (diseño o ejecución)",IF(AND(I143=2,M143=3),"Oportunidad de mejora","Mantenimiento del control"))))</f>
        <v>Mantenimiento del control</v>
      </c>
      <c r="O143" s="532">
        <f>+IF(N143="",231,IF(N143="Deficiencia de control mayor (diseño y ejecución)",240,IF(N143="Deficiencia de control (diseño o ejecución)",260,IF(N143="Oportunidad de mejora",280,300))))</f>
        <v>300</v>
      </c>
      <c r="P143" s="533">
        <v>5.6321000000000003</v>
      </c>
      <c r="Q143" s="533">
        <f>+O143+P143</f>
        <v>305.63209999999998</v>
      </c>
    </row>
    <row r="144" spans="1:17" ht="13.8" x14ac:dyDescent="0.25">
      <c r="A144" s="711"/>
      <c r="B144" s="708"/>
      <c r="C144" s="708"/>
      <c r="E144" s="522"/>
      <c r="F144" s="737"/>
      <c r="G144" s="407"/>
      <c r="H144" s="422"/>
      <c r="I144" s="416"/>
      <c r="J144" s="81">
        <v>2</v>
      </c>
      <c r="K144" t="s">
        <v>1038</v>
      </c>
      <c r="L144" s="440"/>
      <c r="M144" s="413"/>
      <c r="N144" s="396"/>
      <c r="O144" s="532"/>
      <c r="P144" s="533"/>
      <c r="Q144" s="533"/>
    </row>
    <row r="145" spans="1:17" ht="13.8" x14ac:dyDescent="0.25">
      <c r="A145" s="711"/>
      <c r="B145" s="708"/>
      <c r="C145" s="708"/>
      <c r="E145" s="522"/>
      <c r="F145" s="737"/>
      <c r="G145" s="407"/>
      <c r="H145" s="422"/>
      <c r="I145" s="416"/>
      <c r="J145" s="81">
        <v>3</v>
      </c>
      <c r="K145" t="s">
        <v>1039</v>
      </c>
      <c r="L145" s="440"/>
      <c r="M145" s="413"/>
      <c r="N145" s="396"/>
      <c r="O145" s="532"/>
      <c r="P145" s="533"/>
      <c r="Q145" s="533"/>
    </row>
    <row r="146" spans="1:17" ht="13.8" x14ac:dyDescent="0.25">
      <c r="A146" s="711"/>
      <c r="B146" s="708"/>
      <c r="C146" s="708"/>
      <c r="E146" s="522"/>
      <c r="F146" s="737"/>
      <c r="G146" s="407"/>
      <c r="H146" s="422"/>
      <c r="I146" s="416"/>
      <c r="J146" s="81">
        <v>4</v>
      </c>
      <c r="K146" t="s">
        <v>1040</v>
      </c>
      <c r="L146" s="440"/>
      <c r="M146" s="413"/>
      <c r="N146" s="396"/>
      <c r="O146" s="532"/>
      <c r="P146" s="533"/>
      <c r="Q146" s="533"/>
    </row>
    <row r="147" spans="1:17" ht="13.8" x14ac:dyDescent="0.25">
      <c r="A147" s="711"/>
      <c r="B147" s="708"/>
      <c r="C147" s="708"/>
      <c r="E147" s="522"/>
      <c r="F147" s="737"/>
      <c r="G147" s="407"/>
      <c r="H147" s="422"/>
      <c r="I147" s="416"/>
      <c r="J147" s="81"/>
      <c r="K147" s="152"/>
      <c r="L147" s="440"/>
      <c r="M147" s="413"/>
      <c r="N147" s="396"/>
      <c r="O147" s="532"/>
      <c r="P147" s="533"/>
      <c r="Q147" s="533"/>
    </row>
    <row r="148" spans="1:17" ht="12.75" customHeight="1" x14ac:dyDescent="0.25">
      <c r="A148" s="711"/>
      <c r="B148" s="708"/>
      <c r="C148" s="708"/>
      <c r="E148" s="522"/>
      <c r="F148" s="737"/>
      <c r="G148" s="407"/>
      <c r="H148" s="422"/>
      <c r="I148" s="416"/>
      <c r="J148" s="81"/>
      <c r="K148" s="152"/>
      <c r="L148" s="440"/>
      <c r="M148" s="413"/>
      <c r="N148" s="396"/>
      <c r="O148" s="532"/>
      <c r="P148" s="533"/>
      <c r="Q148" s="533"/>
    </row>
    <row r="149" spans="1:17" ht="12.75" customHeight="1" x14ac:dyDescent="0.25">
      <c r="A149" s="711"/>
      <c r="B149" s="708"/>
      <c r="C149" s="708"/>
      <c r="E149" s="522"/>
      <c r="F149" s="737"/>
      <c r="G149" s="407"/>
      <c r="H149" s="422"/>
      <c r="I149" s="416"/>
      <c r="J149" s="81"/>
      <c r="K149" s="152"/>
      <c r="L149" s="440"/>
      <c r="M149" s="413"/>
      <c r="N149" s="396"/>
      <c r="O149" s="532"/>
      <c r="P149" s="533"/>
      <c r="Q149" s="533"/>
    </row>
    <row r="150" spans="1:17" ht="39" customHeight="1" thickBot="1" x14ac:dyDescent="0.3">
      <c r="A150" s="712"/>
      <c r="B150" s="713"/>
      <c r="C150" s="713"/>
      <c r="E150" s="523"/>
      <c r="F150" s="737"/>
      <c r="G150" s="408"/>
      <c r="H150" s="423"/>
      <c r="I150" s="417"/>
      <c r="J150" s="82"/>
      <c r="K150" s="136"/>
      <c r="L150" s="441"/>
      <c r="M150" s="414"/>
      <c r="N150" s="398"/>
      <c r="O150" s="532"/>
      <c r="P150" s="533"/>
      <c r="Q150" s="533"/>
    </row>
    <row r="151" spans="1:17" ht="13.8" x14ac:dyDescent="0.25">
      <c r="A151" s="710">
        <v>14</v>
      </c>
      <c r="B151" s="707" t="s">
        <v>282</v>
      </c>
      <c r="C151" s="707" t="s">
        <v>283</v>
      </c>
      <c r="E151" s="521" t="str">
        <f>+LEFT(F151,4)</f>
        <v>15.6</v>
      </c>
      <c r="F151" s="752" t="s">
        <v>368</v>
      </c>
      <c r="G151" s="406" t="s">
        <v>366</v>
      </c>
      <c r="H151" s="421" t="s">
        <v>369</v>
      </c>
      <c r="I151" s="415">
        <v>3</v>
      </c>
      <c r="J151" s="83">
        <v>1</v>
      </c>
      <c r="K151" t="s">
        <v>1042</v>
      </c>
      <c r="L151" s="370" t="s">
        <v>1041</v>
      </c>
      <c r="M151" s="412">
        <v>2</v>
      </c>
      <c r="N151" s="513" t="str">
        <f>+IF(OR(ISBLANK(I151),ISBLANK(M151)),"",IF(OR(AND(I151=1,M151=1),AND(I151=1,M151=2),AND(I151=1,M151=3)),"Deficiencia de control mayor (diseño y ejecución)",IF(OR(AND(I151=2,M151=2),AND(I151=3,M151=1),AND(I151=3,M151=2),AND(I151=2,M151=1)),"Deficiencia de control (diseño o ejecución)",IF(AND(I151=2,M151=3),"Oportunidad de mejora","Mantenimiento del control"))))</f>
        <v>Deficiencia de control (diseño o ejecución)</v>
      </c>
      <c r="O151" s="532">
        <f>+IF(N151="",231,IF(N151="Deficiencia de control mayor (diseño y ejecución)",240,IF(N151="Deficiencia de control (diseño o ejecución)",260,IF(N151="Oportunidad de mejora",280,300))))</f>
        <v>260</v>
      </c>
      <c r="P151" s="533">
        <v>5.7896000000000001</v>
      </c>
      <c r="Q151" s="533">
        <f>+O151+P151</f>
        <v>265.78960000000001</v>
      </c>
    </row>
    <row r="152" spans="1:17" ht="13.8" x14ac:dyDescent="0.25">
      <c r="A152" s="711"/>
      <c r="B152" s="708"/>
      <c r="C152" s="708"/>
      <c r="E152" s="522"/>
      <c r="F152" s="752"/>
      <c r="G152" s="407"/>
      <c r="H152" s="422"/>
      <c r="I152" s="416"/>
      <c r="J152" s="214">
        <v>2</v>
      </c>
      <c r="K152" t="s">
        <v>1043</v>
      </c>
      <c r="L152" s="719"/>
      <c r="M152" s="413"/>
      <c r="N152" s="396"/>
      <c r="O152" s="532"/>
      <c r="P152" s="533"/>
      <c r="Q152" s="533"/>
    </row>
    <row r="153" spans="1:17" ht="13.8" x14ac:dyDescent="0.25">
      <c r="A153" s="711"/>
      <c r="B153" s="708"/>
      <c r="C153" s="708"/>
      <c r="E153" s="522"/>
      <c r="F153" s="752"/>
      <c r="G153" s="407"/>
      <c r="H153" s="422"/>
      <c r="I153" s="416"/>
      <c r="J153" s="214">
        <v>3</v>
      </c>
      <c r="K153" t="s">
        <v>971</v>
      </c>
      <c r="L153" s="719"/>
      <c r="M153" s="413"/>
      <c r="N153" s="396"/>
      <c r="O153" s="532"/>
      <c r="P153" s="533"/>
      <c r="Q153" s="533"/>
    </row>
    <row r="154" spans="1:17" ht="13.8" x14ac:dyDescent="0.25">
      <c r="A154" s="711"/>
      <c r="B154" s="708"/>
      <c r="C154" s="708"/>
      <c r="E154" s="522"/>
      <c r="F154" s="752"/>
      <c r="G154" s="407"/>
      <c r="H154" s="422"/>
      <c r="I154" s="416"/>
      <c r="J154" s="214">
        <v>4</v>
      </c>
      <c r="K154" t="s">
        <v>1044</v>
      </c>
      <c r="L154" s="719"/>
      <c r="M154" s="413"/>
      <c r="N154" s="396"/>
      <c r="O154" s="532"/>
      <c r="P154" s="533"/>
      <c r="Q154" s="533"/>
    </row>
    <row r="155" spans="1:17" ht="13.8" x14ac:dyDescent="0.25">
      <c r="A155" s="711"/>
      <c r="B155" s="708"/>
      <c r="C155" s="708"/>
      <c r="E155" s="522"/>
      <c r="F155" s="752"/>
      <c r="G155" s="407"/>
      <c r="H155" s="422"/>
      <c r="I155" s="416"/>
      <c r="J155" s="214">
        <v>5</v>
      </c>
      <c r="K155" t="s">
        <v>1045</v>
      </c>
      <c r="L155" s="719"/>
      <c r="M155" s="413"/>
      <c r="N155" s="396"/>
      <c r="O155" s="532"/>
      <c r="P155" s="533"/>
      <c r="Q155" s="533"/>
    </row>
    <row r="156" spans="1:17" ht="13.8" x14ac:dyDescent="0.25">
      <c r="A156" s="711"/>
      <c r="B156" s="708"/>
      <c r="C156" s="708"/>
      <c r="E156" s="522"/>
      <c r="F156" s="752"/>
      <c r="G156" s="407"/>
      <c r="H156" s="422"/>
      <c r="I156" s="416"/>
      <c r="J156" s="214">
        <v>6</v>
      </c>
      <c r="K156" t="s">
        <v>1046</v>
      </c>
      <c r="L156" s="719"/>
      <c r="M156" s="413"/>
      <c r="N156" s="396"/>
      <c r="O156" s="532"/>
      <c r="P156" s="533"/>
      <c r="Q156" s="533"/>
    </row>
    <row r="157" spans="1:17" ht="13.8" x14ac:dyDescent="0.25">
      <c r="A157" s="711"/>
      <c r="B157" s="708"/>
      <c r="C157" s="708"/>
      <c r="E157" s="522"/>
      <c r="F157" s="752"/>
      <c r="G157" s="407"/>
      <c r="H157" s="422"/>
      <c r="I157" s="416"/>
      <c r="J157" s="214"/>
      <c r="K157" s="133"/>
      <c r="L157" s="719"/>
      <c r="M157" s="413"/>
      <c r="N157" s="396"/>
      <c r="O157" s="532"/>
      <c r="P157" s="533"/>
      <c r="Q157" s="533"/>
    </row>
    <row r="158" spans="1:17" ht="13.8" x14ac:dyDescent="0.25">
      <c r="A158" s="711"/>
      <c r="B158" s="708"/>
      <c r="C158" s="708"/>
      <c r="E158" s="522"/>
      <c r="F158" s="752"/>
      <c r="G158" s="407"/>
      <c r="H158" s="422"/>
      <c r="I158" s="416"/>
      <c r="J158" s="214"/>
      <c r="K158" s="133"/>
      <c r="L158" s="719"/>
      <c r="M158" s="413"/>
      <c r="N158" s="396"/>
      <c r="O158" s="532"/>
      <c r="P158" s="533"/>
      <c r="Q158" s="533"/>
    </row>
    <row r="159" spans="1:17" ht="13.8" x14ac:dyDescent="0.25">
      <c r="A159" s="711"/>
      <c r="B159" s="708"/>
      <c r="C159" s="708"/>
      <c r="E159" s="522"/>
      <c r="F159" s="752"/>
      <c r="G159" s="407"/>
      <c r="H159" s="422"/>
      <c r="I159" s="416"/>
      <c r="J159" s="214"/>
      <c r="K159" s="133"/>
      <c r="L159" s="719"/>
      <c r="M159" s="413"/>
      <c r="N159" s="396"/>
      <c r="O159" s="532"/>
      <c r="P159" s="533"/>
      <c r="Q159" s="533"/>
    </row>
    <row r="160" spans="1:17" ht="13.8" x14ac:dyDescent="0.25">
      <c r="A160" s="711"/>
      <c r="B160" s="708"/>
      <c r="C160" s="708"/>
      <c r="E160" s="522"/>
      <c r="F160" s="752"/>
      <c r="G160" s="407"/>
      <c r="H160" s="422"/>
      <c r="I160" s="416"/>
      <c r="J160" s="214"/>
      <c r="K160" s="133"/>
      <c r="L160" s="719"/>
      <c r="M160" s="413"/>
      <c r="N160" s="396"/>
      <c r="O160" s="532"/>
      <c r="P160" s="533"/>
      <c r="Q160" s="533"/>
    </row>
    <row r="161" spans="1:17" ht="13.8" x14ac:dyDescent="0.25">
      <c r="A161" s="711"/>
      <c r="B161" s="708"/>
      <c r="C161" s="708"/>
      <c r="E161" s="522"/>
      <c r="F161" s="752"/>
      <c r="G161" s="407"/>
      <c r="H161" s="422"/>
      <c r="I161" s="416"/>
      <c r="J161" s="214"/>
      <c r="K161" s="133"/>
      <c r="L161" s="719"/>
      <c r="M161" s="413"/>
      <c r="N161" s="396"/>
      <c r="O161" s="532"/>
      <c r="P161" s="533"/>
      <c r="Q161" s="533"/>
    </row>
    <row r="162" spans="1:17" ht="13.8" x14ac:dyDescent="0.25">
      <c r="A162" s="711"/>
      <c r="B162" s="708"/>
      <c r="C162" s="708"/>
      <c r="E162" s="522"/>
      <c r="F162" s="752"/>
      <c r="G162" s="407"/>
      <c r="H162" s="422"/>
      <c r="I162" s="416"/>
      <c r="J162" s="214"/>
      <c r="K162" s="133"/>
      <c r="L162" s="719"/>
      <c r="M162" s="413"/>
      <c r="N162" s="396"/>
      <c r="O162" s="532"/>
      <c r="P162" s="533"/>
      <c r="Q162" s="533"/>
    </row>
    <row r="163" spans="1:17" ht="13.8" x14ac:dyDescent="0.25">
      <c r="A163" s="711"/>
      <c r="B163" s="708"/>
      <c r="C163" s="708"/>
      <c r="E163" s="522"/>
      <c r="F163" s="752"/>
      <c r="G163" s="407"/>
      <c r="H163" s="422"/>
      <c r="I163" s="416"/>
      <c r="J163" s="214"/>
      <c r="K163" s="133"/>
      <c r="L163" s="719"/>
      <c r="M163" s="413"/>
      <c r="N163" s="396"/>
      <c r="O163" s="532"/>
      <c r="P163" s="533"/>
      <c r="Q163" s="533"/>
    </row>
    <row r="164" spans="1:17" ht="13.8" x14ac:dyDescent="0.25">
      <c r="A164" s="711"/>
      <c r="B164" s="708"/>
      <c r="C164" s="708"/>
      <c r="E164" s="522"/>
      <c r="F164" s="752"/>
      <c r="G164" s="407"/>
      <c r="H164" s="422"/>
      <c r="I164" s="416"/>
      <c r="J164" s="214"/>
      <c r="K164" s="133"/>
      <c r="L164" s="719"/>
      <c r="M164" s="413"/>
      <c r="N164" s="396"/>
      <c r="O164" s="532"/>
      <c r="P164" s="533"/>
      <c r="Q164" s="533"/>
    </row>
    <row r="165" spans="1:17" ht="13.8" x14ac:dyDescent="0.25">
      <c r="A165" s="711"/>
      <c r="B165" s="708"/>
      <c r="C165" s="708"/>
      <c r="E165" s="522"/>
      <c r="F165" s="752"/>
      <c r="G165" s="407"/>
      <c r="H165" s="422"/>
      <c r="I165" s="416"/>
      <c r="J165" s="214"/>
      <c r="K165" s="133"/>
      <c r="L165" s="719"/>
      <c r="M165" s="413"/>
      <c r="N165" s="396"/>
      <c r="O165" s="532"/>
      <c r="P165" s="533"/>
      <c r="Q165" s="533"/>
    </row>
    <row r="166" spans="1:17" ht="13.8" x14ac:dyDescent="0.25">
      <c r="A166" s="711"/>
      <c r="B166" s="708"/>
      <c r="C166" s="708"/>
      <c r="E166" s="522"/>
      <c r="F166" s="752"/>
      <c r="G166" s="407"/>
      <c r="H166" s="422"/>
      <c r="I166" s="416"/>
      <c r="J166" s="81"/>
      <c r="K166" s="203"/>
      <c r="L166" s="440"/>
      <c r="M166" s="413"/>
      <c r="N166" s="396"/>
      <c r="O166" s="532"/>
      <c r="P166" s="533"/>
      <c r="Q166" s="533"/>
    </row>
    <row r="167" spans="1:17" ht="13.8" x14ac:dyDescent="0.25">
      <c r="A167" s="711"/>
      <c r="B167" s="708"/>
      <c r="C167" s="708"/>
      <c r="E167" s="522"/>
      <c r="F167" s="752"/>
      <c r="G167" s="407"/>
      <c r="H167" s="422"/>
      <c r="I167" s="416"/>
      <c r="J167" s="81"/>
      <c r="K167" s="203"/>
      <c r="L167" s="440"/>
      <c r="M167" s="413"/>
      <c r="N167" s="396"/>
      <c r="O167" s="532"/>
      <c r="P167" s="533"/>
      <c r="Q167" s="533"/>
    </row>
    <row r="168" spans="1:17" ht="13.8" x14ac:dyDescent="0.25">
      <c r="A168" s="711"/>
      <c r="B168" s="708"/>
      <c r="C168" s="708"/>
      <c r="E168" s="522"/>
      <c r="F168" s="752"/>
      <c r="G168" s="407"/>
      <c r="H168" s="422"/>
      <c r="I168" s="416"/>
      <c r="J168" s="81"/>
      <c r="K168" s="152"/>
      <c r="L168" s="440"/>
      <c r="M168" s="413"/>
      <c r="N168" s="396"/>
      <c r="O168" s="532"/>
      <c r="P168" s="533"/>
      <c r="Q168" s="533"/>
    </row>
    <row r="169" spans="1:17" ht="14.4" thickBot="1" x14ac:dyDescent="0.3">
      <c r="A169" s="712"/>
      <c r="B169" s="713"/>
      <c r="C169" s="713"/>
      <c r="E169" s="523"/>
      <c r="F169" s="752"/>
      <c r="G169" s="408"/>
      <c r="H169" s="423"/>
      <c r="I169" s="417"/>
      <c r="J169" s="82"/>
      <c r="K169" s="136"/>
      <c r="L169" s="441"/>
      <c r="M169" s="414"/>
      <c r="N169" s="398"/>
      <c r="O169" s="532"/>
      <c r="P169" s="533"/>
      <c r="Q169" s="533"/>
    </row>
  </sheetData>
  <mergeCells count="247">
    <mergeCell ref="A151:A169"/>
    <mergeCell ref="B151:B169"/>
    <mergeCell ref="C151:C169"/>
    <mergeCell ref="A126:A134"/>
    <mergeCell ref="B126:B134"/>
    <mergeCell ref="C126:C134"/>
    <mergeCell ref="A135:A142"/>
    <mergeCell ref="B135:B142"/>
    <mergeCell ref="C135:C142"/>
    <mergeCell ref="A143:A150"/>
    <mergeCell ref="B143:B150"/>
    <mergeCell ref="C143:C150"/>
    <mergeCell ref="A104:A107"/>
    <mergeCell ref="B104:B107"/>
    <mergeCell ref="C104:C107"/>
    <mergeCell ref="A108:A115"/>
    <mergeCell ref="B108:B115"/>
    <mergeCell ref="C108:C115"/>
    <mergeCell ref="A116:A125"/>
    <mergeCell ref="B116:B125"/>
    <mergeCell ref="C116:C125"/>
    <mergeCell ref="A78:A87"/>
    <mergeCell ref="B78:B87"/>
    <mergeCell ref="C78:C87"/>
    <mergeCell ref="A88:A95"/>
    <mergeCell ref="B88:B95"/>
    <mergeCell ref="C88:C95"/>
    <mergeCell ref="A96:A103"/>
    <mergeCell ref="B96:B103"/>
    <mergeCell ref="C96:C103"/>
    <mergeCell ref="A52:A62"/>
    <mergeCell ref="B52:B62"/>
    <mergeCell ref="C52:C62"/>
    <mergeCell ref="A63:A66"/>
    <mergeCell ref="B63:B66"/>
    <mergeCell ref="C63:C66"/>
    <mergeCell ref="A67:A77"/>
    <mergeCell ref="B67:B77"/>
    <mergeCell ref="C67:C77"/>
    <mergeCell ref="A19:A30"/>
    <mergeCell ref="B19:B30"/>
    <mergeCell ref="C19:C30"/>
    <mergeCell ref="A31:A40"/>
    <mergeCell ref="B31:B40"/>
    <mergeCell ref="C31:C40"/>
    <mergeCell ref="A41:A51"/>
    <mergeCell ref="B41:B51"/>
    <mergeCell ref="C41:C51"/>
    <mergeCell ref="E108:E115"/>
    <mergeCell ref="E116:E125"/>
    <mergeCell ref="E126:E134"/>
    <mergeCell ref="E135:E142"/>
    <mergeCell ref="E143:E150"/>
    <mergeCell ref="E151:E169"/>
    <mergeCell ref="E15:E18"/>
    <mergeCell ref="E19:E30"/>
    <mergeCell ref="E31:E40"/>
    <mergeCell ref="E41:E51"/>
    <mergeCell ref="E52:E62"/>
    <mergeCell ref="E63:E66"/>
    <mergeCell ref="E67:E77"/>
    <mergeCell ref="E78:E87"/>
    <mergeCell ref="E88:E95"/>
    <mergeCell ref="N126:N134"/>
    <mergeCell ref="N135:N142"/>
    <mergeCell ref="N143:N150"/>
    <mergeCell ref="N151:N169"/>
    <mergeCell ref="N88:N95"/>
    <mergeCell ref="N96:N103"/>
    <mergeCell ref="N104:N107"/>
    <mergeCell ref="N108:N115"/>
    <mergeCell ref="N116:N125"/>
    <mergeCell ref="N41:N51"/>
    <mergeCell ref="N52:N62"/>
    <mergeCell ref="N63:N66"/>
    <mergeCell ref="N67:N77"/>
    <mergeCell ref="N78:N87"/>
    <mergeCell ref="N15:N18"/>
    <mergeCell ref="F12:N12"/>
    <mergeCell ref="F13:N13"/>
    <mergeCell ref="N19:N30"/>
    <mergeCell ref="N31:N40"/>
    <mergeCell ref="F31:F40"/>
    <mergeCell ref="H31:H40"/>
    <mergeCell ref="J17:J18"/>
    <mergeCell ref="F15:F18"/>
    <mergeCell ref="F19:F30"/>
    <mergeCell ref="H19:H30"/>
    <mergeCell ref="F41:F51"/>
    <mergeCell ref="G41:G51"/>
    <mergeCell ref="H41:H51"/>
    <mergeCell ref="I41:I51"/>
    <mergeCell ref="M41:M51"/>
    <mergeCell ref="K17:K18"/>
    <mergeCell ref="K65:K66"/>
    <mergeCell ref="I143:I150"/>
    <mergeCell ref="I135:I142"/>
    <mergeCell ref="G108:G115"/>
    <mergeCell ref="G116:G125"/>
    <mergeCell ref="H143:H150"/>
    <mergeCell ref="I126:I134"/>
    <mergeCell ref="I63:I66"/>
    <mergeCell ref="F52:F62"/>
    <mergeCell ref="H52:H62"/>
    <mergeCell ref="F135:F142"/>
    <mergeCell ref="H135:H142"/>
    <mergeCell ref="F126:F134"/>
    <mergeCell ref="F143:F150"/>
    <mergeCell ref="H126:H134"/>
    <mergeCell ref="G126:G134"/>
    <mergeCell ref="G135:G142"/>
    <mergeCell ref="G143:G150"/>
    <mergeCell ref="M151:M169"/>
    <mergeCell ref="L17:L18"/>
    <mergeCell ref="L65:L66"/>
    <mergeCell ref="L106:L107"/>
    <mergeCell ref="M15:M18"/>
    <mergeCell ref="M19:M30"/>
    <mergeCell ref="M31:M40"/>
    <mergeCell ref="M52:M62"/>
    <mergeCell ref="M63:M66"/>
    <mergeCell ref="M67:M77"/>
    <mergeCell ref="M78:M87"/>
    <mergeCell ref="M96:M103"/>
    <mergeCell ref="M104:M107"/>
    <mergeCell ref="M108:M115"/>
    <mergeCell ref="M116:M125"/>
    <mergeCell ref="M126:M134"/>
    <mergeCell ref="M135:M142"/>
    <mergeCell ref="M143:M150"/>
    <mergeCell ref="J63:L64"/>
    <mergeCell ref="J15:L16"/>
    <mergeCell ref="J104:L105"/>
    <mergeCell ref="J65:J66"/>
    <mergeCell ref="J106:J107"/>
    <mergeCell ref="M88:M95"/>
    <mergeCell ref="G151:G169"/>
    <mergeCell ref="F108:F115"/>
    <mergeCell ref="H108:H115"/>
    <mergeCell ref="I15:I18"/>
    <mergeCell ref="I19:I30"/>
    <mergeCell ref="I31:I40"/>
    <mergeCell ref="G19:G30"/>
    <mergeCell ref="G31:G40"/>
    <mergeCell ref="G15:G18"/>
    <mergeCell ref="F88:F95"/>
    <mergeCell ref="G88:G95"/>
    <mergeCell ref="H88:H95"/>
    <mergeCell ref="I88:I95"/>
    <mergeCell ref="H67:H77"/>
    <mergeCell ref="F78:F87"/>
    <mergeCell ref="F67:F77"/>
    <mergeCell ref="H15:H18"/>
    <mergeCell ref="F116:F125"/>
    <mergeCell ref="H116:H125"/>
    <mergeCell ref="F151:F169"/>
    <mergeCell ref="I151:I169"/>
    <mergeCell ref="I108:I115"/>
    <mergeCell ref="I116:I125"/>
    <mergeCell ref="H151:H169"/>
    <mergeCell ref="D52:D53"/>
    <mergeCell ref="F104:F107"/>
    <mergeCell ref="H78:H87"/>
    <mergeCell ref="H96:H103"/>
    <mergeCell ref="I78:I87"/>
    <mergeCell ref="I96:I103"/>
    <mergeCell ref="I52:I62"/>
    <mergeCell ref="G52:G62"/>
    <mergeCell ref="G78:G87"/>
    <mergeCell ref="G96:G103"/>
    <mergeCell ref="F96:F103"/>
    <mergeCell ref="I67:I77"/>
    <mergeCell ref="G63:G66"/>
    <mergeCell ref="G104:G107"/>
    <mergeCell ref="F63:F66"/>
    <mergeCell ref="G67:G77"/>
    <mergeCell ref="H63:H66"/>
    <mergeCell ref="H104:H107"/>
    <mergeCell ref="I104:I107"/>
    <mergeCell ref="E96:E103"/>
    <mergeCell ref="E104:E107"/>
    <mergeCell ref="O15:O18"/>
    <mergeCell ref="O19:O30"/>
    <mergeCell ref="O31:O40"/>
    <mergeCell ref="O41:O51"/>
    <mergeCell ref="O52:O62"/>
    <mergeCell ref="O63:O66"/>
    <mergeCell ref="O67:O77"/>
    <mergeCell ref="O78:O87"/>
    <mergeCell ref="O88:O95"/>
    <mergeCell ref="O96:O103"/>
    <mergeCell ref="O104:O107"/>
    <mergeCell ref="O108:O115"/>
    <mergeCell ref="O116:O125"/>
    <mergeCell ref="O126:O134"/>
    <mergeCell ref="O135:O142"/>
    <mergeCell ref="O143:O150"/>
    <mergeCell ref="O151:O169"/>
    <mergeCell ref="P15:P18"/>
    <mergeCell ref="P19:P30"/>
    <mergeCell ref="P31:P40"/>
    <mergeCell ref="P41:P51"/>
    <mergeCell ref="P52:P62"/>
    <mergeCell ref="P63:P66"/>
    <mergeCell ref="P67:P77"/>
    <mergeCell ref="P78:P87"/>
    <mergeCell ref="P88:P95"/>
    <mergeCell ref="P96:P103"/>
    <mergeCell ref="P104:P107"/>
    <mergeCell ref="P108:P115"/>
    <mergeCell ref="P116:P125"/>
    <mergeCell ref="P126:P134"/>
    <mergeCell ref="P135:P142"/>
    <mergeCell ref="P143:P150"/>
    <mergeCell ref="P151:P169"/>
    <mergeCell ref="Q15:Q18"/>
    <mergeCell ref="Q19:Q30"/>
    <mergeCell ref="Q31:Q40"/>
    <mergeCell ref="Q41:Q51"/>
    <mergeCell ref="Q52:Q62"/>
    <mergeCell ref="Q63:Q66"/>
    <mergeCell ref="Q67:Q77"/>
    <mergeCell ref="Q78:Q87"/>
    <mergeCell ref="Q88:Q95"/>
    <mergeCell ref="Q96:Q103"/>
    <mergeCell ref="Q104:Q107"/>
    <mergeCell ref="Q108:Q115"/>
    <mergeCell ref="Q116:Q125"/>
    <mergeCell ref="Q126:Q134"/>
    <mergeCell ref="Q135:Q142"/>
    <mergeCell ref="Q143:Q150"/>
    <mergeCell ref="Q151:Q169"/>
    <mergeCell ref="L108:L115"/>
    <mergeCell ref="L116:L125"/>
    <mergeCell ref="L126:L134"/>
    <mergeCell ref="L135:L142"/>
    <mergeCell ref="L143:L150"/>
    <mergeCell ref="L151:L169"/>
    <mergeCell ref="K106:K107"/>
    <mergeCell ref="L19:L30"/>
    <mergeCell ref="L31:L40"/>
    <mergeCell ref="L41:L51"/>
    <mergeCell ref="L52:L62"/>
    <mergeCell ref="L67:L77"/>
    <mergeCell ref="L78:L87"/>
    <mergeCell ref="L88:L95"/>
    <mergeCell ref="L96:L103"/>
  </mergeCells>
  <dataValidations count="1">
    <dataValidation type="list" allowBlank="1" showInputMessage="1" showErrorMessage="1" sqref="M108:M169 M67:M103 I108:I169 I67:I103 M19:M62 I19:I62" xr:uid="{00000000-0002-0000-0500-000000000000}">
      <formula1>"1,2,3"</formula1>
    </dataValidation>
  </dataValidations>
  <hyperlinks>
    <hyperlink ref="K96" r:id="rId1" xr:uid="{171A3752-87C6-4433-BE39-35608DA08EF9}"/>
    <hyperlink ref="K108" r:id="rId2" xr:uid="{50094FA9-3BE8-4298-BED6-66D3DFB46952}"/>
    <hyperlink ref="K116" r:id="rId3" xr:uid="{3CF2F6E8-F260-4A82-BA35-EDDC9F2E6077}"/>
    <hyperlink ref="K81" r:id="rId4" xr:uid="{F5F41139-93C0-4369-9037-819397AA8911}"/>
    <hyperlink ref="K80" r:id="rId5" xr:uid="{61A13371-2814-4446-AB22-00B9E3EC9A4C}"/>
    <hyperlink ref="K79" r:id="rId6" xr:uid="{975F0475-A56A-485C-908C-F5BF1AFCC955}"/>
    <hyperlink ref="K78" r:id="rId7" xr:uid="{1F19B1A4-36F5-454A-8DE2-C91E4F0F83C3}"/>
    <hyperlink ref="K117" r:id="rId8" xr:uid="{C7B0323C-2EF6-45C2-AA88-D8A2EC5B0990}"/>
    <hyperlink ref="K135" r:id="rId9" xr:uid="{5B76980F-9959-4D98-914D-535D5A117613}"/>
  </hyperlinks>
  <pageMargins left="0.7" right="0.7" top="0.75" bottom="0.75" header="0.3" footer="0.3"/>
  <pageSetup orientation="portrait" r:id="rId10"/>
  <drawing r:id="rId11"/>
  <extLst>
    <ext xmlns:x14="http://schemas.microsoft.com/office/spreadsheetml/2009/9/main" uri="{CCE6A557-97BC-4b89-ADB6-D9C93CAAB3DF}">
      <x14:dataValidations xmlns:xm="http://schemas.microsoft.com/office/excel/2006/main" count="2">
        <x14:dataValidation type="list" allowBlank="1" showInputMessage="1" showErrorMessage="1" xr:uid="{F4E4F0BF-BE72-4E14-B4B1-EB49A29F590C}">
          <x14:formula1>
            <xm:f>Datos!$A$1:$A$16</xm:f>
          </x14:formula1>
          <xm:sqref>C67:C103 C108:C169 C19:C62</xm:sqref>
        </x14:dataValidation>
        <x14:dataValidation type="list" allowBlank="1" showInputMessage="1" showErrorMessage="1" xr:uid="{87675785-B99A-4BDA-956F-4086113E14C4}">
          <x14:formula1>
            <xm:f>Datos!$B$1:$B$2</xm:f>
          </x14:formula1>
          <xm:sqref>B67:B103 B108:B169 B19:B62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A14:P172"/>
  <sheetViews>
    <sheetView showGridLines="0" topLeftCell="E14" zoomScale="50" zoomScaleNormal="50" workbookViewId="0">
      <selection activeCell="E20" sqref="E20:E27"/>
    </sheetView>
  </sheetViews>
  <sheetFormatPr baseColWidth="10" defaultColWidth="3.109375" defaultRowHeight="22.5" customHeight="1" x14ac:dyDescent="0.25"/>
  <cols>
    <col min="1" max="1" width="5.6640625" style="9" hidden="1" customWidth="1"/>
    <col min="2" max="2" width="9.33203125" style="9" hidden="1" customWidth="1"/>
    <col min="3" max="3" width="29" style="9" hidden="1" customWidth="1"/>
    <col min="4" max="4" width="4.33203125" style="9" hidden="1" customWidth="1"/>
    <col min="5" max="5" width="40.44140625" style="9" customWidth="1"/>
    <col min="6" max="6" width="34.109375" style="9" customWidth="1"/>
    <col min="7" max="7" width="147.5546875" style="9" customWidth="1"/>
    <col min="8" max="8" width="7.44140625" style="9" customWidth="1"/>
    <col min="9" max="9" width="5.6640625" style="9" bestFit="1" customWidth="1"/>
    <col min="10" max="10" width="30.88671875" style="9" customWidth="1"/>
    <col min="11" max="11" width="112.33203125" style="9" customWidth="1"/>
    <col min="12" max="12" width="7.44140625" style="9" customWidth="1"/>
    <col min="13" max="13" width="22.44140625" style="9" customWidth="1"/>
    <col min="14" max="14" width="4" style="53" bestFit="1" customWidth="1"/>
    <col min="15" max="15" width="8.44140625" style="53" bestFit="1" customWidth="1"/>
    <col min="16" max="16" width="9.44140625" style="55" customWidth="1"/>
    <col min="17" max="16365" width="3.109375" style="9" customWidth="1"/>
    <col min="16366" max="16384" width="3.109375" style="9"/>
  </cols>
  <sheetData>
    <row r="14" spans="5:13" ht="20.100000000000001" customHeight="1" x14ac:dyDescent="0.25">
      <c r="E14" s="789" t="s">
        <v>370</v>
      </c>
      <c r="F14" s="789"/>
      <c r="G14" s="789"/>
      <c r="H14" s="789"/>
      <c r="I14" s="789"/>
      <c r="J14" s="789"/>
      <c r="K14" s="789"/>
      <c r="L14" s="789"/>
      <c r="M14" s="789"/>
    </row>
    <row r="15" spans="5:13" ht="33.6" customHeight="1" x14ac:dyDescent="0.25">
      <c r="E15" s="432" t="s">
        <v>371</v>
      </c>
      <c r="F15" s="432"/>
      <c r="G15" s="432"/>
      <c r="H15" s="432"/>
      <c r="I15" s="432"/>
      <c r="J15" s="432"/>
      <c r="K15" s="432"/>
      <c r="L15" s="432"/>
      <c r="M15" s="432"/>
    </row>
    <row r="17" spans="1:16" ht="36.75" customHeight="1" x14ac:dyDescent="0.25">
      <c r="D17" s="797" t="s">
        <v>111</v>
      </c>
      <c r="E17" s="779" t="s">
        <v>372</v>
      </c>
      <c r="F17" s="784" t="s">
        <v>8</v>
      </c>
      <c r="G17" s="794" t="s">
        <v>149</v>
      </c>
      <c r="H17" s="793" t="s">
        <v>220</v>
      </c>
      <c r="I17" s="785" t="s">
        <v>116</v>
      </c>
      <c r="J17" s="785"/>
      <c r="K17" s="785"/>
      <c r="L17" s="793" t="s">
        <v>221</v>
      </c>
      <c r="M17" s="800" t="s">
        <v>152</v>
      </c>
      <c r="N17" s="570"/>
      <c r="O17" s="570"/>
      <c r="P17" s="774"/>
    </row>
    <row r="18" spans="1:16" ht="29.25" customHeight="1" x14ac:dyDescent="0.25">
      <c r="D18" s="797"/>
      <c r="E18" s="779"/>
      <c r="F18" s="784"/>
      <c r="G18" s="795"/>
      <c r="H18" s="793"/>
      <c r="I18" s="785" t="s">
        <v>13</v>
      </c>
      <c r="J18" s="784" t="s">
        <v>15</v>
      </c>
      <c r="K18" s="784" t="s">
        <v>373</v>
      </c>
      <c r="L18" s="793"/>
      <c r="M18" s="800"/>
      <c r="N18" s="570"/>
      <c r="O18" s="570"/>
      <c r="P18" s="774"/>
    </row>
    <row r="19" spans="1:16" ht="103.5" customHeight="1" thickBot="1" x14ac:dyDescent="0.3">
      <c r="A19" s="125" t="s">
        <v>274</v>
      </c>
      <c r="B19" s="125" t="s">
        <v>275</v>
      </c>
      <c r="C19" s="126" t="s">
        <v>276</v>
      </c>
      <c r="D19" s="797"/>
      <c r="E19" s="779"/>
      <c r="F19" s="784"/>
      <c r="G19" s="796"/>
      <c r="H19" s="793"/>
      <c r="I19" s="785"/>
      <c r="J19" s="788"/>
      <c r="K19" s="785"/>
      <c r="L19" s="793"/>
      <c r="M19" s="801"/>
      <c r="N19" s="570"/>
      <c r="O19" s="570"/>
      <c r="P19" s="774"/>
    </row>
    <row r="20" spans="1:16" ht="74.099999999999994" customHeight="1" x14ac:dyDescent="0.25">
      <c r="A20" s="707">
        <v>1</v>
      </c>
      <c r="B20" s="707" t="s">
        <v>282</v>
      </c>
      <c r="C20" s="707" t="s">
        <v>301</v>
      </c>
      <c r="D20" s="521" t="str">
        <f>+LEFT(E20,4)</f>
        <v>16.1</v>
      </c>
      <c r="E20" s="634" t="s">
        <v>374</v>
      </c>
      <c r="F20" s="406" t="s">
        <v>375</v>
      </c>
      <c r="G20" s="421" t="s">
        <v>1047</v>
      </c>
      <c r="H20" s="415">
        <v>3</v>
      </c>
      <c r="I20" s="215">
        <v>1</v>
      </c>
      <c r="J20" s="280" t="s">
        <v>1049</v>
      </c>
      <c r="K20" s="508" t="s">
        <v>1048</v>
      </c>
      <c r="L20" s="412">
        <v>3</v>
      </c>
      <c r="M20" s="790" t="str">
        <f>+IF(OR(ISBLANK(H20),ISBLANK(L20)),"",IF(OR(AND(H20=1,L20=1),AND(H20=1,L20=2),AND(H20=1,L20=3)),"Deficiencia de control mayor (diseño y ejecución)",IF(OR(AND(H20=2,L20=2),AND(H20=3,L20=1),AND(H20=3,L20=2),AND(H20=2,L20=1)),"Deficiencia de control (diseño o ejecución)",IF(AND(H20=2,L20=3),"Oportunidad de mejora","Mantenimiento del control"))))</f>
        <v>Mantenimiento del control</v>
      </c>
      <c r="N20" s="532">
        <f>+IF(M20="",312,IF(M20="Deficiencia de control mayor (diseño y ejecución)",320,IF(M20="Deficiencia de control (diseño o ejecución)",340,IF(M20="Oportunidad de mejora",360,380))))</f>
        <v>380</v>
      </c>
      <c r="O20" s="533">
        <v>5.8745000000000003</v>
      </c>
      <c r="P20" s="769">
        <f>+N20+O20</f>
        <v>385.87450000000001</v>
      </c>
    </row>
    <row r="21" spans="1:16" ht="36.9" customHeight="1" x14ac:dyDescent="0.25">
      <c r="A21" s="708"/>
      <c r="B21" s="708"/>
      <c r="C21" s="708"/>
      <c r="D21" s="522"/>
      <c r="E21" s="543"/>
      <c r="F21" s="407"/>
      <c r="G21" s="422"/>
      <c r="H21" s="416"/>
      <c r="I21" s="214">
        <v>2</v>
      </c>
      <c r="J21" s="280" t="s">
        <v>1050</v>
      </c>
      <c r="K21" s="719"/>
      <c r="L21" s="413"/>
      <c r="M21" s="791"/>
      <c r="N21" s="532"/>
      <c r="O21" s="533"/>
      <c r="P21" s="769"/>
    </row>
    <row r="22" spans="1:16" ht="26.4" x14ac:dyDescent="0.25">
      <c r="A22" s="708"/>
      <c r="B22" s="708"/>
      <c r="C22" s="708"/>
      <c r="D22" s="522"/>
      <c r="E22" s="543"/>
      <c r="F22" s="407"/>
      <c r="G22" s="422"/>
      <c r="H22" s="416"/>
      <c r="I22" s="214">
        <v>3</v>
      </c>
      <c r="J22" s="280" t="s">
        <v>1051</v>
      </c>
      <c r="K22" s="719"/>
      <c r="L22" s="413"/>
      <c r="M22" s="791"/>
      <c r="N22" s="532"/>
      <c r="O22" s="533"/>
      <c r="P22" s="769"/>
    </row>
    <row r="23" spans="1:16" ht="13.8" x14ac:dyDescent="0.25">
      <c r="A23" s="708"/>
      <c r="B23" s="708"/>
      <c r="C23" s="708"/>
      <c r="D23" s="522"/>
      <c r="E23" s="543"/>
      <c r="F23" s="407"/>
      <c r="G23" s="422"/>
      <c r="H23" s="416"/>
      <c r="I23" s="214">
        <v>4</v>
      </c>
      <c r="J23" s="206" t="s">
        <v>1052</v>
      </c>
      <c r="K23" s="719"/>
      <c r="L23" s="413"/>
      <c r="M23" s="791"/>
      <c r="N23" s="532"/>
      <c r="O23" s="533"/>
      <c r="P23" s="769"/>
    </row>
    <row r="24" spans="1:16" ht="13.8" x14ac:dyDescent="0.25">
      <c r="A24" s="708"/>
      <c r="B24" s="708"/>
      <c r="C24" s="708"/>
      <c r="D24" s="522"/>
      <c r="E24" s="543"/>
      <c r="F24" s="407"/>
      <c r="G24" s="422"/>
      <c r="H24" s="416"/>
      <c r="I24" s="214">
        <v>5</v>
      </c>
      <c r="J24" s="197"/>
      <c r="K24" s="719"/>
      <c r="L24" s="413"/>
      <c r="M24" s="791"/>
      <c r="N24" s="532"/>
      <c r="O24" s="533"/>
      <c r="P24" s="769"/>
    </row>
    <row r="25" spans="1:16" ht="1.5" customHeight="1" thickBot="1" x14ac:dyDescent="0.3">
      <c r="A25" s="708"/>
      <c r="B25" s="708"/>
      <c r="C25" s="708"/>
      <c r="D25" s="522"/>
      <c r="E25" s="543"/>
      <c r="F25" s="407"/>
      <c r="G25" s="422"/>
      <c r="H25" s="416"/>
      <c r="I25" s="81"/>
      <c r="J25" s="232"/>
      <c r="K25" s="440"/>
      <c r="L25" s="413"/>
      <c r="M25" s="791"/>
      <c r="N25" s="532"/>
      <c r="O25" s="533"/>
      <c r="P25" s="769"/>
    </row>
    <row r="26" spans="1:16" ht="14.4" hidden="1" thickBot="1" x14ac:dyDescent="0.3">
      <c r="A26" s="708"/>
      <c r="B26" s="708"/>
      <c r="C26" s="708"/>
      <c r="D26" s="522"/>
      <c r="E26" s="543"/>
      <c r="F26" s="407"/>
      <c r="G26" s="422"/>
      <c r="H26" s="416"/>
      <c r="I26" s="81"/>
      <c r="J26" s="155"/>
      <c r="K26" s="440"/>
      <c r="L26" s="413"/>
      <c r="M26" s="791"/>
      <c r="N26" s="532"/>
      <c r="O26" s="533"/>
      <c r="P26" s="769"/>
    </row>
    <row r="27" spans="1:16" ht="14.4" hidden="1" thickBot="1" x14ac:dyDescent="0.3">
      <c r="A27" s="713"/>
      <c r="B27" s="713"/>
      <c r="C27" s="713"/>
      <c r="D27" s="523"/>
      <c r="E27" s="544"/>
      <c r="F27" s="408"/>
      <c r="G27" s="423"/>
      <c r="H27" s="417"/>
      <c r="I27" s="82"/>
      <c r="J27" s="200"/>
      <c r="K27" s="441"/>
      <c r="L27" s="414"/>
      <c r="M27" s="792"/>
      <c r="N27" s="532"/>
      <c r="O27" s="533"/>
      <c r="P27" s="769"/>
    </row>
    <row r="28" spans="1:16" ht="13.8" x14ac:dyDescent="0.25">
      <c r="A28" s="707">
        <v>2</v>
      </c>
      <c r="B28" s="707" t="s">
        <v>282</v>
      </c>
      <c r="C28" s="707" t="s">
        <v>301</v>
      </c>
      <c r="D28" s="521" t="str">
        <f>+LEFT(E28,4)</f>
        <v>16.2</v>
      </c>
      <c r="E28" s="542" t="s">
        <v>376</v>
      </c>
      <c r="F28" s="406" t="s">
        <v>375</v>
      </c>
      <c r="G28" s="421" t="s">
        <v>1054</v>
      </c>
      <c r="H28" s="415">
        <v>3</v>
      </c>
      <c r="I28" s="83">
        <v>1</v>
      </c>
      <c r="J28" s="281" t="s">
        <v>160</v>
      </c>
      <c r="K28" s="370" t="s">
        <v>1053</v>
      </c>
      <c r="L28" s="412">
        <v>3</v>
      </c>
      <c r="M28" s="513" t="str">
        <f>+IF(OR(ISBLANK(H28),ISBLANK(L28)),"",IF(OR(AND(H28=1,L28=1),AND(H28=1,L28=2),AND(H28=1,L28=3)),"Deficiencia de control mayor (diseño y ejecución)",IF(OR(AND(H28=2,L28=2),AND(H28=3,L28=1),AND(H28=3,L28=2),AND(H28=2,L28=1)),"Deficiencia de control (diseño o ejecución)",IF(AND(H28=2,L28=3),"Oportunidad de mejora","Mantenimiento del control"))))</f>
        <v>Mantenimiento del control</v>
      </c>
      <c r="N28" s="532">
        <f>+IF(M28="",312,IF(M28="Deficiencia de control mayor (diseño y ejecución)",320,IF(M28="Deficiencia de control (diseño o ejecución)",340,IF(M28="Oportunidad de mejora",360,380))))</f>
        <v>380</v>
      </c>
      <c r="O28" s="533">
        <v>5.9653999999999998</v>
      </c>
      <c r="P28" s="769">
        <f>+N28+O28</f>
        <v>385.96539999999999</v>
      </c>
    </row>
    <row r="29" spans="1:16" ht="47.25" customHeight="1" x14ac:dyDescent="0.25">
      <c r="A29" s="708"/>
      <c r="B29" s="708"/>
      <c r="C29" s="708"/>
      <c r="D29" s="522"/>
      <c r="E29" s="543"/>
      <c r="F29" s="407"/>
      <c r="G29" s="422"/>
      <c r="H29" s="416"/>
      <c r="I29" s="81">
        <v>2</v>
      </c>
      <c r="J29" s="263" t="s">
        <v>1055</v>
      </c>
      <c r="K29" s="372"/>
      <c r="L29" s="413"/>
      <c r="M29" s="396"/>
      <c r="N29" s="532"/>
      <c r="O29" s="533"/>
      <c r="P29" s="769"/>
    </row>
    <row r="30" spans="1:16" ht="13.8" x14ac:dyDescent="0.25">
      <c r="A30" s="708"/>
      <c r="B30" s="708"/>
      <c r="C30" s="708"/>
      <c r="D30" s="522"/>
      <c r="E30" s="543"/>
      <c r="F30" s="407"/>
      <c r="G30" s="422"/>
      <c r="H30" s="416"/>
      <c r="I30" s="81">
        <v>3</v>
      </c>
      <c r="J30" s="263" t="s">
        <v>1056</v>
      </c>
      <c r="K30" s="372"/>
      <c r="L30" s="413"/>
      <c r="M30" s="396"/>
      <c r="N30" s="532"/>
      <c r="O30" s="533"/>
      <c r="P30" s="769"/>
    </row>
    <row r="31" spans="1:16" ht="13.8" x14ac:dyDescent="0.25">
      <c r="A31" s="708"/>
      <c r="B31" s="708"/>
      <c r="C31" s="708"/>
      <c r="D31" s="522"/>
      <c r="E31" s="543"/>
      <c r="F31" s="407"/>
      <c r="G31" s="422"/>
      <c r="H31" s="416"/>
      <c r="I31" s="81">
        <v>4</v>
      </c>
      <c r="J31" s="263" t="s">
        <v>1057</v>
      </c>
      <c r="K31" s="372"/>
      <c r="L31" s="413"/>
      <c r="M31" s="396"/>
      <c r="N31" s="532"/>
      <c r="O31" s="533"/>
      <c r="P31" s="769"/>
    </row>
    <row r="32" spans="1:16" ht="13.8" x14ac:dyDescent="0.25">
      <c r="A32" s="708"/>
      <c r="B32" s="708"/>
      <c r="C32" s="708"/>
      <c r="D32" s="522"/>
      <c r="E32" s="543"/>
      <c r="F32" s="407"/>
      <c r="G32" s="422"/>
      <c r="H32" s="416"/>
      <c r="I32" s="81">
        <v>5</v>
      </c>
      <c r="J32" s="263" t="s">
        <v>971</v>
      </c>
      <c r="K32" s="372"/>
      <c r="L32" s="413"/>
      <c r="M32" s="396"/>
      <c r="N32" s="532"/>
      <c r="O32" s="533"/>
      <c r="P32" s="769"/>
    </row>
    <row r="33" spans="1:16" ht="13.8" x14ac:dyDescent="0.25">
      <c r="A33" s="708"/>
      <c r="B33" s="708"/>
      <c r="C33" s="708"/>
      <c r="D33" s="522"/>
      <c r="E33" s="543"/>
      <c r="F33" s="407"/>
      <c r="G33" s="422"/>
      <c r="H33" s="416"/>
      <c r="I33" s="81">
        <v>5</v>
      </c>
      <c r="J33" s="216" t="s">
        <v>159</v>
      </c>
      <c r="K33" s="372"/>
      <c r="L33" s="413"/>
      <c r="M33" s="396"/>
      <c r="N33" s="532"/>
      <c r="O33" s="533"/>
      <c r="P33" s="769"/>
    </row>
    <row r="34" spans="1:16" ht="13.8" x14ac:dyDescent="0.25">
      <c r="A34" s="708"/>
      <c r="B34" s="708"/>
      <c r="C34" s="708"/>
      <c r="D34" s="522"/>
      <c r="E34" s="543"/>
      <c r="F34" s="407"/>
      <c r="G34" s="422"/>
      <c r="H34" s="416"/>
      <c r="I34" s="81">
        <v>7</v>
      </c>
      <c r="J34" s="282" t="s">
        <v>377</v>
      </c>
      <c r="K34" s="372"/>
      <c r="L34" s="413"/>
      <c r="M34" s="396"/>
      <c r="N34" s="532"/>
      <c r="O34" s="533"/>
      <c r="P34" s="769"/>
    </row>
    <row r="35" spans="1:16" ht="94.5" customHeight="1" thickBot="1" x14ac:dyDescent="0.3">
      <c r="A35" s="713"/>
      <c r="B35" s="713"/>
      <c r="C35" s="713"/>
      <c r="D35" s="523"/>
      <c r="E35" s="544"/>
      <c r="F35" s="408"/>
      <c r="G35" s="423"/>
      <c r="H35" s="417"/>
      <c r="I35" s="82"/>
      <c r="J35" s="213"/>
      <c r="K35" s="373"/>
      <c r="L35" s="414"/>
      <c r="M35" s="398"/>
      <c r="N35" s="532"/>
      <c r="O35" s="533"/>
      <c r="P35" s="769"/>
    </row>
    <row r="36" spans="1:16" ht="13.8" x14ac:dyDescent="0.25">
      <c r="A36" s="710">
        <v>3</v>
      </c>
      <c r="B36" s="707" t="s">
        <v>282</v>
      </c>
      <c r="C36" s="707" t="s">
        <v>301</v>
      </c>
      <c r="D36" s="521" t="str">
        <f>+LEFT(E36,4)</f>
        <v>16.3</v>
      </c>
      <c r="E36" s="542" t="s">
        <v>378</v>
      </c>
      <c r="F36" s="406" t="s">
        <v>379</v>
      </c>
      <c r="G36" s="421" t="s">
        <v>1058</v>
      </c>
      <c r="H36" s="415">
        <v>3</v>
      </c>
      <c r="I36" s="83">
        <v>1</v>
      </c>
      <c r="J36" t="s">
        <v>1060</v>
      </c>
      <c r="K36" s="370" t="s">
        <v>1059</v>
      </c>
      <c r="L36" s="412">
        <v>3</v>
      </c>
      <c r="M36" s="513" t="str">
        <f>+IF(OR(ISBLANK(H36),ISBLANK(L36)),"",IF(OR(AND(H36=1,L36=1),AND(H36=1,L36=2),AND(H36=1,L36=3)),"Deficiencia de control mayor (diseño y ejecución)",IF(OR(AND(H36=2,L36=2),AND(H36=3,L36=1),AND(H36=3,L36=2),AND(H36=2,L36=1)),"Deficiencia de control (diseño o ejecución)",IF(AND(H36=2,L36=3),"Oportunidad de mejora","Mantenimiento del control"))))</f>
        <v>Mantenimiento del control</v>
      </c>
      <c r="N36" s="532">
        <f>+IF(M36="",312,IF(M36="Deficiencia de control mayor (diseño y ejecución)",320,IF(M36="Deficiencia de control (diseño o ejecución)",340,IF(M36="Oportunidad de mejora",360,380))))</f>
        <v>380</v>
      </c>
      <c r="O36" s="533">
        <v>6.0122999999999998</v>
      </c>
      <c r="P36" s="769">
        <f>+N36+O36</f>
        <v>386.01229999999998</v>
      </c>
    </row>
    <row r="37" spans="1:16" ht="13.8" x14ac:dyDescent="0.25">
      <c r="A37" s="711"/>
      <c r="B37" s="708"/>
      <c r="C37" s="708"/>
      <c r="D37" s="522"/>
      <c r="E37" s="543"/>
      <c r="F37" s="407"/>
      <c r="G37" s="422"/>
      <c r="H37" s="416"/>
      <c r="I37" s="81">
        <v>2</v>
      </c>
      <c r="J37" t="s">
        <v>1051</v>
      </c>
      <c r="K37" s="440"/>
      <c r="L37" s="413"/>
      <c r="M37" s="396"/>
      <c r="N37" s="532"/>
      <c r="O37" s="533"/>
      <c r="P37" s="769"/>
    </row>
    <row r="38" spans="1:16" ht="13.8" x14ac:dyDescent="0.25">
      <c r="A38" s="711"/>
      <c r="B38" s="708"/>
      <c r="C38" s="708"/>
      <c r="D38" s="522"/>
      <c r="E38" s="543"/>
      <c r="F38" s="407"/>
      <c r="G38" s="422"/>
      <c r="H38" s="416"/>
      <c r="I38" s="81">
        <v>3</v>
      </c>
      <c r="J38" t="s">
        <v>1050</v>
      </c>
      <c r="K38" s="440"/>
      <c r="L38" s="413"/>
      <c r="M38" s="396"/>
      <c r="N38" s="532"/>
      <c r="O38" s="533"/>
      <c r="P38" s="769"/>
    </row>
    <row r="39" spans="1:16" ht="13.8" x14ac:dyDescent="0.25">
      <c r="A39" s="711"/>
      <c r="B39" s="708"/>
      <c r="C39" s="708"/>
      <c r="D39" s="522"/>
      <c r="E39" s="543"/>
      <c r="F39" s="407"/>
      <c r="G39" s="422"/>
      <c r="H39" s="416"/>
      <c r="I39" s="81">
        <v>4</v>
      </c>
      <c r="J39" t="s">
        <v>1061</v>
      </c>
      <c r="K39" s="440"/>
      <c r="L39" s="413"/>
      <c r="M39" s="396"/>
      <c r="N39" s="532"/>
      <c r="O39" s="533"/>
      <c r="P39" s="769"/>
    </row>
    <row r="40" spans="1:16" ht="13.8" x14ac:dyDescent="0.25">
      <c r="A40" s="711"/>
      <c r="B40" s="708"/>
      <c r="C40" s="708"/>
      <c r="D40" s="522"/>
      <c r="E40" s="543"/>
      <c r="F40" s="407"/>
      <c r="G40" s="422"/>
      <c r="H40" s="416"/>
      <c r="I40" s="81">
        <v>5</v>
      </c>
      <c r="J40" t="s">
        <v>1062</v>
      </c>
      <c r="K40" s="440"/>
      <c r="L40" s="413"/>
      <c r="M40" s="396"/>
      <c r="N40" s="532"/>
      <c r="O40" s="533"/>
      <c r="P40" s="769"/>
    </row>
    <row r="41" spans="1:16" ht="13.8" x14ac:dyDescent="0.25">
      <c r="A41" s="711"/>
      <c r="B41" s="708"/>
      <c r="C41" s="708"/>
      <c r="D41" s="522"/>
      <c r="E41" s="543"/>
      <c r="F41" s="407"/>
      <c r="G41" s="422"/>
      <c r="H41" s="416"/>
      <c r="I41" s="81">
        <v>6</v>
      </c>
      <c r="J41" t="s">
        <v>1039</v>
      </c>
      <c r="K41" s="440"/>
      <c r="L41" s="413"/>
      <c r="M41" s="396"/>
      <c r="N41" s="532"/>
      <c r="O41" s="533"/>
      <c r="P41" s="769"/>
    </row>
    <row r="42" spans="1:16" ht="13.8" x14ac:dyDescent="0.25">
      <c r="A42" s="711"/>
      <c r="B42" s="708"/>
      <c r="C42" s="708"/>
      <c r="D42" s="522"/>
      <c r="E42" s="543"/>
      <c r="F42" s="407"/>
      <c r="G42" s="422"/>
      <c r="H42" s="416"/>
      <c r="I42" s="81">
        <v>7</v>
      </c>
      <c r="J42" t="s">
        <v>1063</v>
      </c>
      <c r="K42" s="440"/>
      <c r="L42" s="413"/>
      <c r="M42" s="396"/>
      <c r="N42" s="532"/>
      <c r="O42" s="533"/>
      <c r="P42" s="769"/>
    </row>
    <row r="43" spans="1:16" ht="157.5" customHeight="1" thickBot="1" x14ac:dyDescent="0.3">
      <c r="A43" s="712"/>
      <c r="B43" s="713"/>
      <c r="C43" s="713"/>
      <c r="D43" s="523"/>
      <c r="E43" s="544"/>
      <c r="F43" s="408"/>
      <c r="G43" s="423"/>
      <c r="H43" s="417"/>
      <c r="I43" s="200">
        <v>8</v>
      </c>
      <c r="J43" s="275" t="s">
        <v>1064</v>
      </c>
      <c r="K43" s="441"/>
      <c r="L43" s="414"/>
      <c r="M43" s="398"/>
      <c r="N43" s="532"/>
      <c r="O43" s="533"/>
      <c r="P43" s="769"/>
    </row>
    <row r="44" spans="1:16" ht="22.5" customHeight="1" x14ac:dyDescent="0.25">
      <c r="A44" s="710">
        <v>4</v>
      </c>
      <c r="B44" s="707" t="s">
        <v>282</v>
      </c>
      <c r="C44" s="707" t="s">
        <v>283</v>
      </c>
      <c r="D44" s="521" t="str">
        <f>+LEFT(E44,4)</f>
        <v>16.4</v>
      </c>
      <c r="E44" s="542" t="s">
        <v>380</v>
      </c>
      <c r="F44" s="406" t="s">
        <v>381</v>
      </c>
      <c r="G44" s="421" t="s">
        <v>1065</v>
      </c>
      <c r="H44" s="415">
        <v>3</v>
      </c>
      <c r="I44" s="283">
        <v>1</v>
      </c>
      <c r="J44" s="265" t="s">
        <v>946</v>
      </c>
      <c r="K44" s="370" t="s">
        <v>1066</v>
      </c>
      <c r="L44" s="412">
        <v>3</v>
      </c>
      <c r="M44" s="513" t="str">
        <f>+IF(OR(ISBLANK(H44),ISBLANK(L44)),"",IF(OR(AND(H44=1,L44=1),AND(H44=1,L44=2),AND(H44=1,L44=3)),"Deficiencia de control mayor (diseño y ejecución)",IF(OR(AND(H44=2,L44=2),AND(H44=3,L44=1),AND(H44=3,L44=2),AND(H44=2,L44=1)),"Deficiencia de control (diseño o ejecución)",IF(AND(H44=2,L44=3),"Oportunidad de mejora","Mantenimiento del control"))))</f>
        <v>Mantenimiento del control</v>
      </c>
      <c r="N44" s="532">
        <f>+IF(M44="",312,IF(M44="Deficiencia de control mayor (diseño y ejecución)",320,IF(M44="Deficiencia de control (diseño o ejecución)",340,IF(M44="Oportunidad de mejora",360,380))))</f>
        <v>380</v>
      </c>
      <c r="O44" s="533">
        <v>6.1235999999999997</v>
      </c>
      <c r="P44" s="769">
        <f>+N44+O44</f>
        <v>386.12360000000001</v>
      </c>
    </row>
    <row r="45" spans="1:16" ht="22.5" customHeight="1" x14ac:dyDescent="0.25">
      <c r="A45" s="711"/>
      <c r="B45" s="708"/>
      <c r="C45" s="708"/>
      <c r="D45" s="522"/>
      <c r="E45" s="543"/>
      <c r="F45" s="407"/>
      <c r="G45" s="422"/>
      <c r="H45" s="416"/>
      <c r="I45" s="81">
        <v>2</v>
      </c>
      <c r="J45" s="263" t="s">
        <v>1039</v>
      </c>
      <c r="K45" s="372"/>
      <c r="L45" s="413"/>
      <c r="M45" s="396"/>
      <c r="N45" s="532"/>
      <c r="O45" s="533"/>
      <c r="P45" s="769"/>
    </row>
    <row r="46" spans="1:16" ht="22.5" customHeight="1" x14ac:dyDescent="0.25">
      <c r="A46" s="711"/>
      <c r="B46" s="708"/>
      <c r="C46" s="708"/>
      <c r="D46" s="522"/>
      <c r="E46" s="543"/>
      <c r="F46" s="407"/>
      <c r="G46" s="422"/>
      <c r="H46" s="416"/>
      <c r="I46" s="81">
        <v>3</v>
      </c>
      <c r="J46" s="263" t="s">
        <v>1067</v>
      </c>
      <c r="K46" s="372"/>
      <c r="L46" s="413"/>
      <c r="M46" s="396"/>
      <c r="N46" s="532"/>
      <c r="O46" s="533"/>
      <c r="P46" s="769"/>
    </row>
    <row r="47" spans="1:16" ht="22.5" customHeight="1" x14ac:dyDescent="0.25">
      <c r="A47" s="711"/>
      <c r="B47" s="708"/>
      <c r="C47" s="708"/>
      <c r="D47" s="522"/>
      <c r="E47" s="543"/>
      <c r="F47" s="407"/>
      <c r="G47" s="422"/>
      <c r="H47" s="416"/>
      <c r="I47" s="81">
        <v>4</v>
      </c>
      <c r="J47" s="263" t="s">
        <v>1068</v>
      </c>
      <c r="K47" s="372"/>
      <c r="L47" s="413"/>
      <c r="M47" s="396"/>
      <c r="N47" s="532"/>
      <c r="O47" s="533"/>
      <c r="P47" s="769"/>
    </row>
    <row r="48" spans="1:16" ht="22.5" customHeight="1" x14ac:dyDescent="0.25">
      <c r="A48" s="711"/>
      <c r="B48" s="708"/>
      <c r="C48" s="708"/>
      <c r="D48" s="522"/>
      <c r="E48" s="543"/>
      <c r="F48" s="407"/>
      <c r="G48" s="422"/>
      <c r="H48" s="416"/>
      <c r="I48" s="81">
        <v>5</v>
      </c>
      <c r="J48" s="263" t="s">
        <v>1069</v>
      </c>
      <c r="K48" s="372"/>
      <c r="L48" s="413"/>
      <c r="M48" s="396"/>
      <c r="N48" s="532"/>
      <c r="O48" s="533"/>
      <c r="P48" s="769"/>
    </row>
    <row r="49" spans="1:16" ht="13.8" x14ac:dyDescent="0.25">
      <c r="A49" s="711"/>
      <c r="B49" s="708"/>
      <c r="C49" s="708"/>
      <c r="D49" s="522"/>
      <c r="E49" s="543"/>
      <c r="F49" s="407"/>
      <c r="G49" s="422"/>
      <c r="H49" s="416"/>
      <c r="I49" s="81">
        <v>6</v>
      </c>
      <c r="J49" s="263" t="s">
        <v>1070</v>
      </c>
      <c r="K49" s="372"/>
      <c r="L49" s="413"/>
      <c r="M49" s="396"/>
      <c r="N49" s="532"/>
      <c r="O49" s="533"/>
      <c r="P49" s="769"/>
    </row>
    <row r="50" spans="1:16" ht="13.8" x14ac:dyDescent="0.25">
      <c r="A50" s="711"/>
      <c r="B50" s="708"/>
      <c r="C50" s="708"/>
      <c r="D50" s="522"/>
      <c r="E50" s="543"/>
      <c r="F50" s="407"/>
      <c r="G50" s="422"/>
      <c r="H50" s="416"/>
      <c r="I50" s="81">
        <v>7</v>
      </c>
      <c r="J50" s="263" t="s">
        <v>1071</v>
      </c>
      <c r="K50" s="372"/>
      <c r="L50" s="413"/>
      <c r="M50" s="396"/>
      <c r="N50" s="532"/>
      <c r="O50" s="533"/>
      <c r="P50" s="769"/>
    </row>
    <row r="51" spans="1:16" ht="13.8" x14ac:dyDescent="0.25">
      <c r="A51" s="717"/>
      <c r="B51" s="718"/>
      <c r="C51" s="718"/>
      <c r="D51" s="699"/>
      <c r="E51" s="657"/>
      <c r="F51" s="407"/>
      <c r="G51" s="479"/>
      <c r="H51" s="480"/>
      <c r="I51" s="200">
        <v>8</v>
      </c>
      <c r="J51" s="263" t="s">
        <v>1072</v>
      </c>
      <c r="K51" s="372"/>
      <c r="L51" s="575"/>
      <c r="M51" s="397"/>
      <c r="N51" s="532"/>
      <c r="O51" s="533"/>
      <c r="P51" s="769"/>
    </row>
    <row r="52" spans="1:16" ht="128.25" customHeight="1" thickBot="1" x14ac:dyDescent="0.3">
      <c r="A52" s="712"/>
      <c r="B52" s="713"/>
      <c r="C52" s="713"/>
      <c r="D52" s="523"/>
      <c r="E52" s="544"/>
      <c r="F52" s="408"/>
      <c r="G52" s="423"/>
      <c r="H52" s="417"/>
      <c r="I52" s="82">
        <v>9</v>
      </c>
      <c r="J52" s="284" t="s">
        <v>971</v>
      </c>
      <c r="K52" s="373"/>
      <c r="L52" s="414"/>
      <c r="M52" s="398"/>
      <c r="N52" s="532"/>
      <c r="O52" s="533"/>
      <c r="P52" s="769"/>
    </row>
    <row r="53" spans="1:16" ht="13.8" x14ac:dyDescent="0.25">
      <c r="A53" s="710">
        <v>5</v>
      </c>
      <c r="B53" s="707" t="s">
        <v>282</v>
      </c>
      <c r="C53" s="707" t="s">
        <v>301</v>
      </c>
      <c r="D53" s="521" t="str">
        <f>+LEFT(E53,4)</f>
        <v>16.5</v>
      </c>
      <c r="E53" s="542" t="s">
        <v>382</v>
      </c>
      <c r="F53" s="406" t="s">
        <v>252</v>
      </c>
      <c r="G53" s="421" t="s">
        <v>383</v>
      </c>
      <c r="H53" s="415">
        <v>3</v>
      </c>
      <c r="I53" s="80">
        <v>1</v>
      </c>
      <c r="J53" s="265" t="s">
        <v>1062</v>
      </c>
      <c r="K53" s="370" t="s">
        <v>1073</v>
      </c>
      <c r="L53" s="412">
        <v>3</v>
      </c>
      <c r="M53" s="513" t="str">
        <f>+IF(OR(ISBLANK(H53),ISBLANK(L53)),"",IF(OR(AND(H53=1,L53=1),AND(H53=1,L53=2),AND(H53=1,L53=3)),"Deficiencia de control mayor (diseño y ejecución)",IF(OR(AND(H53=2,L53=2),AND(H53=3,L53=1),AND(H53=3,L53=2),AND(H53=2,L53=1)),"Deficiencia de control (diseño o ejecución)",IF(AND(H53=2,L53=3),"Oportunidad de mejora","Mantenimiento del control"))))</f>
        <v>Mantenimiento del control</v>
      </c>
      <c r="N53" s="532">
        <f>+IF(M53="",312,IF(M53="Deficiencia de control mayor (diseño y ejecución)",320,IF(M53="Deficiencia de control (diseño o ejecución)",340,IF(M53="Oportunidad de mejora",360,380))))</f>
        <v>380</v>
      </c>
      <c r="O53" s="533">
        <v>6.2135999999999996</v>
      </c>
      <c r="P53" s="769">
        <f>+N53+O53</f>
        <v>386.21359999999999</v>
      </c>
    </row>
    <row r="54" spans="1:16" ht="13.8" x14ac:dyDescent="0.25">
      <c r="A54" s="711"/>
      <c r="B54" s="708"/>
      <c r="C54" s="708"/>
      <c r="D54" s="522"/>
      <c r="E54" s="543"/>
      <c r="F54" s="407"/>
      <c r="G54" s="422"/>
      <c r="H54" s="416"/>
      <c r="I54" s="81">
        <v>2</v>
      </c>
      <c r="J54" s="263" t="s">
        <v>1061</v>
      </c>
      <c r="K54" s="372"/>
      <c r="L54" s="413"/>
      <c r="M54" s="396"/>
      <c r="N54" s="532"/>
      <c r="O54" s="533"/>
      <c r="P54" s="769"/>
    </row>
    <row r="55" spans="1:16" ht="13.8" x14ac:dyDescent="0.25">
      <c r="A55" s="711"/>
      <c r="B55" s="708"/>
      <c r="C55" s="708"/>
      <c r="D55" s="522"/>
      <c r="E55" s="543"/>
      <c r="F55" s="407"/>
      <c r="G55" s="422"/>
      <c r="H55" s="416"/>
      <c r="I55" s="81">
        <v>3</v>
      </c>
      <c r="J55" s="263" t="s">
        <v>1074</v>
      </c>
      <c r="K55" s="372"/>
      <c r="L55" s="413"/>
      <c r="M55" s="396"/>
      <c r="N55" s="532"/>
      <c r="O55" s="533"/>
      <c r="P55" s="769"/>
    </row>
    <row r="56" spans="1:16" ht="27.9" customHeight="1" x14ac:dyDescent="0.25">
      <c r="A56" s="711"/>
      <c r="B56" s="708"/>
      <c r="C56" s="708"/>
      <c r="D56" s="522"/>
      <c r="E56" s="543"/>
      <c r="F56" s="407"/>
      <c r="G56" s="422"/>
      <c r="H56" s="416"/>
      <c r="I56" s="81">
        <v>4</v>
      </c>
      <c r="J56" s="263" t="s">
        <v>1050</v>
      </c>
      <c r="K56" s="372"/>
      <c r="L56" s="413"/>
      <c r="M56" s="396"/>
      <c r="N56" s="532"/>
      <c r="O56" s="533"/>
      <c r="P56" s="769"/>
    </row>
    <row r="57" spans="1:16" ht="13.8" x14ac:dyDescent="0.25">
      <c r="A57" s="711"/>
      <c r="B57" s="708"/>
      <c r="C57" s="708"/>
      <c r="D57" s="522"/>
      <c r="E57" s="543"/>
      <c r="F57" s="407"/>
      <c r="G57" s="422"/>
      <c r="H57" s="416"/>
      <c r="I57" s="81">
        <v>5</v>
      </c>
      <c r="J57" s="263" t="s">
        <v>1075</v>
      </c>
      <c r="K57" s="372"/>
      <c r="L57" s="413"/>
      <c r="M57" s="396"/>
      <c r="N57" s="532"/>
      <c r="O57" s="533"/>
      <c r="P57" s="769"/>
    </row>
    <row r="58" spans="1:16" ht="13.8" x14ac:dyDescent="0.25">
      <c r="A58" s="711"/>
      <c r="B58" s="708"/>
      <c r="C58" s="708"/>
      <c r="D58" s="522"/>
      <c r="E58" s="543"/>
      <c r="F58" s="407"/>
      <c r="G58" s="422"/>
      <c r="H58" s="416"/>
      <c r="I58" s="81">
        <v>6</v>
      </c>
      <c r="J58" s="263" t="s">
        <v>1076</v>
      </c>
      <c r="K58" s="372"/>
      <c r="L58" s="413"/>
      <c r="M58" s="396"/>
      <c r="N58" s="532"/>
      <c r="O58" s="533"/>
      <c r="P58" s="769"/>
    </row>
    <row r="59" spans="1:16" ht="13.8" x14ac:dyDescent="0.25">
      <c r="A59" s="711"/>
      <c r="B59" s="708"/>
      <c r="C59" s="708"/>
      <c r="D59" s="522"/>
      <c r="E59" s="543"/>
      <c r="F59" s="407"/>
      <c r="G59" s="422"/>
      <c r="H59" s="416"/>
      <c r="I59" s="81">
        <v>7</v>
      </c>
      <c r="J59" s="263" t="s">
        <v>1077</v>
      </c>
      <c r="K59" s="372"/>
      <c r="L59" s="413"/>
      <c r="M59" s="396"/>
      <c r="N59" s="532"/>
      <c r="O59" s="533"/>
      <c r="P59" s="769"/>
    </row>
    <row r="60" spans="1:16" ht="13.8" x14ac:dyDescent="0.25">
      <c r="A60" s="711"/>
      <c r="B60" s="708"/>
      <c r="C60" s="708"/>
      <c r="D60" s="522"/>
      <c r="E60" s="543"/>
      <c r="F60" s="407"/>
      <c r="G60" s="422"/>
      <c r="H60" s="416"/>
      <c r="I60" s="81">
        <v>8</v>
      </c>
      <c r="J60" s="263" t="s">
        <v>1078</v>
      </c>
      <c r="K60" s="372"/>
      <c r="L60" s="413"/>
      <c r="M60" s="396"/>
      <c r="N60" s="532"/>
      <c r="O60" s="533"/>
      <c r="P60" s="769"/>
    </row>
    <row r="61" spans="1:16" ht="114.75" customHeight="1" thickBot="1" x14ac:dyDescent="0.3">
      <c r="A61" s="712"/>
      <c r="B61" s="713"/>
      <c r="C61" s="713"/>
      <c r="D61" s="523"/>
      <c r="E61" s="544"/>
      <c r="F61" s="408"/>
      <c r="G61" s="423"/>
      <c r="H61" s="417"/>
      <c r="I61" s="82">
        <v>9</v>
      </c>
      <c r="J61" s="285" t="s">
        <v>1079</v>
      </c>
      <c r="K61" s="373"/>
      <c r="L61" s="414"/>
      <c r="M61" s="398"/>
      <c r="N61" s="532"/>
      <c r="O61" s="533"/>
      <c r="P61" s="769"/>
    </row>
    <row r="62" spans="1:16" ht="22.5" customHeight="1" x14ac:dyDescent="0.25">
      <c r="A62" s="779"/>
      <c r="B62" s="779"/>
      <c r="C62" s="779"/>
      <c r="D62" s="779"/>
      <c r="E62" s="779" t="s">
        <v>384</v>
      </c>
      <c r="F62" s="784" t="s">
        <v>8</v>
      </c>
      <c r="G62" s="781" t="s">
        <v>149</v>
      </c>
      <c r="H62" s="780" t="s">
        <v>220</v>
      </c>
      <c r="I62" s="786" t="s">
        <v>116</v>
      </c>
      <c r="J62" s="787"/>
      <c r="K62" s="786"/>
      <c r="L62" s="780" t="s">
        <v>221</v>
      </c>
      <c r="M62" s="798" t="s">
        <v>152</v>
      </c>
      <c r="N62" s="569"/>
      <c r="O62" s="569"/>
      <c r="P62" s="775"/>
    </row>
    <row r="63" spans="1:16" ht="22.5" customHeight="1" x14ac:dyDescent="0.25">
      <c r="A63" s="779"/>
      <c r="B63" s="779"/>
      <c r="C63" s="779"/>
      <c r="D63" s="779"/>
      <c r="E63" s="779"/>
      <c r="F63" s="784"/>
      <c r="G63" s="782"/>
      <c r="H63" s="780"/>
      <c r="I63" s="786" t="s">
        <v>13</v>
      </c>
      <c r="J63" s="784" t="s">
        <v>15</v>
      </c>
      <c r="K63" s="784" t="s">
        <v>373</v>
      </c>
      <c r="L63" s="780"/>
      <c r="M63" s="798"/>
      <c r="N63" s="569"/>
      <c r="O63" s="569"/>
      <c r="P63" s="775"/>
    </row>
    <row r="64" spans="1:16" ht="114.75" customHeight="1" thickBot="1" x14ac:dyDescent="0.3">
      <c r="A64" s="779"/>
      <c r="B64" s="779"/>
      <c r="C64" s="779"/>
      <c r="D64" s="779"/>
      <c r="E64" s="779"/>
      <c r="F64" s="784"/>
      <c r="G64" s="783"/>
      <c r="H64" s="780"/>
      <c r="I64" s="786"/>
      <c r="J64" s="788"/>
      <c r="K64" s="785"/>
      <c r="L64" s="780"/>
      <c r="M64" s="799"/>
      <c r="N64" s="569"/>
      <c r="O64" s="569"/>
      <c r="P64" s="775"/>
    </row>
    <row r="65" spans="1:16" ht="60.6" customHeight="1" x14ac:dyDescent="0.25">
      <c r="A65" s="710">
        <v>6</v>
      </c>
      <c r="B65" s="707" t="s">
        <v>282</v>
      </c>
      <c r="C65" s="707" t="s">
        <v>301</v>
      </c>
      <c r="D65" s="521" t="str">
        <f>+LEFT(E65,5)</f>
        <v xml:space="preserve">17.1 </v>
      </c>
      <c r="E65" s="542" t="s">
        <v>385</v>
      </c>
      <c r="F65" s="406" t="s">
        <v>252</v>
      </c>
      <c r="G65" s="421" t="s">
        <v>1086</v>
      </c>
      <c r="H65" s="415">
        <v>3</v>
      </c>
      <c r="I65" s="83">
        <v>1</v>
      </c>
      <c r="J65" s="286" t="s">
        <v>1061</v>
      </c>
      <c r="K65" s="370" t="s">
        <v>1080</v>
      </c>
      <c r="L65" s="412">
        <v>3</v>
      </c>
      <c r="M65" s="513" t="str">
        <f>+IF(OR(ISBLANK(H65),ISBLANK(L65)),"",IF(OR(AND(H65=1,L65=1),AND(H65=1,L65=2),AND(H65=1,L65=3)),"Deficiencia de control mayor (diseño y ejecución)",IF(OR(AND(H65=2,L65=2),AND(H65=3,L65=1),AND(H65=3,L65=2),AND(H65=2,L65=1)),"Deficiencia de control (diseño o ejecución)",IF(AND(H65=2,L65=3),"Oportunidad de mejora","Mantenimiento del control"))))</f>
        <v>Mantenimiento del control</v>
      </c>
      <c r="N65" s="532">
        <f>+IF(M65="",312,IF(M65="Deficiencia de control mayor (diseño y ejecución)",320,IF(M65="Deficiencia de control (diseño o ejecución)",340,IF(M65="Oportunidad de mejora",360,380))))</f>
        <v>380</v>
      </c>
      <c r="O65" s="533">
        <v>6.3258000000000001</v>
      </c>
      <c r="P65" s="769">
        <f>+N65+O65</f>
        <v>386.32580000000002</v>
      </c>
    </row>
    <row r="66" spans="1:16" ht="13.8" x14ac:dyDescent="0.25">
      <c r="A66" s="711"/>
      <c r="B66" s="708"/>
      <c r="C66" s="708"/>
      <c r="D66" s="522"/>
      <c r="E66" s="543"/>
      <c r="F66" s="407"/>
      <c r="G66" s="470"/>
      <c r="H66" s="416"/>
      <c r="I66" s="81">
        <v>2</v>
      </c>
      <c r="J66" s="287" t="s">
        <v>1062</v>
      </c>
      <c r="K66" s="372"/>
      <c r="L66" s="413"/>
      <c r="M66" s="396"/>
      <c r="N66" s="532"/>
      <c r="O66" s="533"/>
      <c r="P66" s="769"/>
    </row>
    <row r="67" spans="1:16" ht="13.8" x14ac:dyDescent="0.25">
      <c r="A67" s="711"/>
      <c r="B67" s="708"/>
      <c r="C67" s="708"/>
      <c r="D67" s="522"/>
      <c r="E67" s="543"/>
      <c r="F67" s="407"/>
      <c r="G67" s="470"/>
      <c r="H67" s="416"/>
      <c r="I67" s="81">
        <v>3</v>
      </c>
      <c r="J67" s="287" t="s">
        <v>949</v>
      </c>
      <c r="K67" s="372"/>
      <c r="L67" s="413"/>
      <c r="M67" s="396"/>
      <c r="N67" s="532"/>
      <c r="O67" s="533"/>
      <c r="P67" s="769"/>
    </row>
    <row r="68" spans="1:16" ht="13.8" x14ac:dyDescent="0.25">
      <c r="A68" s="711"/>
      <c r="B68" s="708"/>
      <c r="C68" s="708"/>
      <c r="D68" s="522"/>
      <c r="E68" s="543"/>
      <c r="F68" s="407"/>
      <c r="G68" s="470"/>
      <c r="H68" s="416"/>
      <c r="I68" s="81">
        <v>4</v>
      </c>
      <c r="J68" s="287" t="s">
        <v>1081</v>
      </c>
      <c r="K68" s="372"/>
      <c r="L68" s="413"/>
      <c r="M68" s="396"/>
      <c r="N68" s="532"/>
      <c r="O68" s="533"/>
      <c r="P68" s="769"/>
    </row>
    <row r="69" spans="1:16" ht="13.8" x14ac:dyDescent="0.25">
      <c r="A69" s="711"/>
      <c r="B69" s="708"/>
      <c r="C69" s="708"/>
      <c r="D69" s="522"/>
      <c r="E69" s="543"/>
      <c r="F69" s="407"/>
      <c r="G69" s="470"/>
      <c r="H69" s="416"/>
      <c r="I69" s="81">
        <v>5</v>
      </c>
      <c r="J69" s="287" t="s">
        <v>1082</v>
      </c>
      <c r="K69" s="372"/>
      <c r="L69" s="413"/>
      <c r="M69" s="396"/>
      <c r="N69" s="532"/>
      <c r="O69" s="533"/>
      <c r="P69" s="769"/>
    </row>
    <row r="70" spans="1:16" ht="13.8" x14ac:dyDescent="0.25">
      <c r="A70" s="711"/>
      <c r="B70" s="708"/>
      <c r="C70" s="708"/>
      <c r="D70" s="522"/>
      <c r="E70" s="543"/>
      <c r="F70" s="407"/>
      <c r="G70" s="470"/>
      <c r="H70" s="416"/>
      <c r="I70" s="81">
        <v>6</v>
      </c>
      <c r="J70" s="287" t="s">
        <v>1083</v>
      </c>
      <c r="K70" s="372"/>
      <c r="L70" s="413"/>
      <c r="M70" s="396"/>
      <c r="N70" s="532"/>
      <c r="O70" s="533"/>
      <c r="P70" s="769"/>
    </row>
    <row r="71" spans="1:16" ht="13.8" x14ac:dyDescent="0.25">
      <c r="A71" s="711"/>
      <c r="B71" s="708"/>
      <c r="C71" s="708"/>
      <c r="D71" s="522"/>
      <c r="E71" s="543"/>
      <c r="F71" s="407"/>
      <c r="G71" s="470"/>
      <c r="H71" s="416"/>
      <c r="I71" s="81">
        <v>7</v>
      </c>
      <c r="J71" s="287" t="s">
        <v>1084</v>
      </c>
      <c r="K71" s="372"/>
      <c r="L71" s="413"/>
      <c r="M71" s="396"/>
      <c r="N71" s="532"/>
      <c r="O71" s="533"/>
      <c r="P71" s="769"/>
    </row>
    <row r="72" spans="1:16" ht="30.9" customHeight="1" thickBot="1" x14ac:dyDescent="0.3">
      <c r="A72" s="712"/>
      <c r="B72" s="713"/>
      <c r="C72" s="713"/>
      <c r="D72" s="523"/>
      <c r="E72" s="544"/>
      <c r="F72" s="408"/>
      <c r="G72" s="471"/>
      <c r="H72" s="417"/>
      <c r="I72" s="82">
        <v>8</v>
      </c>
      <c r="J72" s="288" t="s">
        <v>1085</v>
      </c>
      <c r="K72" s="373"/>
      <c r="L72" s="414"/>
      <c r="M72" s="398"/>
      <c r="N72" s="532"/>
      <c r="O72" s="533"/>
      <c r="P72" s="769"/>
    </row>
    <row r="73" spans="1:16" ht="54.9" customHeight="1" x14ac:dyDescent="0.25">
      <c r="A73" s="710">
        <v>7</v>
      </c>
      <c r="B73" s="707" t="s">
        <v>282</v>
      </c>
      <c r="C73" s="707" t="s">
        <v>301</v>
      </c>
      <c r="D73" s="521" t="str">
        <f>+LEFT(E73,5)</f>
        <v xml:space="preserve">17.2 </v>
      </c>
      <c r="E73" s="776" t="s">
        <v>386</v>
      </c>
      <c r="F73" s="406" t="s">
        <v>252</v>
      </c>
      <c r="G73" s="421" t="s">
        <v>1087</v>
      </c>
      <c r="H73" s="415">
        <v>3</v>
      </c>
      <c r="I73" s="83">
        <v>1</v>
      </c>
      <c r="J73" s="203" t="s">
        <v>387</v>
      </c>
      <c r="K73" s="370" t="s">
        <v>1088</v>
      </c>
      <c r="L73" s="412">
        <v>3</v>
      </c>
      <c r="M73" s="513" t="str">
        <f>+IF(OR(ISBLANK(H73),ISBLANK(L73)),"",IF(OR(AND(H73=1,L73=1),AND(H73=1,L73=2),AND(H73=1,L73=3)),"Deficiencia de control mayor (diseño y ejecución)",IF(OR(AND(H73=2,L73=2),AND(H73=3,L73=1),AND(H73=3,L73=2),AND(H73=2,L73=1)),"Deficiencia de control (diseño o ejecución)",IF(AND(H73=2,L73=3),"Oportunidad de mejora","Mantenimiento del control"))))</f>
        <v>Mantenimiento del control</v>
      </c>
      <c r="N73" s="532">
        <f>+IF(M73="",312,IF(M73="Deficiencia de control mayor (diseño y ejecución)",320,IF(M73="Deficiencia de control (diseño o ejecución)",340,IF(M73="Oportunidad de mejora",360,380))))</f>
        <v>380</v>
      </c>
      <c r="O73" s="533">
        <v>6.4569000000000001</v>
      </c>
      <c r="P73" s="769">
        <f>+N73+O73</f>
        <v>386.45690000000002</v>
      </c>
    </row>
    <row r="74" spans="1:16" ht="13.8" x14ac:dyDescent="0.25">
      <c r="A74" s="711"/>
      <c r="B74" s="708"/>
      <c r="C74" s="708"/>
      <c r="D74" s="522"/>
      <c r="E74" s="777"/>
      <c r="F74" s="407"/>
      <c r="G74" s="470"/>
      <c r="H74" s="416"/>
      <c r="I74" s="81">
        <v>2</v>
      </c>
      <c r="J74" t="s">
        <v>1062</v>
      </c>
      <c r="K74" s="372"/>
      <c r="L74" s="413"/>
      <c r="M74" s="396"/>
      <c r="N74" s="532"/>
      <c r="O74" s="533"/>
      <c r="P74" s="769"/>
    </row>
    <row r="75" spans="1:16" ht="13.8" x14ac:dyDescent="0.25">
      <c r="A75" s="711"/>
      <c r="B75" s="708"/>
      <c r="C75" s="708"/>
      <c r="D75" s="522"/>
      <c r="E75" s="777"/>
      <c r="F75" s="407"/>
      <c r="G75" s="470"/>
      <c r="H75" s="416"/>
      <c r="I75" s="81">
        <v>3</v>
      </c>
      <c r="J75" t="s">
        <v>1089</v>
      </c>
      <c r="K75" s="372"/>
      <c r="L75" s="413"/>
      <c r="M75" s="396"/>
      <c r="N75" s="532"/>
      <c r="O75" s="533"/>
      <c r="P75" s="769"/>
    </row>
    <row r="76" spans="1:16" ht="13.8" x14ac:dyDescent="0.25">
      <c r="A76" s="711"/>
      <c r="B76" s="708"/>
      <c r="C76" s="708"/>
      <c r="D76" s="522"/>
      <c r="E76" s="777"/>
      <c r="F76" s="407"/>
      <c r="G76" s="470"/>
      <c r="H76" s="416"/>
      <c r="I76" s="81">
        <v>4</v>
      </c>
      <c r="J76" t="s">
        <v>1077</v>
      </c>
      <c r="K76" s="372"/>
      <c r="L76" s="413"/>
      <c r="M76" s="396"/>
      <c r="N76" s="532"/>
      <c r="O76" s="533"/>
      <c r="P76" s="769"/>
    </row>
    <row r="77" spans="1:16" ht="13.8" x14ac:dyDescent="0.25">
      <c r="A77" s="711"/>
      <c r="B77" s="708"/>
      <c r="C77" s="708"/>
      <c r="D77" s="522"/>
      <c r="E77" s="777"/>
      <c r="F77" s="407"/>
      <c r="G77" s="470"/>
      <c r="H77" s="416"/>
      <c r="I77" s="81">
        <v>5</v>
      </c>
      <c r="J77" t="s">
        <v>1075</v>
      </c>
      <c r="K77" s="372"/>
      <c r="L77" s="413"/>
      <c r="M77" s="396"/>
      <c r="N77" s="532"/>
      <c r="O77" s="533"/>
      <c r="P77" s="769"/>
    </row>
    <row r="78" spans="1:16" ht="13.8" x14ac:dyDescent="0.25">
      <c r="A78" s="711"/>
      <c r="B78" s="708"/>
      <c r="C78" s="708"/>
      <c r="D78" s="522"/>
      <c r="E78" s="777"/>
      <c r="F78" s="407"/>
      <c r="G78" s="470"/>
      <c r="H78" s="416"/>
      <c r="I78" s="81">
        <v>6</v>
      </c>
      <c r="J78" t="s">
        <v>1090</v>
      </c>
      <c r="K78" s="372"/>
      <c r="L78" s="413"/>
      <c r="M78" s="396"/>
      <c r="N78" s="532"/>
      <c r="O78" s="533"/>
      <c r="P78" s="769"/>
    </row>
    <row r="79" spans="1:16" ht="13.8" x14ac:dyDescent="0.25">
      <c r="A79" s="711"/>
      <c r="B79" s="708"/>
      <c r="C79" s="708"/>
      <c r="D79" s="522"/>
      <c r="E79" s="777"/>
      <c r="F79" s="407"/>
      <c r="G79" s="470"/>
      <c r="H79" s="416"/>
      <c r="I79" s="81">
        <v>7</v>
      </c>
      <c r="J79" t="s">
        <v>1091</v>
      </c>
      <c r="K79" s="372"/>
      <c r="L79" s="413"/>
      <c r="M79" s="396"/>
      <c r="N79" s="532"/>
      <c r="O79" s="533"/>
      <c r="P79" s="769"/>
    </row>
    <row r="80" spans="1:16" ht="13.8" x14ac:dyDescent="0.25">
      <c r="A80" s="717"/>
      <c r="B80" s="718"/>
      <c r="C80" s="718"/>
      <c r="D80" s="699"/>
      <c r="E80" s="777"/>
      <c r="F80" s="407"/>
      <c r="G80" s="598"/>
      <c r="H80" s="480"/>
      <c r="I80" s="200">
        <v>8</v>
      </c>
      <c r="J80" t="s">
        <v>1092</v>
      </c>
      <c r="K80" s="372"/>
      <c r="L80" s="575"/>
      <c r="M80" s="397"/>
      <c r="N80" s="532"/>
      <c r="O80" s="533"/>
      <c r="P80" s="769"/>
    </row>
    <row r="81" spans="1:16" ht="13.8" x14ac:dyDescent="0.25">
      <c r="A81" s="717"/>
      <c r="B81" s="718"/>
      <c r="C81" s="718"/>
      <c r="D81" s="699"/>
      <c r="E81" s="777"/>
      <c r="F81" s="407"/>
      <c r="G81" s="598"/>
      <c r="H81" s="480"/>
      <c r="I81" s="200">
        <v>9</v>
      </c>
      <c r="J81" t="s">
        <v>1093</v>
      </c>
      <c r="K81" s="372"/>
      <c r="L81" s="575"/>
      <c r="M81" s="397"/>
      <c r="N81" s="532"/>
      <c r="O81" s="533"/>
      <c r="P81" s="769"/>
    </row>
    <row r="82" spans="1:16" ht="13.8" x14ac:dyDescent="0.25">
      <c r="A82" s="717"/>
      <c r="B82" s="718"/>
      <c r="C82" s="718"/>
      <c r="D82" s="699"/>
      <c r="E82" s="777"/>
      <c r="F82" s="407"/>
      <c r="G82" s="598"/>
      <c r="H82" s="480"/>
      <c r="I82" s="200">
        <v>10</v>
      </c>
      <c r="J82" t="s">
        <v>1094</v>
      </c>
      <c r="K82" s="372"/>
      <c r="L82" s="575"/>
      <c r="M82" s="397"/>
      <c r="N82" s="532"/>
      <c r="O82" s="533"/>
      <c r="P82" s="769"/>
    </row>
    <row r="83" spans="1:16" ht="54.75" customHeight="1" thickBot="1" x14ac:dyDescent="0.3">
      <c r="A83" s="712"/>
      <c r="B83" s="713"/>
      <c r="C83" s="713"/>
      <c r="D83" s="523"/>
      <c r="E83" s="778"/>
      <c r="F83" s="408"/>
      <c r="G83" s="471"/>
      <c r="H83" s="417"/>
      <c r="I83" s="82"/>
      <c r="J83" s="82"/>
      <c r="K83" s="373"/>
      <c r="L83" s="414"/>
      <c r="M83" s="398"/>
      <c r="N83" s="532"/>
      <c r="O83" s="533"/>
      <c r="P83" s="769"/>
    </row>
    <row r="84" spans="1:16" ht="13.8" x14ac:dyDescent="0.25">
      <c r="A84" s="710">
        <v>8</v>
      </c>
      <c r="B84" s="707" t="s">
        <v>282</v>
      </c>
      <c r="C84" s="707" t="s">
        <v>301</v>
      </c>
      <c r="D84" s="521" t="str">
        <f>+LEFT(E84,5)</f>
        <v xml:space="preserve">17.3 </v>
      </c>
      <c r="E84" s="542" t="s">
        <v>388</v>
      </c>
      <c r="F84" s="406" t="s">
        <v>252</v>
      </c>
      <c r="G84" s="421" t="s">
        <v>1095</v>
      </c>
      <c r="H84" s="636">
        <v>3</v>
      </c>
      <c r="I84" s="83">
        <v>1</v>
      </c>
      <c r="J84" t="s">
        <v>1097</v>
      </c>
      <c r="K84" s="370" t="s">
        <v>1096</v>
      </c>
      <c r="L84" s="412">
        <v>3</v>
      </c>
      <c r="M84" s="513" t="str">
        <f>+IF(OR(ISBLANK(H84),ISBLANK(L84)),"",IF(OR(AND(H84=1,L84=1),AND(H84=1,L84=2),AND(H84=1,L84=3)),"Deficiencia de control mayor (diseño y ejecución)",IF(OR(AND(H84=2,L84=2),AND(H84=3,L84=1),AND(H84=3,L84=2),AND(H84=2,L84=1)),"Deficiencia de control (diseño o ejecución)",IF(AND(H84=2,L84=3),"Oportunidad de mejora","Mantenimiento del control"))))</f>
        <v>Mantenimiento del control</v>
      </c>
      <c r="N84" s="532">
        <f>+IF(M84="",312,IF(M84="Deficiencia de control mayor (diseño y ejecución)",320,IF(M84="Deficiencia de control (diseño o ejecución)",340,IF(M84="Oportunidad de mejora",360,380))))</f>
        <v>380</v>
      </c>
      <c r="O84" s="533">
        <v>6.5632000000000001</v>
      </c>
      <c r="P84" s="769">
        <f>+N84+O84</f>
        <v>386.56319999999999</v>
      </c>
    </row>
    <row r="85" spans="1:16" ht="22.5" customHeight="1" x14ac:dyDescent="0.25">
      <c r="A85" s="711"/>
      <c r="B85" s="708"/>
      <c r="C85" s="708"/>
      <c r="D85" s="522"/>
      <c r="E85" s="543"/>
      <c r="F85" s="407"/>
      <c r="G85" s="470"/>
      <c r="H85" s="416"/>
      <c r="I85" s="81">
        <v>2</v>
      </c>
      <c r="J85" t="s">
        <v>946</v>
      </c>
      <c r="K85" s="721"/>
      <c r="L85" s="413"/>
      <c r="M85" s="396"/>
      <c r="N85" s="532"/>
      <c r="O85" s="533"/>
      <c r="P85" s="769"/>
    </row>
    <row r="86" spans="1:16" ht="22.5" customHeight="1" x14ac:dyDescent="0.25">
      <c r="A86" s="711"/>
      <c r="B86" s="708"/>
      <c r="C86" s="708"/>
      <c r="D86" s="522"/>
      <c r="E86" s="543"/>
      <c r="F86" s="407"/>
      <c r="G86" s="470"/>
      <c r="H86" s="416"/>
      <c r="I86" s="81">
        <v>3</v>
      </c>
      <c r="J86" t="s">
        <v>818</v>
      </c>
      <c r="K86" s="721"/>
      <c r="L86" s="413"/>
      <c r="M86" s="396"/>
      <c r="N86" s="532"/>
      <c r="O86" s="533"/>
      <c r="P86" s="769"/>
    </row>
    <row r="87" spans="1:16" ht="13.8" x14ac:dyDescent="0.25">
      <c r="A87" s="711"/>
      <c r="B87" s="708"/>
      <c r="C87" s="708"/>
      <c r="D87" s="522"/>
      <c r="E87" s="543"/>
      <c r="F87" s="407"/>
      <c r="G87" s="470"/>
      <c r="H87" s="416"/>
      <c r="I87" s="81">
        <v>4</v>
      </c>
      <c r="J87" t="s">
        <v>1062</v>
      </c>
      <c r="K87" s="721"/>
      <c r="L87" s="413"/>
      <c r="M87" s="396"/>
      <c r="N87" s="532"/>
      <c r="O87" s="533"/>
      <c r="P87" s="769"/>
    </row>
    <row r="88" spans="1:16" ht="13.8" x14ac:dyDescent="0.25">
      <c r="A88" s="711"/>
      <c r="B88" s="708"/>
      <c r="C88" s="708"/>
      <c r="D88" s="522"/>
      <c r="E88" s="543"/>
      <c r="F88" s="407"/>
      <c r="G88" s="470"/>
      <c r="H88" s="416"/>
      <c r="I88" s="81">
        <v>5</v>
      </c>
      <c r="J88" t="s">
        <v>1061</v>
      </c>
      <c r="K88" s="721"/>
      <c r="L88" s="413"/>
      <c r="M88" s="396"/>
      <c r="N88" s="532"/>
      <c r="O88" s="533"/>
      <c r="P88" s="769"/>
    </row>
    <row r="89" spans="1:16" ht="13.8" x14ac:dyDescent="0.25">
      <c r="A89" s="711"/>
      <c r="B89" s="708"/>
      <c r="C89" s="708"/>
      <c r="D89" s="522"/>
      <c r="E89" s="543"/>
      <c r="F89" s="407"/>
      <c r="G89" s="470"/>
      <c r="H89" s="416"/>
      <c r="I89" s="81">
        <v>6</v>
      </c>
      <c r="J89" t="s">
        <v>1098</v>
      </c>
      <c r="K89" s="721"/>
      <c r="L89" s="413"/>
      <c r="M89" s="396"/>
      <c r="N89" s="532"/>
      <c r="O89" s="533"/>
      <c r="P89" s="769"/>
    </row>
    <row r="90" spans="1:16" ht="13.8" x14ac:dyDescent="0.25">
      <c r="A90" s="711"/>
      <c r="B90" s="708"/>
      <c r="C90" s="708"/>
      <c r="D90" s="522"/>
      <c r="E90" s="543"/>
      <c r="F90" s="407"/>
      <c r="G90" s="470"/>
      <c r="H90" s="416"/>
      <c r="I90" s="81">
        <v>7</v>
      </c>
      <c r="J90" t="s">
        <v>1099</v>
      </c>
      <c r="K90" s="721"/>
      <c r="L90" s="413"/>
      <c r="M90" s="396"/>
      <c r="N90" s="532"/>
      <c r="O90" s="533"/>
      <c r="P90" s="769"/>
    </row>
    <row r="91" spans="1:16" ht="14.4" thickBot="1" x14ac:dyDescent="0.3">
      <c r="A91" s="712"/>
      <c r="B91" s="713"/>
      <c r="C91" s="713"/>
      <c r="D91" s="523"/>
      <c r="E91" s="544"/>
      <c r="F91" s="408"/>
      <c r="G91" s="471"/>
      <c r="H91" s="417"/>
      <c r="I91" s="82"/>
      <c r="J91" s="82"/>
      <c r="K91" s="722"/>
      <c r="L91" s="414"/>
      <c r="M91" s="398"/>
      <c r="N91" s="532"/>
      <c r="O91" s="533"/>
      <c r="P91" s="769"/>
    </row>
    <row r="92" spans="1:16" ht="13.8" x14ac:dyDescent="0.25">
      <c r="A92" s="710">
        <v>9</v>
      </c>
      <c r="B92" s="707" t="s">
        <v>282</v>
      </c>
      <c r="C92" s="707" t="s">
        <v>301</v>
      </c>
      <c r="D92" s="521" t="str">
        <f>+LEFT(E92,5)</f>
        <v xml:space="preserve">17.4 </v>
      </c>
      <c r="E92" s="542" t="s">
        <v>389</v>
      </c>
      <c r="F92" s="406" t="s">
        <v>252</v>
      </c>
      <c r="G92" s="421" t="s">
        <v>1100</v>
      </c>
      <c r="H92" s="415">
        <v>3</v>
      </c>
      <c r="I92" s="83">
        <v>1</v>
      </c>
      <c r="J92" t="s">
        <v>1062</v>
      </c>
      <c r="K92" s="370" t="s">
        <v>1101</v>
      </c>
      <c r="L92" s="412">
        <v>3</v>
      </c>
      <c r="M92" s="513" t="str">
        <f>+IF(OR(ISBLANK(H92),ISBLANK(L92)),"",IF(OR(AND(H92=1,L92=1),AND(H92=1,L92=2),AND(H92=1,L92=3)),"Deficiencia de control mayor (diseño y ejecución)",IF(OR(AND(H92=2,L92=2),AND(H92=3,L92=1),AND(H92=3,L92=2),AND(H92=2,L92=1)),"Deficiencia de control (diseño o ejecución)",IF(AND(H92=2,L92=3),"Oportunidad de mejora","Mantenimiento del control"))))</f>
        <v>Mantenimiento del control</v>
      </c>
      <c r="N92" s="532">
        <f>+IF(M92="",312,IF(M92="Deficiencia de control mayor (diseño y ejecución)",320,IF(M92="Deficiencia de control (diseño o ejecución)",340,IF(M92="Oportunidad de mejora",360,380))))</f>
        <v>380</v>
      </c>
      <c r="O92" s="533">
        <v>6.7854000000000001</v>
      </c>
      <c r="P92" s="769">
        <f>+N92+O92</f>
        <v>386.78539999999998</v>
      </c>
    </row>
    <row r="93" spans="1:16" ht="13.8" x14ac:dyDescent="0.25">
      <c r="A93" s="711"/>
      <c r="B93" s="708"/>
      <c r="C93" s="708"/>
      <c r="D93" s="522"/>
      <c r="E93" s="543"/>
      <c r="F93" s="407"/>
      <c r="G93" s="470"/>
      <c r="H93" s="416"/>
      <c r="I93" s="81">
        <v>2</v>
      </c>
      <c r="J93" t="s">
        <v>1061</v>
      </c>
      <c r="K93" s="771"/>
      <c r="L93" s="413"/>
      <c r="M93" s="396"/>
      <c r="N93" s="532"/>
      <c r="O93" s="533"/>
      <c r="P93" s="769"/>
    </row>
    <row r="94" spans="1:16" ht="13.8" x14ac:dyDescent="0.25">
      <c r="A94" s="711"/>
      <c r="B94" s="708"/>
      <c r="C94" s="708"/>
      <c r="D94" s="522"/>
      <c r="E94" s="543"/>
      <c r="F94" s="407"/>
      <c r="G94" s="470"/>
      <c r="H94" s="416"/>
      <c r="I94" s="81">
        <v>3</v>
      </c>
      <c r="J94" t="s">
        <v>818</v>
      </c>
      <c r="K94" s="771"/>
      <c r="L94" s="413"/>
      <c r="M94" s="396"/>
      <c r="N94" s="532"/>
      <c r="O94" s="533"/>
      <c r="P94" s="769"/>
    </row>
    <row r="95" spans="1:16" ht="13.8" x14ac:dyDescent="0.25">
      <c r="A95" s="711"/>
      <c r="B95" s="708"/>
      <c r="C95" s="708"/>
      <c r="D95" s="522"/>
      <c r="E95" s="543"/>
      <c r="F95" s="407"/>
      <c r="G95" s="470"/>
      <c r="H95" s="416"/>
      <c r="I95" s="81">
        <v>4</v>
      </c>
      <c r="J95" t="s">
        <v>1102</v>
      </c>
      <c r="K95" s="771"/>
      <c r="L95" s="413"/>
      <c r="M95" s="396"/>
      <c r="N95" s="532"/>
      <c r="O95" s="533"/>
      <c r="P95" s="769"/>
    </row>
    <row r="96" spans="1:16" ht="13.8" x14ac:dyDescent="0.25">
      <c r="A96" s="711"/>
      <c r="B96" s="708"/>
      <c r="C96" s="708"/>
      <c r="D96" s="522"/>
      <c r="E96" s="543"/>
      <c r="F96" s="407"/>
      <c r="G96" s="470"/>
      <c r="H96" s="416"/>
      <c r="I96" s="81">
        <v>5</v>
      </c>
      <c r="J96" t="s">
        <v>1103</v>
      </c>
      <c r="K96" s="771"/>
      <c r="L96" s="413"/>
      <c r="M96" s="396"/>
      <c r="N96" s="532"/>
      <c r="O96" s="533"/>
      <c r="P96" s="769"/>
    </row>
    <row r="97" spans="1:16" ht="13.8" x14ac:dyDescent="0.25">
      <c r="A97" s="711"/>
      <c r="B97" s="708"/>
      <c r="C97" s="708"/>
      <c r="D97" s="522"/>
      <c r="E97" s="543"/>
      <c r="F97" s="407"/>
      <c r="G97" s="470"/>
      <c r="H97" s="416"/>
      <c r="I97" s="81">
        <v>6</v>
      </c>
      <c r="J97" t="s">
        <v>1104</v>
      </c>
      <c r="K97" s="771"/>
      <c r="L97" s="413"/>
      <c r="M97" s="396"/>
      <c r="N97" s="532"/>
      <c r="O97" s="533"/>
      <c r="P97" s="769"/>
    </row>
    <row r="98" spans="1:16" ht="13.8" x14ac:dyDescent="0.25">
      <c r="A98" s="711"/>
      <c r="B98" s="708"/>
      <c r="C98" s="708"/>
      <c r="D98" s="522"/>
      <c r="E98" s="543"/>
      <c r="F98" s="407"/>
      <c r="G98" s="470"/>
      <c r="H98" s="416"/>
      <c r="I98" s="81">
        <v>7</v>
      </c>
      <c r="J98" t="s">
        <v>1075</v>
      </c>
      <c r="K98" s="771"/>
      <c r="L98" s="413"/>
      <c r="M98" s="396"/>
      <c r="N98" s="532"/>
      <c r="O98" s="533"/>
      <c r="P98" s="769"/>
    </row>
    <row r="99" spans="1:16" ht="99" customHeight="1" thickBot="1" x14ac:dyDescent="0.3">
      <c r="A99" s="712"/>
      <c r="B99" s="713"/>
      <c r="C99" s="713"/>
      <c r="D99" s="523"/>
      <c r="E99" s="544"/>
      <c r="F99" s="408"/>
      <c r="G99" s="471"/>
      <c r="H99" s="417"/>
      <c r="I99" s="82">
        <v>8</v>
      </c>
      <c r="J99" s="272" t="s">
        <v>1077</v>
      </c>
      <c r="K99" s="772"/>
      <c r="L99" s="414"/>
      <c r="M99" s="398"/>
      <c r="N99" s="532"/>
      <c r="O99" s="533"/>
      <c r="P99" s="769"/>
    </row>
    <row r="100" spans="1:16" ht="25.5" customHeight="1" x14ac:dyDescent="0.25">
      <c r="A100" s="804">
        <v>10</v>
      </c>
      <c r="B100" s="808"/>
      <c r="C100" s="808" t="s">
        <v>278</v>
      </c>
      <c r="D100" s="399" t="str">
        <f>+LEFT(E100,5)</f>
        <v xml:space="preserve">17.5 </v>
      </c>
      <c r="E100" s="542" t="s">
        <v>390</v>
      </c>
      <c r="F100" s="406" t="s">
        <v>252</v>
      </c>
      <c r="G100" s="370" t="s">
        <v>1105</v>
      </c>
      <c r="H100" s="415">
        <v>3</v>
      </c>
      <c r="I100" s="83">
        <v>1</v>
      </c>
      <c r="J100" s="265" t="s">
        <v>1106</v>
      </c>
      <c r="K100" s="421" t="s">
        <v>1113</v>
      </c>
      <c r="L100" s="412">
        <v>2</v>
      </c>
      <c r="M100" s="513" t="str">
        <f>+IF(OR(ISBLANK(H100),ISBLANK(L100)),"",IF(OR(AND(H100=1,L100=1),AND(H100=1,L100=2),AND(H100=1,L100=3)),"Deficiencia de control mayor (diseño y ejecución)",IF(OR(AND(H100=2,L100=2),AND(H100=3,L100=1),AND(H100=3,L100=2),AND(H100=2,L100=1)),"Deficiencia de control (diseño o ejecución)",IF(AND(H100=2,L100=3),"Oportunidad de mejora","Mantenimiento del control"))))</f>
        <v>Deficiencia de control (diseño o ejecución)</v>
      </c>
      <c r="N100" s="532">
        <f>+IF(M100="",312,IF(M100="Deficiencia de control mayor (diseño y ejecución)",320,IF(M100="Deficiencia de control (diseño o ejecución)",340,IF(M100="Oportunidad de mejora",360,380))))</f>
        <v>340</v>
      </c>
      <c r="O100" s="532">
        <v>6.8745000000000003</v>
      </c>
      <c r="P100" s="773">
        <f>+N100+O100</f>
        <v>346.87450000000001</v>
      </c>
    </row>
    <row r="101" spans="1:16" ht="13.8" x14ac:dyDescent="0.25">
      <c r="A101" s="805"/>
      <c r="B101" s="809"/>
      <c r="C101" s="809"/>
      <c r="D101" s="400"/>
      <c r="E101" s="543"/>
      <c r="F101" s="407"/>
      <c r="G101" s="440"/>
      <c r="H101" s="416"/>
      <c r="I101" s="81">
        <v>2</v>
      </c>
      <c r="J101" s="263" t="s">
        <v>1107</v>
      </c>
      <c r="K101" s="470"/>
      <c r="L101" s="413"/>
      <c r="M101" s="396"/>
      <c r="N101" s="532"/>
      <c r="O101" s="532"/>
      <c r="P101" s="773"/>
    </row>
    <row r="102" spans="1:16" ht="13.8" x14ac:dyDescent="0.25">
      <c r="A102" s="805"/>
      <c r="B102" s="809"/>
      <c r="C102" s="809"/>
      <c r="D102" s="400"/>
      <c r="E102" s="543"/>
      <c r="F102" s="407"/>
      <c r="G102" s="440"/>
      <c r="H102" s="416"/>
      <c r="I102" s="81">
        <v>3</v>
      </c>
      <c r="J102" s="263" t="s">
        <v>1108</v>
      </c>
      <c r="K102" s="470"/>
      <c r="L102" s="413"/>
      <c r="M102" s="396"/>
      <c r="N102" s="532"/>
      <c r="O102" s="532"/>
      <c r="P102" s="773"/>
    </row>
    <row r="103" spans="1:16" ht="13.8" x14ac:dyDescent="0.25">
      <c r="A103" s="805"/>
      <c r="B103" s="809"/>
      <c r="C103" s="809"/>
      <c r="D103" s="400"/>
      <c r="E103" s="543"/>
      <c r="F103" s="407"/>
      <c r="G103" s="440"/>
      <c r="H103" s="416"/>
      <c r="I103" s="81"/>
      <c r="J103" s="263" t="s">
        <v>1109</v>
      </c>
      <c r="K103" s="470"/>
      <c r="L103" s="413"/>
      <c r="M103" s="396"/>
      <c r="N103" s="532"/>
      <c r="O103" s="532"/>
      <c r="P103" s="773"/>
    </row>
    <row r="104" spans="1:16" ht="13.8" x14ac:dyDescent="0.25">
      <c r="A104" s="805"/>
      <c r="B104" s="809"/>
      <c r="C104" s="809"/>
      <c r="D104" s="400"/>
      <c r="E104" s="543"/>
      <c r="F104" s="407"/>
      <c r="G104" s="440"/>
      <c r="H104" s="416"/>
      <c r="I104" s="81"/>
      <c r="J104" s="263" t="s">
        <v>1110</v>
      </c>
      <c r="K104" s="470"/>
      <c r="L104" s="413"/>
      <c r="M104" s="396"/>
      <c r="N104" s="532"/>
      <c r="O104" s="532"/>
      <c r="P104" s="773"/>
    </row>
    <row r="105" spans="1:16" ht="13.8" x14ac:dyDescent="0.25">
      <c r="A105" s="805"/>
      <c r="B105" s="809"/>
      <c r="C105" s="809"/>
      <c r="D105" s="400"/>
      <c r="E105" s="543"/>
      <c r="F105" s="407"/>
      <c r="G105" s="440"/>
      <c r="H105" s="416"/>
      <c r="I105" s="81">
        <v>4</v>
      </c>
      <c r="J105" s="263" t="s">
        <v>1111</v>
      </c>
      <c r="K105" s="470"/>
      <c r="L105" s="413"/>
      <c r="M105" s="396"/>
      <c r="N105" s="532"/>
      <c r="O105" s="532"/>
      <c r="P105" s="773"/>
    </row>
    <row r="106" spans="1:16" ht="22.5" customHeight="1" x14ac:dyDescent="0.25">
      <c r="A106" s="805"/>
      <c r="B106" s="809"/>
      <c r="C106" s="809"/>
      <c r="D106" s="400"/>
      <c r="E106" s="543"/>
      <c r="F106" s="407"/>
      <c r="G106" s="440"/>
      <c r="H106" s="416"/>
      <c r="I106" s="81">
        <v>5</v>
      </c>
      <c r="J106" s="263" t="s">
        <v>1112</v>
      </c>
      <c r="K106" s="470"/>
      <c r="L106" s="413"/>
      <c r="M106" s="396"/>
      <c r="N106" s="532"/>
      <c r="O106" s="532"/>
      <c r="P106" s="773"/>
    </row>
    <row r="107" spans="1:16" ht="3" customHeight="1" x14ac:dyDescent="0.25">
      <c r="A107" s="805"/>
      <c r="B107" s="809"/>
      <c r="C107" s="809"/>
      <c r="D107" s="400"/>
      <c r="E107" s="543"/>
      <c r="F107" s="407"/>
      <c r="G107" s="440"/>
      <c r="H107" s="416"/>
      <c r="I107" s="81">
        <v>6</v>
      </c>
      <c r="J107" s="289" t="s">
        <v>230</v>
      </c>
      <c r="K107" s="470"/>
      <c r="L107" s="413"/>
      <c r="M107" s="396"/>
      <c r="N107" s="532"/>
      <c r="O107" s="532"/>
      <c r="P107" s="773"/>
    </row>
    <row r="108" spans="1:16" ht="1.5" hidden="1" customHeight="1" x14ac:dyDescent="0.25">
      <c r="A108" s="805"/>
      <c r="B108" s="809"/>
      <c r="C108" s="809"/>
      <c r="D108" s="400"/>
      <c r="E108" s="543"/>
      <c r="F108" s="407"/>
      <c r="G108" s="440"/>
      <c r="H108" s="416"/>
      <c r="I108" s="81">
        <v>7</v>
      </c>
      <c r="J108" s="289" t="s">
        <v>268</v>
      </c>
      <c r="K108" s="470"/>
      <c r="L108" s="413"/>
      <c r="M108" s="396"/>
      <c r="N108" s="532"/>
      <c r="O108" s="532"/>
      <c r="P108" s="773"/>
    </row>
    <row r="109" spans="1:16" ht="12.75" hidden="1" customHeight="1" x14ac:dyDescent="0.25">
      <c r="A109" s="806"/>
      <c r="B109" s="810"/>
      <c r="C109" s="810"/>
      <c r="D109" s="438"/>
      <c r="E109" s="657"/>
      <c r="F109" s="407"/>
      <c r="G109" s="440"/>
      <c r="H109" s="480"/>
      <c r="I109" s="200">
        <v>8</v>
      </c>
      <c r="J109" s="216" t="s">
        <v>391</v>
      </c>
      <c r="K109" s="598"/>
      <c r="L109" s="575"/>
      <c r="M109" s="397"/>
      <c r="N109" s="532"/>
      <c r="O109" s="532"/>
      <c r="P109" s="773"/>
    </row>
    <row r="110" spans="1:16" ht="22.5" hidden="1" customHeight="1" x14ac:dyDescent="0.25">
      <c r="A110" s="806"/>
      <c r="B110" s="810"/>
      <c r="C110" s="810"/>
      <c r="D110" s="438"/>
      <c r="E110" s="657"/>
      <c r="F110" s="407"/>
      <c r="G110" s="440"/>
      <c r="H110" s="480"/>
      <c r="I110" s="200">
        <v>9</v>
      </c>
      <c r="J110" s="216" t="s">
        <v>392</v>
      </c>
      <c r="K110" s="598"/>
      <c r="L110" s="575"/>
      <c r="M110" s="397"/>
      <c r="N110" s="532"/>
      <c r="O110" s="532"/>
      <c r="P110" s="773"/>
    </row>
    <row r="111" spans="1:16" ht="22.5" hidden="1" customHeight="1" x14ac:dyDescent="0.25">
      <c r="A111" s="806"/>
      <c r="B111" s="810"/>
      <c r="C111" s="810"/>
      <c r="D111" s="438"/>
      <c r="E111" s="657"/>
      <c r="F111" s="407"/>
      <c r="G111" s="440"/>
      <c r="H111" s="480"/>
      <c r="I111" s="200">
        <v>10</v>
      </c>
      <c r="J111" s="216" t="s">
        <v>393</v>
      </c>
      <c r="K111" s="598"/>
      <c r="L111" s="575"/>
      <c r="M111" s="397"/>
      <c r="N111" s="532"/>
      <c r="O111" s="532"/>
      <c r="P111" s="773"/>
    </row>
    <row r="112" spans="1:16" ht="22.5" hidden="1" customHeight="1" x14ac:dyDescent="0.25">
      <c r="A112" s="806"/>
      <c r="B112" s="810"/>
      <c r="C112" s="810"/>
      <c r="D112" s="438"/>
      <c r="E112" s="657"/>
      <c r="F112" s="407"/>
      <c r="G112" s="440"/>
      <c r="H112" s="480"/>
      <c r="I112" s="200">
        <v>11</v>
      </c>
      <c r="J112" s="199" t="s">
        <v>394</v>
      </c>
      <c r="K112" s="598"/>
      <c r="L112" s="575"/>
      <c r="M112" s="397"/>
      <c r="N112" s="532"/>
      <c r="O112" s="532"/>
      <c r="P112" s="773"/>
    </row>
    <row r="113" spans="1:16" ht="22.5" hidden="1" customHeight="1" x14ac:dyDescent="0.25">
      <c r="A113" s="806"/>
      <c r="B113" s="810"/>
      <c r="C113" s="810"/>
      <c r="D113" s="438"/>
      <c r="E113" s="657"/>
      <c r="F113" s="407"/>
      <c r="G113" s="440"/>
      <c r="H113" s="480"/>
      <c r="I113" s="200">
        <v>12</v>
      </c>
      <c r="J113" s="199" t="s">
        <v>395</v>
      </c>
      <c r="K113" s="598"/>
      <c r="L113" s="575"/>
      <c r="M113" s="397"/>
      <c r="N113" s="532"/>
      <c r="O113" s="532"/>
      <c r="P113" s="773"/>
    </row>
    <row r="114" spans="1:16" ht="22.5" hidden="1" customHeight="1" x14ac:dyDescent="0.25">
      <c r="A114" s="806"/>
      <c r="B114" s="810"/>
      <c r="C114" s="810"/>
      <c r="D114" s="438"/>
      <c r="E114" s="657"/>
      <c r="F114" s="407"/>
      <c r="G114" s="440"/>
      <c r="H114" s="480"/>
      <c r="I114" s="200">
        <v>13</v>
      </c>
      <c r="J114" s="199" t="s">
        <v>396</v>
      </c>
      <c r="K114" s="598"/>
      <c r="L114" s="575"/>
      <c r="M114" s="397"/>
      <c r="N114" s="532"/>
      <c r="O114" s="532"/>
      <c r="P114" s="773"/>
    </row>
    <row r="115" spans="1:16" ht="22.5" hidden="1" customHeight="1" x14ac:dyDescent="0.25">
      <c r="A115" s="806"/>
      <c r="B115" s="810"/>
      <c r="C115" s="810"/>
      <c r="D115" s="438"/>
      <c r="E115" s="657"/>
      <c r="F115" s="407"/>
      <c r="G115" s="440"/>
      <c r="H115" s="480"/>
      <c r="I115" s="200">
        <v>14</v>
      </c>
      <c r="J115" s="199" t="s">
        <v>397</v>
      </c>
      <c r="K115" s="598"/>
      <c r="L115" s="575"/>
      <c r="M115" s="397"/>
      <c r="N115" s="532"/>
      <c r="O115" s="532"/>
      <c r="P115" s="773"/>
    </row>
    <row r="116" spans="1:16" ht="22.5" hidden="1" customHeight="1" x14ac:dyDescent="0.25">
      <c r="A116" s="806"/>
      <c r="B116" s="810"/>
      <c r="C116" s="810"/>
      <c r="D116" s="438"/>
      <c r="E116" s="657"/>
      <c r="F116" s="407"/>
      <c r="G116" s="440"/>
      <c r="H116" s="480"/>
      <c r="I116" s="200">
        <v>15</v>
      </c>
      <c r="J116" s="133" t="s">
        <v>398</v>
      </c>
      <c r="K116" s="598"/>
      <c r="L116" s="575"/>
      <c r="M116" s="397"/>
      <c r="N116" s="532"/>
      <c r="O116" s="532"/>
      <c r="P116" s="773"/>
    </row>
    <row r="117" spans="1:16" ht="22.5" hidden="1" customHeight="1" x14ac:dyDescent="0.25">
      <c r="A117" s="806"/>
      <c r="B117" s="810"/>
      <c r="C117" s="810"/>
      <c r="D117" s="438"/>
      <c r="E117" s="657"/>
      <c r="F117" s="407"/>
      <c r="G117" s="440"/>
      <c r="H117" s="480"/>
      <c r="I117" s="200">
        <v>16</v>
      </c>
      <c r="J117" s="199" t="s">
        <v>399</v>
      </c>
      <c r="K117" s="598"/>
      <c r="L117" s="575"/>
      <c r="M117" s="397"/>
      <c r="N117" s="532"/>
      <c r="O117" s="532"/>
      <c r="P117" s="773"/>
    </row>
    <row r="118" spans="1:16" ht="5.25" customHeight="1" thickBot="1" x14ac:dyDescent="0.3">
      <c r="A118" s="806"/>
      <c r="B118" s="810"/>
      <c r="C118" s="810"/>
      <c r="D118" s="438"/>
      <c r="E118" s="657"/>
      <c r="F118" s="407"/>
      <c r="G118" s="440"/>
      <c r="H118" s="480"/>
      <c r="I118" s="200">
        <v>17</v>
      </c>
      <c r="J118" s="290" t="s">
        <v>281</v>
      </c>
      <c r="K118" s="598"/>
      <c r="L118" s="575"/>
      <c r="M118" s="397"/>
      <c r="N118" s="532"/>
      <c r="O118" s="532"/>
      <c r="P118" s="773"/>
    </row>
    <row r="119" spans="1:16" ht="22.5" hidden="1" customHeight="1" thickBot="1" x14ac:dyDescent="0.3">
      <c r="A119" s="806"/>
      <c r="B119" s="810"/>
      <c r="C119" s="810"/>
      <c r="D119" s="438"/>
      <c r="E119" s="657"/>
      <c r="F119" s="407"/>
      <c r="G119" s="440"/>
      <c r="H119" s="480"/>
      <c r="I119" s="200">
        <v>18</v>
      </c>
      <c r="J119" s="205"/>
      <c r="K119" s="598"/>
      <c r="L119" s="575"/>
      <c r="M119" s="397"/>
      <c r="N119" s="532"/>
      <c r="O119" s="532"/>
      <c r="P119" s="773"/>
    </row>
    <row r="120" spans="1:16" ht="22.5" hidden="1" customHeight="1" thickBot="1" x14ac:dyDescent="0.3">
      <c r="A120" s="806"/>
      <c r="B120" s="810"/>
      <c r="C120" s="810"/>
      <c r="D120" s="438"/>
      <c r="E120" s="657"/>
      <c r="F120" s="407"/>
      <c r="G120" s="440"/>
      <c r="H120" s="480"/>
      <c r="I120" s="200">
        <v>19</v>
      </c>
      <c r="J120" s="135"/>
      <c r="K120" s="598"/>
      <c r="L120" s="575"/>
      <c r="M120" s="397"/>
      <c r="N120" s="532"/>
      <c r="O120" s="532"/>
      <c r="P120" s="773"/>
    </row>
    <row r="121" spans="1:16" ht="22.5" hidden="1" customHeight="1" thickBot="1" x14ac:dyDescent="0.3">
      <c r="A121" s="806"/>
      <c r="B121" s="810"/>
      <c r="C121" s="810"/>
      <c r="D121" s="438"/>
      <c r="E121" s="657"/>
      <c r="F121" s="407"/>
      <c r="G121" s="440"/>
      <c r="H121" s="480"/>
      <c r="I121" s="200">
        <v>20</v>
      </c>
      <c r="J121" s="199"/>
      <c r="K121" s="598"/>
      <c r="L121" s="575"/>
      <c r="M121" s="397"/>
      <c r="N121" s="532"/>
      <c r="O121" s="532"/>
      <c r="P121" s="773"/>
    </row>
    <row r="122" spans="1:16" ht="22.5" hidden="1" customHeight="1" thickBot="1" x14ac:dyDescent="0.3">
      <c r="A122" s="806"/>
      <c r="B122" s="810"/>
      <c r="C122" s="810"/>
      <c r="D122" s="438"/>
      <c r="E122" s="657"/>
      <c r="F122" s="407"/>
      <c r="G122" s="440"/>
      <c r="H122" s="480"/>
      <c r="I122" s="200">
        <v>21</v>
      </c>
      <c r="J122" s="199"/>
      <c r="K122" s="598"/>
      <c r="L122" s="575"/>
      <c r="M122" s="397"/>
      <c r="N122" s="532"/>
      <c r="O122" s="532"/>
      <c r="P122" s="773"/>
    </row>
    <row r="123" spans="1:16" ht="22.5" hidden="1" customHeight="1" thickBot="1" x14ac:dyDescent="0.3">
      <c r="A123" s="806"/>
      <c r="B123" s="810"/>
      <c r="C123" s="810"/>
      <c r="D123" s="438"/>
      <c r="E123" s="657"/>
      <c r="F123" s="407"/>
      <c r="G123" s="440"/>
      <c r="H123" s="480"/>
      <c r="I123" s="200">
        <v>22</v>
      </c>
      <c r="J123" s="135"/>
      <c r="K123" s="598"/>
      <c r="L123" s="575"/>
      <c r="M123" s="397"/>
      <c r="N123" s="532"/>
      <c r="O123" s="532"/>
      <c r="P123" s="773"/>
    </row>
    <row r="124" spans="1:16" ht="22.5" hidden="1" customHeight="1" thickBot="1" x14ac:dyDescent="0.3">
      <c r="A124" s="806"/>
      <c r="B124" s="810"/>
      <c r="C124" s="810"/>
      <c r="D124" s="438"/>
      <c r="E124" s="657"/>
      <c r="F124" s="407"/>
      <c r="G124" s="440"/>
      <c r="H124" s="480"/>
      <c r="I124" s="200">
        <v>23</v>
      </c>
      <c r="J124" s="133"/>
      <c r="K124" s="598"/>
      <c r="L124" s="575"/>
      <c r="M124" s="397"/>
      <c r="N124" s="532"/>
      <c r="O124" s="532"/>
      <c r="P124" s="773"/>
    </row>
    <row r="125" spans="1:16" ht="22.5" hidden="1" customHeight="1" thickBot="1" x14ac:dyDescent="0.3">
      <c r="A125" s="806"/>
      <c r="B125" s="810"/>
      <c r="C125" s="810"/>
      <c r="D125" s="438"/>
      <c r="E125" s="657"/>
      <c r="F125" s="407"/>
      <c r="G125" s="440"/>
      <c r="H125" s="480"/>
      <c r="I125" s="200">
        <v>24</v>
      </c>
      <c r="J125" s="133"/>
      <c r="K125" s="598"/>
      <c r="L125" s="575"/>
      <c r="M125" s="397"/>
      <c r="N125" s="532"/>
      <c r="O125" s="532"/>
      <c r="P125" s="773"/>
    </row>
    <row r="126" spans="1:16" ht="22.5" hidden="1" customHeight="1" thickBot="1" x14ac:dyDescent="0.3">
      <c r="A126" s="806"/>
      <c r="B126" s="810"/>
      <c r="C126" s="810"/>
      <c r="D126" s="438"/>
      <c r="E126" s="657"/>
      <c r="F126" s="407"/>
      <c r="G126" s="440"/>
      <c r="H126" s="480"/>
      <c r="I126" s="200"/>
      <c r="J126" s="135"/>
      <c r="K126" s="598"/>
      <c r="L126" s="575"/>
      <c r="M126" s="397"/>
      <c r="N126" s="532"/>
      <c r="O126" s="532"/>
      <c r="P126" s="773"/>
    </row>
    <row r="127" spans="1:16" ht="22.5" hidden="1" customHeight="1" thickBot="1" x14ac:dyDescent="0.3">
      <c r="A127" s="806"/>
      <c r="B127" s="810"/>
      <c r="C127" s="810"/>
      <c r="D127" s="438"/>
      <c r="E127" s="657"/>
      <c r="F127" s="407"/>
      <c r="G127" s="440"/>
      <c r="H127" s="480"/>
      <c r="I127" s="200"/>
      <c r="J127" s="135"/>
      <c r="K127" s="598"/>
      <c r="L127" s="575"/>
      <c r="M127" s="397"/>
      <c r="N127" s="532"/>
      <c r="O127" s="532"/>
      <c r="P127" s="773"/>
    </row>
    <row r="128" spans="1:16" ht="22.5" hidden="1" customHeight="1" thickBot="1" x14ac:dyDescent="0.3">
      <c r="A128" s="806"/>
      <c r="B128" s="810"/>
      <c r="C128" s="810"/>
      <c r="D128" s="438"/>
      <c r="E128" s="657"/>
      <c r="F128" s="407"/>
      <c r="G128" s="440"/>
      <c r="H128" s="480"/>
      <c r="I128" s="200"/>
      <c r="J128" s="135"/>
      <c r="K128" s="598"/>
      <c r="L128" s="575"/>
      <c r="M128" s="397"/>
      <c r="N128" s="532"/>
      <c r="O128" s="532"/>
      <c r="P128" s="773"/>
    </row>
    <row r="129" spans="1:16" ht="30.75" hidden="1" customHeight="1" thickBot="1" x14ac:dyDescent="0.3">
      <c r="A129" s="807"/>
      <c r="B129" s="811"/>
      <c r="C129" s="811"/>
      <c r="D129" s="401"/>
      <c r="E129" s="544"/>
      <c r="F129" s="408"/>
      <c r="G129" s="441"/>
      <c r="H129" s="417"/>
      <c r="I129" s="82"/>
      <c r="J129" s="156"/>
      <c r="K129" s="471"/>
      <c r="L129" s="414"/>
      <c r="M129" s="398"/>
      <c r="N129" s="532"/>
      <c r="O129" s="532"/>
      <c r="P129" s="773"/>
    </row>
    <row r="130" spans="1:16" ht="13.8" x14ac:dyDescent="0.25">
      <c r="A130" s="710">
        <v>11</v>
      </c>
      <c r="B130" s="707" t="s">
        <v>282</v>
      </c>
      <c r="C130" s="707" t="s">
        <v>341</v>
      </c>
      <c r="D130" s="521" t="str">
        <f>+LEFT(E130,5)</f>
        <v xml:space="preserve">17.6 </v>
      </c>
      <c r="E130" s="542" t="s">
        <v>400</v>
      </c>
      <c r="F130" s="406" t="s">
        <v>401</v>
      </c>
      <c r="G130" s="421" t="s">
        <v>1114</v>
      </c>
      <c r="H130" s="415">
        <v>3</v>
      </c>
      <c r="I130" s="83">
        <v>1</v>
      </c>
      <c r="J130" t="s">
        <v>1116</v>
      </c>
      <c r="K130" s="370" t="s">
        <v>1115</v>
      </c>
      <c r="L130" s="412">
        <v>2</v>
      </c>
      <c r="M130" s="513" t="str">
        <f>+IF(OR(ISBLANK(H130),ISBLANK(L130)),"",IF(OR(AND(H130=1,L130=1),AND(H130=1,L130=2),AND(H130=1,L130=3)),"Deficiencia de control mayor (diseño y ejecución)",IF(OR(AND(H130=2,L130=2),AND(H130=3,L130=1),AND(H130=3,L130=2),AND(H130=2,L130=1)),"Deficiencia de control (diseño o ejecución)",IF(AND(H130=2,L130=3),"Oportunidad de mejora","Mantenimiento del control"))))</f>
        <v>Deficiencia de control (diseño o ejecución)</v>
      </c>
      <c r="N130" s="532">
        <f>+IF(M130="",312,IF(M130="Deficiencia de control mayor (diseño y ejecución)",320,IF(M130="Deficiencia de control (diseño o ejecución)",340,IF(M130="Oportunidad de mejora",360,380))))</f>
        <v>340</v>
      </c>
      <c r="O130" s="533">
        <v>6.9874000000000001</v>
      </c>
      <c r="P130" s="769">
        <f>+N130+O130</f>
        <v>346.98739999999998</v>
      </c>
    </row>
    <row r="131" spans="1:16" ht="13.8" x14ac:dyDescent="0.25">
      <c r="A131" s="711"/>
      <c r="B131" s="708"/>
      <c r="C131" s="708"/>
      <c r="D131" s="522"/>
      <c r="E131" s="543"/>
      <c r="F131" s="407"/>
      <c r="G131" s="470"/>
      <c r="H131" s="416"/>
      <c r="I131" s="81">
        <v>2</v>
      </c>
      <c r="J131" t="s">
        <v>1117</v>
      </c>
      <c r="K131" s="372"/>
      <c r="L131" s="413"/>
      <c r="M131" s="396"/>
      <c r="N131" s="532"/>
      <c r="O131" s="533"/>
      <c r="P131" s="769"/>
    </row>
    <row r="132" spans="1:16" ht="13.8" x14ac:dyDescent="0.25">
      <c r="A132" s="711"/>
      <c r="B132" s="708"/>
      <c r="C132" s="708"/>
      <c r="D132" s="522"/>
      <c r="E132" s="543"/>
      <c r="F132" s="407"/>
      <c r="G132" s="470"/>
      <c r="H132" s="416"/>
      <c r="I132" s="81">
        <v>3</v>
      </c>
      <c r="J132" t="s">
        <v>1118</v>
      </c>
      <c r="K132" s="372"/>
      <c r="L132" s="413"/>
      <c r="M132" s="396"/>
      <c r="N132" s="532"/>
      <c r="O132" s="533"/>
      <c r="P132" s="769"/>
    </row>
    <row r="133" spans="1:16" ht="13.8" x14ac:dyDescent="0.25">
      <c r="A133" s="711"/>
      <c r="B133" s="708"/>
      <c r="C133" s="708"/>
      <c r="D133" s="522"/>
      <c r="E133" s="543"/>
      <c r="F133" s="407"/>
      <c r="G133" s="470"/>
      <c r="H133" s="416"/>
      <c r="I133" s="81">
        <v>4</v>
      </c>
      <c r="J133" t="s">
        <v>1119</v>
      </c>
      <c r="K133" s="372"/>
      <c r="L133" s="413"/>
      <c r="M133" s="396"/>
      <c r="N133" s="532"/>
      <c r="O133" s="533"/>
      <c r="P133" s="769"/>
    </row>
    <row r="134" spans="1:16" ht="13.8" x14ac:dyDescent="0.25">
      <c r="A134" s="711"/>
      <c r="B134" s="708"/>
      <c r="C134" s="708"/>
      <c r="D134" s="522"/>
      <c r="E134" s="543"/>
      <c r="F134" s="407"/>
      <c r="G134" s="470"/>
      <c r="H134" s="416"/>
      <c r="I134" s="81">
        <v>5</v>
      </c>
      <c r="J134" t="s">
        <v>1120</v>
      </c>
      <c r="K134" s="372"/>
      <c r="L134" s="413"/>
      <c r="M134" s="396"/>
      <c r="N134" s="532"/>
      <c r="O134" s="533"/>
      <c r="P134" s="769"/>
    </row>
    <row r="135" spans="1:16" ht="13.8" x14ac:dyDescent="0.25">
      <c r="A135" s="711"/>
      <c r="B135" s="708"/>
      <c r="C135" s="708"/>
      <c r="D135" s="522"/>
      <c r="E135" s="543"/>
      <c r="F135" s="407"/>
      <c r="G135" s="470"/>
      <c r="H135" s="416"/>
      <c r="I135" s="81">
        <v>6</v>
      </c>
      <c r="J135" t="s">
        <v>1121</v>
      </c>
      <c r="K135" s="372"/>
      <c r="L135" s="413"/>
      <c r="M135" s="396"/>
      <c r="N135" s="532"/>
      <c r="O135" s="533"/>
      <c r="P135" s="769"/>
    </row>
    <row r="136" spans="1:16" ht="13.8" x14ac:dyDescent="0.25">
      <c r="A136" s="711"/>
      <c r="B136" s="708"/>
      <c r="C136" s="708"/>
      <c r="D136" s="522"/>
      <c r="E136" s="543"/>
      <c r="F136" s="407"/>
      <c r="G136" s="470"/>
      <c r="H136" s="416"/>
      <c r="I136" s="81">
        <v>7</v>
      </c>
      <c r="J136" s="81"/>
      <c r="K136" s="372"/>
      <c r="L136" s="413"/>
      <c r="M136" s="396"/>
      <c r="N136" s="532"/>
      <c r="O136" s="533"/>
      <c r="P136" s="769"/>
    </row>
    <row r="137" spans="1:16" ht="111" customHeight="1" thickBot="1" x14ac:dyDescent="0.3">
      <c r="A137" s="712"/>
      <c r="B137" s="713"/>
      <c r="C137" s="713"/>
      <c r="D137" s="523"/>
      <c r="E137" s="544"/>
      <c r="F137" s="408"/>
      <c r="G137" s="471"/>
      <c r="H137" s="480"/>
      <c r="I137" s="200"/>
      <c r="J137" s="200"/>
      <c r="K137" s="373"/>
      <c r="L137" s="414"/>
      <c r="M137" s="398"/>
      <c r="N137" s="532"/>
      <c r="O137" s="533"/>
      <c r="P137" s="769"/>
    </row>
    <row r="138" spans="1:16" ht="13.8" x14ac:dyDescent="0.25">
      <c r="A138" s="710">
        <v>12</v>
      </c>
      <c r="B138" s="707" t="s">
        <v>282</v>
      </c>
      <c r="C138" s="707" t="s">
        <v>283</v>
      </c>
      <c r="D138" s="521" t="str">
        <f>+LEFT(E138,5)</f>
        <v xml:space="preserve">17.7 </v>
      </c>
      <c r="E138" s="542" t="s">
        <v>402</v>
      </c>
      <c r="F138" s="406" t="s">
        <v>403</v>
      </c>
      <c r="G138" s="370" t="s">
        <v>1122</v>
      </c>
      <c r="H138" s="802">
        <v>3</v>
      </c>
      <c r="I138" s="283">
        <v>1</v>
      </c>
      <c r="J138" s="294" t="s">
        <v>1124</v>
      </c>
      <c r="K138" s="370" t="s">
        <v>1123</v>
      </c>
      <c r="L138" s="412">
        <v>3</v>
      </c>
      <c r="M138" s="545" t="str">
        <f>+IF(OR(ISBLANK(H138),ISBLANK(L138)),"",IF(OR(AND(H138=1,L138=1),AND(H138=1,L138=2),AND(H138=1,L138=3)),"Deficiencia de control mayor (diseño y ejecución)",IF(OR(AND(H138=2,L138=2),AND(H138=3,L138=1),AND(H138=3,L138=2),AND(H138=2,L138=1)),"Deficiencia de control (diseño o ejecución)",IF(AND(H138=2,L138=3),"Oportunidad de mejora","Mantenimiento del control"))))</f>
        <v>Mantenimiento del control</v>
      </c>
      <c r="N138" s="532">
        <f>+IF(M138="",312,IF(M138="Deficiencia de control mayor (diseño y ejecución)",320,IF(M138="Deficiencia de control (diseño o ejecución)",340,IF(M138="Oportunidad de mejora",360,380))))</f>
        <v>380</v>
      </c>
      <c r="O138" s="533">
        <v>6.9874499999999999</v>
      </c>
      <c r="P138" s="769">
        <f>+N138+O138</f>
        <v>386.98745000000002</v>
      </c>
    </row>
    <row r="139" spans="1:16" ht="13.8" x14ac:dyDescent="0.25">
      <c r="A139" s="711"/>
      <c r="B139" s="708"/>
      <c r="C139" s="708"/>
      <c r="D139" s="522"/>
      <c r="E139" s="543"/>
      <c r="F139" s="407"/>
      <c r="G139" s="372"/>
      <c r="H139" s="416"/>
      <c r="I139" s="81">
        <v>2</v>
      </c>
      <c r="J139" t="s">
        <v>971</v>
      </c>
      <c r="K139" s="721"/>
      <c r="L139" s="413"/>
      <c r="M139" s="546"/>
      <c r="N139" s="532"/>
      <c r="O139" s="533"/>
      <c r="P139" s="769"/>
    </row>
    <row r="140" spans="1:16" ht="13.8" x14ac:dyDescent="0.25">
      <c r="A140" s="711"/>
      <c r="B140" s="708"/>
      <c r="C140" s="708"/>
      <c r="D140" s="522"/>
      <c r="E140" s="543"/>
      <c r="F140" s="407"/>
      <c r="G140" s="372"/>
      <c r="H140" s="416"/>
      <c r="I140" s="81">
        <v>3</v>
      </c>
      <c r="J140" t="s">
        <v>1125</v>
      </c>
      <c r="K140" s="721"/>
      <c r="L140" s="413"/>
      <c r="M140" s="546"/>
      <c r="N140" s="532"/>
      <c r="O140" s="533"/>
      <c r="P140" s="769"/>
    </row>
    <row r="141" spans="1:16" ht="13.8" x14ac:dyDescent="0.25">
      <c r="A141" s="711"/>
      <c r="B141" s="708"/>
      <c r="C141" s="708"/>
      <c r="D141" s="522"/>
      <c r="E141" s="543"/>
      <c r="F141" s="407"/>
      <c r="G141" s="372"/>
      <c r="H141" s="416"/>
      <c r="I141" s="214">
        <v>4</v>
      </c>
      <c r="J141" t="s">
        <v>1126</v>
      </c>
      <c r="K141" s="770"/>
      <c r="L141" s="413"/>
      <c r="M141" s="546"/>
      <c r="N141" s="532"/>
      <c r="O141" s="533"/>
      <c r="P141" s="769"/>
    </row>
    <row r="142" spans="1:16" ht="11.25" customHeight="1" x14ac:dyDescent="0.25">
      <c r="A142" s="711"/>
      <c r="B142" s="708"/>
      <c r="C142" s="708"/>
      <c r="D142" s="522"/>
      <c r="E142" s="543"/>
      <c r="F142" s="407"/>
      <c r="G142" s="372"/>
      <c r="H142" s="416"/>
      <c r="I142" s="214">
        <v>5</v>
      </c>
      <c r="J142" s="222" t="s">
        <v>207</v>
      </c>
      <c r="K142" s="770"/>
      <c r="L142" s="413"/>
      <c r="M142" s="546"/>
      <c r="N142" s="532"/>
      <c r="O142" s="533"/>
      <c r="P142" s="769"/>
    </row>
    <row r="143" spans="1:16" ht="13.8" hidden="1" x14ac:dyDescent="0.25">
      <c r="A143" s="711"/>
      <c r="B143" s="708"/>
      <c r="C143" s="708"/>
      <c r="D143" s="522"/>
      <c r="E143" s="543"/>
      <c r="F143" s="407"/>
      <c r="G143" s="372"/>
      <c r="H143" s="416"/>
      <c r="I143" s="214">
        <v>6</v>
      </c>
      <c r="J143" s="291" t="s">
        <v>404</v>
      </c>
      <c r="K143" s="770"/>
      <c r="L143" s="413"/>
      <c r="M143" s="546"/>
      <c r="N143" s="532"/>
      <c r="O143" s="533"/>
      <c r="P143" s="769"/>
    </row>
    <row r="144" spans="1:16" ht="7.5" customHeight="1" thickBot="1" x14ac:dyDescent="0.3">
      <c r="A144" s="711"/>
      <c r="B144" s="708"/>
      <c r="C144" s="708"/>
      <c r="D144" s="522"/>
      <c r="E144" s="543"/>
      <c r="F144" s="407"/>
      <c r="G144" s="372"/>
      <c r="H144" s="416"/>
      <c r="I144" s="214">
        <v>7</v>
      </c>
      <c r="J144" s="292" t="s">
        <v>405</v>
      </c>
      <c r="K144" s="770"/>
      <c r="L144" s="413"/>
      <c r="M144" s="546"/>
      <c r="N144" s="532"/>
      <c r="O144" s="533"/>
      <c r="P144" s="769"/>
    </row>
    <row r="145" spans="1:16" ht="27" hidden="1" thickBot="1" x14ac:dyDescent="0.3">
      <c r="A145" s="717"/>
      <c r="B145" s="718"/>
      <c r="C145" s="718"/>
      <c r="D145" s="699"/>
      <c r="E145" s="657"/>
      <c r="F145" s="407"/>
      <c r="G145" s="372"/>
      <c r="H145" s="480"/>
      <c r="I145" s="221">
        <v>8</v>
      </c>
      <c r="J145" s="222" t="s">
        <v>406</v>
      </c>
      <c r="K145" s="770"/>
      <c r="L145" s="575"/>
      <c r="M145" s="546"/>
      <c r="N145" s="532"/>
      <c r="O145" s="533"/>
      <c r="P145" s="769"/>
    </row>
    <row r="146" spans="1:16" ht="27" hidden="1" thickBot="1" x14ac:dyDescent="0.3">
      <c r="A146" s="717"/>
      <c r="B146" s="718"/>
      <c r="C146" s="718"/>
      <c r="D146" s="699"/>
      <c r="E146" s="657"/>
      <c r="F146" s="407"/>
      <c r="G146" s="372"/>
      <c r="H146" s="480"/>
      <c r="I146" s="221">
        <v>9</v>
      </c>
      <c r="J146" s="222" t="s">
        <v>407</v>
      </c>
      <c r="K146" s="770"/>
      <c r="L146" s="575"/>
      <c r="M146" s="546"/>
      <c r="N146" s="532"/>
      <c r="O146" s="533"/>
      <c r="P146" s="769"/>
    </row>
    <row r="147" spans="1:16" ht="27" hidden="1" thickBot="1" x14ac:dyDescent="0.3">
      <c r="A147" s="717"/>
      <c r="B147" s="718"/>
      <c r="C147" s="718"/>
      <c r="D147" s="699"/>
      <c r="E147" s="657"/>
      <c r="F147" s="407"/>
      <c r="G147" s="372"/>
      <c r="H147" s="480"/>
      <c r="I147" s="221">
        <v>10</v>
      </c>
      <c r="J147" s="222" t="s">
        <v>408</v>
      </c>
      <c r="K147" s="770"/>
      <c r="L147" s="575"/>
      <c r="M147" s="546"/>
      <c r="N147" s="532"/>
      <c r="O147" s="533"/>
      <c r="P147" s="769"/>
    </row>
    <row r="148" spans="1:16" ht="14.4" hidden="1" thickBot="1" x14ac:dyDescent="0.3">
      <c r="A148" s="717"/>
      <c r="B148" s="718"/>
      <c r="C148" s="718"/>
      <c r="D148" s="699"/>
      <c r="E148" s="657"/>
      <c r="F148" s="407"/>
      <c r="G148" s="372"/>
      <c r="H148" s="480"/>
      <c r="I148" s="221"/>
      <c r="J148" s="222"/>
      <c r="K148" s="770"/>
      <c r="L148" s="575"/>
      <c r="M148" s="546"/>
      <c r="N148" s="532"/>
      <c r="O148" s="533"/>
      <c r="P148" s="769"/>
    </row>
    <row r="149" spans="1:16" ht="14.4" hidden="1" thickBot="1" x14ac:dyDescent="0.3">
      <c r="A149" s="717"/>
      <c r="B149" s="718"/>
      <c r="C149" s="718"/>
      <c r="D149" s="699"/>
      <c r="E149" s="657"/>
      <c r="F149" s="407"/>
      <c r="G149" s="372"/>
      <c r="H149" s="480"/>
      <c r="I149" s="221"/>
      <c r="J149" s="222"/>
      <c r="K149" s="770"/>
      <c r="L149" s="575"/>
      <c r="M149" s="546"/>
      <c r="N149" s="532"/>
      <c r="O149" s="533"/>
      <c r="P149" s="769"/>
    </row>
    <row r="150" spans="1:16" ht="14.4" hidden="1" thickBot="1" x14ac:dyDescent="0.3">
      <c r="A150" s="717"/>
      <c r="B150" s="718"/>
      <c r="C150" s="718"/>
      <c r="D150" s="699"/>
      <c r="E150" s="657"/>
      <c r="F150" s="407"/>
      <c r="G150" s="372"/>
      <c r="H150" s="480"/>
      <c r="I150" s="221"/>
      <c r="J150" s="222"/>
      <c r="K150" s="770"/>
      <c r="L150" s="575"/>
      <c r="M150" s="546"/>
      <c r="N150" s="532"/>
      <c r="O150" s="533"/>
      <c r="P150" s="769"/>
    </row>
    <row r="151" spans="1:16" ht="14.4" hidden="1" thickBot="1" x14ac:dyDescent="0.3">
      <c r="A151" s="712"/>
      <c r="B151" s="713"/>
      <c r="C151" s="713"/>
      <c r="D151" s="523"/>
      <c r="E151" s="544"/>
      <c r="F151" s="408"/>
      <c r="G151" s="373"/>
      <c r="H151" s="803"/>
      <c r="I151" s="295"/>
      <c r="J151" s="296"/>
      <c r="K151" s="722"/>
      <c r="L151" s="414"/>
      <c r="M151" s="547"/>
      <c r="N151" s="532"/>
      <c r="O151" s="533"/>
      <c r="P151" s="769"/>
    </row>
    <row r="152" spans="1:16" ht="13.8" x14ac:dyDescent="0.25">
      <c r="A152" s="710">
        <v>13</v>
      </c>
      <c r="B152" s="707" t="s">
        <v>282</v>
      </c>
      <c r="C152" s="707" t="s">
        <v>301</v>
      </c>
      <c r="D152" s="521" t="str">
        <f>+LEFT(E152,5)</f>
        <v xml:space="preserve">17.8 </v>
      </c>
      <c r="E152" s="658" t="s">
        <v>409</v>
      </c>
      <c r="F152" s="406" t="s">
        <v>403</v>
      </c>
      <c r="G152" s="370" t="s">
        <v>1127</v>
      </c>
      <c r="H152" s="636">
        <v>3</v>
      </c>
      <c r="I152" s="80">
        <v>1</v>
      </c>
      <c r="J152" t="s">
        <v>1062</v>
      </c>
      <c r="K152" s="370" t="s">
        <v>1128</v>
      </c>
      <c r="L152" s="412">
        <v>3</v>
      </c>
      <c r="M152" s="545" t="str">
        <f>+IF(OR(ISBLANK(H152),ISBLANK(L152)),"",IF(OR(AND(H152=1,L152=1),AND(H152=1,L152=2),AND(H152=1,L152=3)),"Deficiencia de control mayor (diseño y ejecución)",IF(OR(AND(H152=2,L152=2),AND(H152=3,L152=1),AND(H152=3,L152=2),AND(H152=2,L152=1)),"Deficiencia de control (diseño o ejecución)",IF(AND(H152=2,L152=3),"Oportunidad de mejora","Mantenimiento del control"))))</f>
        <v>Mantenimiento del control</v>
      </c>
      <c r="N152" s="532">
        <f>+IF(M152="",312,IF(M152="Deficiencia de control mayor (diseño y ejecución)",320,IF(M152="Deficiencia de control (diseño o ejecución)",340,IF(M152="Oportunidad de mejora",360,380))))</f>
        <v>380</v>
      </c>
      <c r="O152" s="533">
        <v>6.9874559999999999</v>
      </c>
      <c r="P152" s="769">
        <f>+N152+O152</f>
        <v>386.98745600000001</v>
      </c>
    </row>
    <row r="153" spans="1:16" ht="13.8" x14ac:dyDescent="0.25">
      <c r="A153" s="711"/>
      <c r="B153" s="708"/>
      <c r="C153" s="708"/>
      <c r="D153" s="522"/>
      <c r="E153" s="659"/>
      <c r="F153" s="407"/>
      <c r="G153" s="372"/>
      <c r="H153" s="416"/>
      <c r="I153" s="81">
        <v>2</v>
      </c>
      <c r="J153" t="s">
        <v>1061</v>
      </c>
      <c r="K153" s="721"/>
      <c r="L153" s="413"/>
      <c r="M153" s="546"/>
      <c r="N153" s="532"/>
      <c r="O153" s="533"/>
      <c r="P153" s="769"/>
    </row>
    <row r="154" spans="1:16" ht="13.8" x14ac:dyDescent="0.25">
      <c r="A154" s="711"/>
      <c r="B154" s="708"/>
      <c r="C154" s="708"/>
      <c r="D154" s="522"/>
      <c r="E154" s="659"/>
      <c r="F154" s="407"/>
      <c r="G154" s="372"/>
      <c r="H154" s="416"/>
      <c r="I154" s="81">
        <v>3</v>
      </c>
      <c r="J154" t="s">
        <v>949</v>
      </c>
      <c r="K154" s="721"/>
      <c r="L154" s="413"/>
      <c r="M154" s="546"/>
      <c r="N154" s="532"/>
      <c r="O154" s="533"/>
      <c r="P154" s="769"/>
    </row>
    <row r="155" spans="1:16" ht="13.8" x14ac:dyDescent="0.25">
      <c r="A155" s="711"/>
      <c r="B155" s="708"/>
      <c r="C155" s="708"/>
      <c r="D155" s="522"/>
      <c r="E155" s="659"/>
      <c r="F155" s="407"/>
      <c r="G155" s="372"/>
      <c r="H155" s="416"/>
      <c r="I155" s="81">
        <v>4</v>
      </c>
      <c r="J155" t="s">
        <v>1129</v>
      </c>
      <c r="K155" s="721"/>
      <c r="L155" s="413"/>
      <c r="M155" s="546"/>
      <c r="N155" s="532"/>
      <c r="O155" s="533"/>
      <c r="P155" s="769"/>
    </row>
    <row r="156" spans="1:16" ht="13.8" x14ac:dyDescent="0.25">
      <c r="A156" s="711"/>
      <c r="B156" s="708"/>
      <c r="C156" s="708"/>
      <c r="D156" s="522"/>
      <c r="E156" s="659"/>
      <c r="F156" s="407"/>
      <c r="G156" s="372"/>
      <c r="H156" s="416"/>
      <c r="I156" s="81">
        <v>5</v>
      </c>
      <c r="J156" t="s">
        <v>1130</v>
      </c>
      <c r="K156" s="721"/>
      <c r="L156" s="413"/>
      <c r="M156" s="546"/>
      <c r="N156" s="532"/>
      <c r="O156" s="533"/>
      <c r="P156" s="769"/>
    </row>
    <row r="157" spans="1:16" ht="13.8" x14ac:dyDescent="0.25">
      <c r="A157" s="711"/>
      <c r="B157" s="708"/>
      <c r="C157" s="708"/>
      <c r="D157" s="522"/>
      <c r="E157" s="659"/>
      <c r="F157" s="407"/>
      <c r="G157" s="372"/>
      <c r="H157" s="416"/>
      <c r="I157" s="81">
        <v>6</v>
      </c>
      <c r="J157" t="s">
        <v>1131</v>
      </c>
      <c r="K157" s="721"/>
      <c r="L157" s="413"/>
      <c r="M157" s="546"/>
      <c r="N157" s="532"/>
      <c r="O157" s="533"/>
      <c r="P157" s="769"/>
    </row>
    <row r="158" spans="1:16" ht="13.8" x14ac:dyDescent="0.25">
      <c r="A158" s="711"/>
      <c r="B158" s="708"/>
      <c r="C158" s="708"/>
      <c r="D158" s="522"/>
      <c r="E158" s="659"/>
      <c r="F158" s="407"/>
      <c r="G158" s="372"/>
      <c r="H158" s="416"/>
      <c r="I158" s="81">
        <v>7</v>
      </c>
      <c r="J158" t="s">
        <v>1077</v>
      </c>
      <c r="K158" s="721"/>
      <c r="L158" s="413"/>
      <c r="M158" s="546"/>
      <c r="N158" s="532"/>
      <c r="O158" s="533"/>
      <c r="P158" s="769"/>
    </row>
    <row r="159" spans="1:16" ht="14.4" thickBot="1" x14ac:dyDescent="0.3">
      <c r="A159" s="712"/>
      <c r="B159" s="713"/>
      <c r="C159" s="713"/>
      <c r="D159" s="523"/>
      <c r="E159" s="660"/>
      <c r="F159" s="408"/>
      <c r="G159" s="373"/>
      <c r="H159" s="417"/>
      <c r="I159" s="82">
        <v>8</v>
      </c>
      <c r="J159" s="293" t="s">
        <v>1075</v>
      </c>
      <c r="K159" s="722"/>
      <c r="L159" s="414"/>
      <c r="M159" s="547"/>
      <c r="N159" s="532"/>
      <c r="O159" s="533"/>
      <c r="P159" s="769"/>
    </row>
    <row r="160" spans="1:16" ht="13.8" x14ac:dyDescent="0.25">
      <c r="A160" s="710">
        <v>14</v>
      </c>
      <c r="B160" s="707"/>
      <c r="C160" s="707" t="s">
        <v>301</v>
      </c>
      <c r="D160" s="521" t="str">
        <f>+LEFT(E160,5)</f>
        <v xml:space="preserve">17.9 </v>
      </c>
      <c r="E160" s="542" t="s">
        <v>410</v>
      </c>
      <c r="F160" s="406" t="s">
        <v>403</v>
      </c>
      <c r="G160" s="421" t="s">
        <v>1132</v>
      </c>
      <c r="H160" s="415">
        <v>3</v>
      </c>
      <c r="I160" s="83">
        <v>1</v>
      </c>
      <c r="J160" t="s">
        <v>1061</v>
      </c>
      <c r="K160" s="370" t="s">
        <v>1133</v>
      </c>
      <c r="L160" s="412">
        <v>3</v>
      </c>
      <c r="M160" s="513" t="str">
        <f>+IF(OR(ISBLANK(H160),ISBLANK(L160)),"",IF(OR(AND(H160=1,L160=1),AND(H160=1,L160=2),AND(H160=1,L160=3)),"Deficiencia de control mayor (diseño y ejecución)",IF(OR(AND(H160=2,L160=2),AND(H160=3,L160=1),AND(H160=3,L160=2),AND(H160=2,L160=1)),"Deficiencia de control (diseño o ejecución)",IF(AND(H160=2,L160=3),"Oportunidad de mejora","Mantenimiento del control"))))</f>
        <v>Mantenimiento del control</v>
      </c>
      <c r="N160" s="532">
        <f>+IF(M160="",312,IF(M160="Deficiencia de control mayor (diseño y ejecución)",320,IF(M160="Deficiencia de control (diseño o ejecución)",340,IF(M160="Oportunidad de mejora",360,380))))</f>
        <v>380</v>
      </c>
      <c r="O160" s="533">
        <v>7.0122999999999998</v>
      </c>
      <c r="P160" s="769">
        <f>+N160+O160</f>
        <v>387.01229999999998</v>
      </c>
    </row>
    <row r="161" spans="1:16" ht="13.8" x14ac:dyDescent="0.25">
      <c r="A161" s="711"/>
      <c r="B161" s="708"/>
      <c r="C161" s="708"/>
      <c r="D161" s="522"/>
      <c r="E161" s="543"/>
      <c r="F161" s="407"/>
      <c r="G161" s="422"/>
      <c r="H161" s="416"/>
      <c r="I161" s="81">
        <v>2</v>
      </c>
      <c r="J161" t="s">
        <v>1062</v>
      </c>
      <c r="K161" s="721"/>
      <c r="L161" s="413"/>
      <c r="M161" s="396"/>
      <c r="N161" s="532"/>
      <c r="O161" s="533"/>
      <c r="P161" s="769"/>
    </row>
    <row r="162" spans="1:16" ht="13.8" x14ac:dyDescent="0.25">
      <c r="A162" s="711"/>
      <c r="B162" s="708"/>
      <c r="C162" s="708"/>
      <c r="D162" s="522"/>
      <c r="E162" s="543"/>
      <c r="F162" s="407"/>
      <c r="G162" s="422"/>
      <c r="H162" s="416"/>
      <c r="I162" s="81">
        <v>3</v>
      </c>
      <c r="J162" t="s">
        <v>818</v>
      </c>
      <c r="K162" s="721"/>
      <c r="L162" s="413"/>
      <c r="M162" s="396"/>
      <c r="N162" s="532"/>
      <c r="O162" s="533"/>
      <c r="P162" s="769"/>
    </row>
    <row r="163" spans="1:16" ht="13.8" x14ac:dyDescent="0.25">
      <c r="A163" s="711"/>
      <c r="B163" s="708"/>
      <c r="C163" s="708"/>
      <c r="D163" s="522"/>
      <c r="E163" s="543"/>
      <c r="F163" s="407"/>
      <c r="G163" s="422"/>
      <c r="H163" s="416"/>
      <c r="I163" s="214">
        <v>4</v>
      </c>
      <c r="J163" t="s">
        <v>1134</v>
      </c>
      <c r="K163" s="770"/>
      <c r="L163" s="413"/>
      <c r="M163" s="396"/>
      <c r="N163" s="532"/>
      <c r="O163" s="533"/>
      <c r="P163" s="769"/>
    </row>
    <row r="164" spans="1:16" ht="13.8" x14ac:dyDescent="0.25">
      <c r="A164" s="711"/>
      <c r="B164" s="708"/>
      <c r="C164" s="708"/>
      <c r="D164" s="522"/>
      <c r="E164" s="543"/>
      <c r="F164" s="407"/>
      <c r="G164" s="422"/>
      <c r="H164" s="416"/>
      <c r="I164" s="214">
        <v>5</v>
      </c>
      <c r="J164" t="s">
        <v>1056</v>
      </c>
      <c r="K164" s="770"/>
      <c r="L164" s="413"/>
      <c r="M164" s="396"/>
      <c r="N164" s="532"/>
      <c r="O164" s="533"/>
      <c r="P164" s="769"/>
    </row>
    <row r="165" spans="1:16" ht="13.8" x14ac:dyDescent="0.25">
      <c r="A165" s="711"/>
      <c r="B165" s="708"/>
      <c r="C165" s="708"/>
      <c r="D165" s="522"/>
      <c r="E165" s="543"/>
      <c r="F165" s="407"/>
      <c r="G165" s="422"/>
      <c r="H165" s="416"/>
      <c r="I165" s="214">
        <v>6</v>
      </c>
      <c r="J165" t="s">
        <v>1083</v>
      </c>
      <c r="K165" s="770"/>
      <c r="L165" s="413"/>
      <c r="M165" s="396"/>
      <c r="N165" s="532"/>
      <c r="O165" s="533"/>
      <c r="P165" s="769"/>
    </row>
    <row r="166" spans="1:16" ht="22.5" customHeight="1" x14ac:dyDescent="0.25">
      <c r="A166" s="711"/>
      <c r="B166" s="708"/>
      <c r="C166" s="708"/>
      <c r="D166" s="522"/>
      <c r="E166" s="543"/>
      <c r="F166" s="407"/>
      <c r="G166" s="422"/>
      <c r="H166" s="416"/>
      <c r="I166" s="214">
        <v>7</v>
      </c>
      <c r="J166" t="s">
        <v>1075</v>
      </c>
      <c r="K166" s="770"/>
      <c r="L166" s="413"/>
      <c r="M166" s="396"/>
      <c r="N166" s="532"/>
      <c r="O166" s="533"/>
      <c r="P166" s="769"/>
    </row>
    <row r="167" spans="1:16" ht="22.5" customHeight="1" x14ac:dyDescent="0.25">
      <c r="A167" s="717"/>
      <c r="B167" s="718"/>
      <c r="C167" s="718"/>
      <c r="D167" s="699"/>
      <c r="E167" s="657"/>
      <c r="F167" s="407"/>
      <c r="G167" s="479"/>
      <c r="H167" s="480"/>
      <c r="I167" s="221">
        <v>8</v>
      </c>
      <c r="J167" s="228"/>
      <c r="K167" s="770"/>
      <c r="L167" s="575"/>
      <c r="M167" s="397"/>
      <c r="N167" s="532"/>
      <c r="O167" s="533"/>
      <c r="P167" s="769"/>
    </row>
    <row r="168" spans="1:16" ht="22.5" customHeight="1" x14ac:dyDescent="0.25">
      <c r="A168" s="717"/>
      <c r="B168" s="718"/>
      <c r="C168" s="718"/>
      <c r="D168" s="699"/>
      <c r="E168" s="657"/>
      <c r="F168" s="407"/>
      <c r="G168" s="479"/>
      <c r="H168" s="480"/>
      <c r="I168" s="221">
        <v>9</v>
      </c>
      <c r="J168" s="222"/>
      <c r="K168" s="770"/>
      <c r="L168" s="575"/>
      <c r="M168" s="397"/>
      <c r="N168" s="532"/>
      <c r="O168" s="533"/>
      <c r="P168" s="769"/>
    </row>
    <row r="169" spans="1:16" ht="22.5" customHeight="1" x14ac:dyDescent="0.25">
      <c r="A169" s="717"/>
      <c r="B169" s="718"/>
      <c r="C169" s="718"/>
      <c r="D169" s="699"/>
      <c r="E169" s="657"/>
      <c r="F169" s="407"/>
      <c r="G169" s="479"/>
      <c r="H169" s="480"/>
      <c r="I169" s="221">
        <v>10</v>
      </c>
      <c r="J169" s="228"/>
      <c r="K169" s="770"/>
      <c r="L169" s="575"/>
      <c r="M169" s="397"/>
      <c r="N169" s="532"/>
      <c r="O169" s="533"/>
      <c r="P169" s="769"/>
    </row>
    <row r="170" spans="1:16" ht="22.5" customHeight="1" x14ac:dyDescent="0.25">
      <c r="A170" s="717"/>
      <c r="B170" s="718"/>
      <c r="C170" s="718"/>
      <c r="D170" s="699"/>
      <c r="E170" s="657"/>
      <c r="F170" s="407"/>
      <c r="G170" s="479"/>
      <c r="H170" s="480"/>
      <c r="I170" s="221"/>
      <c r="J170" s="222"/>
      <c r="K170" s="770"/>
      <c r="L170" s="575"/>
      <c r="M170" s="397"/>
      <c r="N170" s="532"/>
      <c r="O170" s="533"/>
      <c r="P170" s="769"/>
    </row>
    <row r="171" spans="1:16" ht="22.5" customHeight="1" x14ac:dyDescent="0.25">
      <c r="A171" s="717"/>
      <c r="B171" s="718"/>
      <c r="C171" s="718"/>
      <c r="D171" s="699"/>
      <c r="E171" s="657"/>
      <c r="F171" s="407"/>
      <c r="G171" s="479"/>
      <c r="H171" s="480"/>
      <c r="I171" s="221"/>
      <c r="J171" s="222"/>
      <c r="K171" s="770"/>
      <c r="L171" s="575"/>
      <c r="M171" s="397"/>
      <c r="N171" s="532"/>
      <c r="O171" s="533"/>
      <c r="P171" s="769"/>
    </row>
    <row r="172" spans="1:16" ht="14.4" thickBot="1" x14ac:dyDescent="0.3">
      <c r="A172" s="712"/>
      <c r="B172" s="713"/>
      <c r="C172" s="713"/>
      <c r="D172" s="523"/>
      <c r="E172" s="544"/>
      <c r="F172" s="408"/>
      <c r="G172" s="423"/>
      <c r="H172" s="417"/>
      <c r="I172" s="82"/>
      <c r="J172" s="213"/>
      <c r="K172" s="722"/>
      <c r="L172" s="414"/>
      <c r="M172" s="398"/>
      <c r="N172" s="532"/>
      <c r="O172" s="533"/>
      <c r="P172" s="769"/>
    </row>
  </sheetData>
  <mergeCells count="229">
    <mergeCell ref="A138:A151"/>
    <mergeCell ref="B138:B151"/>
    <mergeCell ref="C138:C151"/>
    <mergeCell ref="A152:A159"/>
    <mergeCell ref="B152:B159"/>
    <mergeCell ref="C152:C159"/>
    <mergeCell ref="A160:A172"/>
    <mergeCell ref="B160:B172"/>
    <mergeCell ref="C160:C172"/>
    <mergeCell ref="A92:A99"/>
    <mergeCell ref="B92:B99"/>
    <mergeCell ref="C92:C99"/>
    <mergeCell ref="A100:A129"/>
    <mergeCell ref="B100:B129"/>
    <mergeCell ref="C100:C129"/>
    <mergeCell ref="A130:A137"/>
    <mergeCell ref="B130:B137"/>
    <mergeCell ref="C130:C137"/>
    <mergeCell ref="A65:A72"/>
    <mergeCell ref="B65:B72"/>
    <mergeCell ref="C65:C72"/>
    <mergeCell ref="A73:A83"/>
    <mergeCell ref="B73:B83"/>
    <mergeCell ref="C73:C83"/>
    <mergeCell ref="A84:A91"/>
    <mergeCell ref="B84:B91"/>
    <mergeCell ref="C84:C91"/>
    <mergeCell ref="A44:A52"/>
    <mergeCell ref="B44:B52"/>
    <mergeCell ref="C44:C52"/>
    <mergeCell ref="A53:A61"/>
    <mergeCell ref="B53:B61"/>
    <mergeCell ref="C53:C61"/>
    <mergeCell ref="A62:A64"/>
    <mergeCell ref="B62:B64"/>
    <mergeCell ref="C62:C64"/>
    <mergeCell ref="A20:A27"/>
    <mergeCell ref="B20:B27"/>
    <mergeCell ref="C20:C27"/>
    <mergeCell ref="A28:A35"/>
    <mergeCell ref="B28:B35"/>
    <mergeCell ref="C28:C35"/>
    <mergeCell ref="A36:A43"/>
    <mergeCell ref="B36:B43"/>
    <mergeCell ref="C36:C43"/>
    <mergeCell ref="F152:F159"/>
    <mergeCell ref="G152:G159"/>
    <mergeCell ref="H152:H159"/>
    <mergeCell ref="K152:K159"/>
    <mergeCell ref="L152:L159"/>
    <mergeCell ref="M152:M159"/>
    <mergeCell ref="E152:E159"/>
    <mergeCell ref="E138:E151"/>
    <mergeCell ref="F138:F151"/>
    <mergeCell ref="G138:G151"/>
    <mergeCell ref="H138:H151"/>
    <mergeCell ref="L138:L151"/>
    <mergeCell ref="M138:M151"/>
    <mergeCell ref="K138:K151"/>
    <mergeCell ref="D92:D99"/>
    <mergeCell ref="D100:D129"/>
    <mergeCell ref="D130:D137"/>
    <mergeCell ref="D160:D172"/>
    <mergeCell ref="D53:D61"/>
    <mergeCell ref="D62:D64"/>
    <mergeCell ref="D65:D72"/>
    <mergeCell ref="D73:D83"/>
    <mergeCell ref="D84:D91"/>
    <mergeCell ref="D138:D151"/>
    <mergeCell ref="D152:D159"/>
    <mergeCell ref="D17:D19"/>
    <mergeCell ref="D20:D27"/>
    <mergeCell ref="D28:D35"/>
    <mergeCell ref="D36:D43"/>
    <mergeCell ref="D44:D52"/>
    <mergeCell ref="M160:M172"/>
    <mergeCell ref="M73:M83"/>
    <mergeCell ref="M84:M91"/>
    <mergeCell ref="M92:M99"/>
    <mergeCell ref="M100:M129"/>
    <mergeCell ref="M130:M137"/>
    <mergeCell ref="M36:M43"/>
    <mergeCell ref="M44:M52"/>
    <mergeCell ref="M53:M61"/>
    <mergeCell ref="M62:M64"/>
    <mergeCell ref="M65:M72"/>
    <mergeCell ref="M17:M19"/>
    <mergeCell ref="E160:E172"/>
    <mergeCell ref="F160:F172"/>
    <mergeCell ref="G160:G172"/>
    <mergeCell ref="H160:H172"/>
    <mergeCell ref="L160:L172"/>
    <mergeCell ref="L73:L83"/>
    <mergeCell ref="E44:E52"/>
    <mergeCell ref="E14:M14"/>
    <mergeCell ref="E15:M15"/>
    <mergeCell ref="M20:M27"/>
    <mergeCell ref="M28:M35"/>
    <mergeCell ref="F17:F19"/>
    <mergeCell ref="E20:E27"/>
    <mergeCell ref="G20:G27"/>
    <mergeCell ref="H20:H27"/>
    <mergeCell ref="I18:I19"/>
    <mergeCell ref="E17:E19"/>
    <mergeCell ref="H17:H19"/>
    <mergeCell ref="I17:K17"/>
    <mergeCell ref="K18:K19"/>
    <mergeCell ref="G17:G19"/>
    <mergeCell ref="L17:L19"/>
    <mergeCell ref="E28:E35"/>
    <mergeCell ref="F28:F35"/>
    <mergeCell ref="G28:G35"/>
    <mergeCell ref="H28:H35"/>
    <mergeCell ref="L28:L35"/>
    <mergeCell ref="F20:F27"/>
    <mergeCell ref="L20:L27"/>
    <mergeCell ref="J18:J19"/>
    <mergeCell ref="K20:K27"/>
    <mergeCell ref="G44:G52"/>
    <mergeCell ref="H44:H52"/>
    <mergeCell ref="L44:L52"/>
    <mergeCell ref="K63:K64"/>
    <mergeCell ref="I62:K62"/>
    <mergeCell ref="I63:I64"/>
    <mergeCell ref="H53:H61"/>
    <mergeCell ref="F62:F64"/>
    <mergeCell ref="J63:J64"/>
    <mergeCell ref="F130:F137"/>
    <mergeCell ref="L100:L129"/>
    <mergeCell ref="L130:L137"/>
    <mergeCell ref="F100:F129"/>
    <mergeCell ref="E130:E137"/>
    <mergeCell ref="G130:G137"/>
    <mergeCell ref="H130:H137"/>
    <mergeCell ref="E100:E129"/>
    <mergeCell ref="G100:G129"/>
    <mergeCell ref="H100:H129"/>
    <mergeCell ref="K130:K137"/>
    <mergeCell ref="L84:L91"/>
    <mergeCell ref="L92:L99"/>
    <mergeCell ref="E84:E91"/>
    <mergeCell ref="G84:G91"/>
    <mergeCell ref="H84:H91"/>
    <mergeCell ref="F84:F91"/>
    <mergeCell ref="F92:F99"/>
    <mergeCell ref="E92:E99"/>
    <mergeCell ref="G92:G99"/>
    <mergeCell ref="H92:H99"/>
    <mergeCell ref="N73:N83"/>
    <mergeCell ref="E36:E43"/>
    <mergeCell ref="G36:G43"/>
    <mergeCell ref="H36:H43"/>
    <mergeCell ref="E73:E83"/>
    <mergeCell ref="G73:G83"/>
    <mergeCell ref="H73:H83"/>
    <mergeCell ref="E65:E72"/>
    <mergeCell ref="G65:G72"/>
    <mergeCell ref="H65:H72"/>
    <mergeCell ref="E53:E61"/>
    <mergeCell ref="G53:G61"/>
    <mergeCell ref="F73:F83"/>
    <mergeCell ref="F53:F61"/>
    <mergeCell ref="F65:F72"/>
    <mergeCell ref="E62:E64"/>
    <mergeCell ref="L65:L72"/>
    <mergeCell ref="L53:L61"/>
    <mergeCell ref="L62:L64"/>
    <mergeCell ref="F36:F43"/>
    <mergeCell ref="L36:L43"/>
    <mergeCell ref="H62:H64"/>
    <mergeCell ref="G62:G64"/>
    <mergeCell ref="F44:F52"/>
    <mergeCell ref="N130:N137"/>
    <mergeCell ref="N160:N172"/>
    <mergeCell ref="O17:O19"/>
    <mergeCell ref="O20:O27"/>
    <mergeCell ref="O28:O35"/>
    <mergeCell ref="O36:O43"/>
    <mergeCell ref="O44:O52"/>
    <mergeCell ref="O53:O61"/>
    <mergeCell ref="O62:O64"/>
    <mergeCell ref="O65:O72"/>
    <mergeCell ref="O73:O83"/>
    <mergeCell ref="O84:O91"/>
    <mergeCell ref="O92:O99"/>
    <mergeCell ref="O100:O129"/>
    <mergeCell ref="O130:O137"/>
    <mergeCell ref="O160:O172"/>
    <mergeCell ref="N17:N19"/>
    <mergeCell ref="N20:N27"/>
    <mergeCell ref="N28:N35"/>
    <mergeCell ref="N36:N43"/>
    <mergeCell ref="N44:N52"/>
    <mergeCell ref="N53:N61"/>
    <mergeCell ref="N62:N64"/>
    <mergeCell ref="N65:N72"/>
    <mergeCell ref="P17:P19"/>
    <mergeCell ref="P20:P27"/>
    <mergeCell ref="P28:P35"/>
    <mergeCell ref="P36:P43"/>
    <mergeCell ref="P44:P52"/>
    <mergeCell ref="P53:P61"/>
    <mergeCell ref="P62:P64"/>
    <mergeCell ref="P65:P72"/>
    <mergeCell ref="P73:P83"/>
    <mergeCell ref="N138:N151"/>
    <mergeCell ref="N152:N159"/>
    <mergeCell ref="O138:O151"/>
    <mergeCell ref="O152:O159"/>
    <mergeCell ref="P138:P151"/>
    <mergeCell ref="P152:P159"/>
    <mergeCell ref="K160:K172"/>
    <mergeCell ref="K28:K35"/>
    <mergeCell ref="K36:K43"/>
    <mergeCell ref="K44:K52"/>
    <mergeCell ref="K53:K61"/>
    <mergeCell ref="K65:K72"/>
    <mergeCell ref="K73:K83"/>
    <mergeCell ref="K84:K91"/>
    <mergeCell ref="K92:K99"/>
    <mergeCell ref="K100:K129"/>
    <mergeCell ref="P84:P91"/>
    <mergeCell ref="P92:P99"/>
    <mergeCell ref="P100:P129"/>
    <mergeCell ref="P130:P137"/>
    <mergeCell ref="P160:P172"/>
    <mergeCell ref="N84:N91"/>
    <mergeCell ref="N92:N99"/>
    <mergeCell ref="N100:N129"/>
  </mergeCells>
  <dataValidations count="1">
    <dataValidation type="list" allowBlank="1" showInputMessage="1" showErrorMessage="1" sqref="L20:L61 H20:H61 H65:H172 L65:L172" xr:uid="{00000000-0002-0000-0600-000000000000}">
      <formula1>"1,2,3"</formula1>
    </dataValidation>
  </dataValidations>
  <hyperlinks>
    <hyperlink ref="J28" r:id="rId1" xr:uid="{8D80B921-7B50-4EA6-904C-C72A03E1152A}"/>
    <hyperlink ref="J33" r:id="rId2" xr:uid="{F98705AE-D844-4969-88C1-6DD2D0AE90D3}"/>
    <hyperlink ref="J109" r:id="rId3" xr:uid="{1B82EAFA-A623-4F04-B9C0-B50561E9E103}"/>
    <hyperlink ref="J143" r:id="rId4" display="https://uaespdc.sharepoint.com/:f:/s/oficinadecontrolinterno/Eh-AtMUjh_pEtztDXk6eNHEBNSOMQQZ_WnCrmTUh1KofjA?e=UAiwgV" xr:uid="{36028BCF-7875-43A4-8681-DA9B465C949E}"/>
    <hyperlink ref="J34" r:id="rId5" xr:uid="{DB68769E-3661-4432-8E3D-EA30DD77311F}"/>
    <hyperlink ref="J107" r:id="rId6" xr:uid="{FCE772A6-2AF6-450C-8B62-234DE0A5BEB8}"/>
    <hyperlink ref="J108" r:id="rId7" xr:uid="{0979F0D4-D9E7-4FA7-8071-1576B78DD329}"/>
    <hyperlink ref="J73" r:id="rId8" xr:uid="{A4074C06-069D-4377-8EF9-51A2C2516F98}"/>
  </hyperlinks>
  <pageMargins left="0.7" right="0.7" top="0.75" bottom="0.75" header="0.3" footer="0.3"/>
  <pageSetup orientation="portrait" r:id="rId9"/>
  <drawing r:id="rId10"/>
  <extLst>
    <ext xmlns:x14="http://schemas.microsoft.com/office/spreadsheetml/2009/9/main" uri="{CCE6A557-97BC-4b89-ADB6-D9C93CAAB3DF}">
      <x14:dataValidations xmlns:xm="http://schemas.microsoft.com/office/excel/2006/main" count="3">
        <x14:dataValidation type="list" allowBlank="1" showInputMessage="1" showErrorMessage="1" xr:uid="{377CEC77-94AA-4D6A-BBD6-6EF574BA6254}">
          <x14:formula1>
            <xm:f>Datos!$A$1:$A$16</xm:f>
          </x14:formula1>
          <xm:sqref>C20:C61 C65:C172</xm:sqref>
        </x14:dataValidation>
        <x14:dataValidation type="list" allowBlank="1" showInputMessage="1" showErrorMessage="1" xr:uid="{31CE3FEE-C013-4D8F-8875-96666CF1EBC2}">
          <x14:formula1>
            <xm:f>Datos!$B$1:$B$2</xm:f>
          </x14:formula1>
          <xm:sqref>B20:B61 B65:B99 B130:B172</xm:sqref>
        </x14:dataValidation>
        <x14:dataValidation type="list" allowBlank="1" showInputMessage="1" showErrorMessage="1" xr:uid="{5D4F258E-0670-439F-A132-CD2922439B33}">
          <x14:formula1>
            <xm:f>Datos!$B$1:$B$3</xm:f>
          </x14:formula1>
          <xm:sqref>B100:B129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4:S164"/>
  <sheetViews>
    <sheetView zoomScale="30" zoomScaleNormal="30" workbookViewId="0">
      <selection activeCell="L39" sqref="L39:L58"/>
    </sheetView>
  </sheetViews>
  <sheetFormatPr baseColWidth="10" defaultColWidth="11.44140625" defaultRowHeight="13.8" x14ac:dyDescent="0.3"/>
  <cols>
    <col min="1" max="1" width="2.44140625" style="26" customWidth="1"/>
    <col min="2" max="2" width="25.109375" style="26" customWidth="1"/>
    <col min="3" max="3" width="24.109375" style="26" customWidth="1"/>
    <col min="4" max="4" width="24.33203125" style="26" customWidth="1"/>
    <col min="5" max="5" width="34.88671875" style="26" customWidth="1"/>
    <col min="6" max="6" width="37.33203125" style="26" customWidth="1"/>
    <col min="7" max="7" width="22.88671875" style="26" customWidth="1"/>
    <col min="8" max="8" width="31.109375" style="26" customWidth="1"/>
    <col min="9" max="9" width="44.44140625" style="26" customWidth="1"/>
    <col min="10" max="10" width="2" style="51" customWidth="1"/>
    <col min="11" max="11" width="26.44140625" style="26" customWidth="1"/>
    <col min="12" max="12" width="28.6640625" style="26" customWidth="1"/>
    <col min="13" max="13" width="28.44140625" style="26" customWidth="1"/>
    <col min="14" max="14" width="50" style="26" customWidth="1"/>
    <col min="15" max="15" width="32.44140625" style="26" customWidth="1"/>
    <col min="16" max="16" width="28.44140625" style="26" customWidth="1"/>
    <col min="17" max="17" width="23.33203125" style="26" customWidth="1"/>
    <col min="18" max="18" width="22.109375" style="26" customWidth="1"/>
    <col min="19" max="19" width="18.33203125" style="26" customWidth="1"/>
    <col min="20" max="16384" width="11.44140625" style="26"/>
  </cols>
  <sheetData>
    <row r="4" spans="2:19" s="24" customFormat="1" ht="27.75" customHeight="1" thickBot="1" x14ac:dyDescent="0.3">
      <c r="B4" s="835" t="s">
        <v>411</v>
      </c>
      <c r="C4" s="836"/>
      <c r="D4" s="836"/>
      <c r="E4" s="836"/>
      <c r="F4" s="836"/>
      <c r="G4" s="836"/>
      <c r="H4" s="836"/>
      <c r="I4" s="836"/>
      <c r="J4" s="836"/>
      <c r="K4" s="836"/>
      <c r="L4" s="837"/>
    </row>
    <row r="5" spans="2:19" s="24" customFormat="1" ht="12.9" customHeight="1" thickBot="1" x14ac:dyDescent="0.3">
      <c r="B5" s="23"/>
      <c r="C5" s="23"/>
      <c r="J5" s="49"/>
    </row>
    <row r="6" spans="2:19" s="24" customFormat="1" ht="36.6" customHeight="1" thickBot="1" x14ac:dyDescent="0.3">
      <c r="B6" s="838" t="s">
        <v>22</v>
      </c>
      <c r="C6" s="839"/>
      <c r="D6" s="839" t="s">
        <v>5</v>
      </c>
      <c r="E6" s="839"/>
      <c r="F6" s="839" t="s">
        <v>23</v>
      </c>
      <c r="G6" s="843"/>
      <c r="H6" s="104"/>
      <c r="I6" s="104"/>
      <c r="J6" s="49"/>
    </row>
    <row r="7" spans="2:19" s="24" customFormat="1" ht="75.75" customHeight="1" x14ac:dyDescent="0.25">
      <c r="B7" s="840" t="s">
        <v>24</v>
      </c>
      <c r="C7" s="841"/>
      <c r="D7" s="842" t="s">
        <v>25</v>
      </c>
      <c r="E7" s="842"/>
      <c r="F7" s="842" t="s">
        <v>26</v>
      </c>
      <c r="G7" s="844"/>
      <c r="H7" s="105"/>
      <c r="I7" s="106">
        <v>1</v>
      </c>
      <c r="J7" s="49"/>
    </row>
    <row r="8" spans="2:19" s="24" customFormat="1" ht="57" customHeight="1" x14ac:dyDescent="0.25">
      <c r="B8" s="833" t="s">
        <v>27</v>
      </c>
      <c r="C8" s="834"/>
      <c r="D8" s="812" t="s">
        <v>28</v>
      </c>
      <c r="E8" s="812"/>
      <c r="F8" s="812" t="s">
        <v>412</v>
      </c>
      <c r="G8" s="823"/>
      <c r="H8" s="107" t="s">
        <v>413</v>
      </c>
      <c r="I8" s="106">
        <v>0.75</v>
      </c>
      <c r="J8" s="49"/>
    </row>
    <row r="9" spans="2:19" s="24" customFormat="1" ht="71.25" customHeight="1" x14ac:dyDescent="0.25">
      <c r="B9" s="818" t="s">
        <v>30</v>
      </c>
      <c r="C9" s="819"/>
      <c r="D9" s="812" t="s">
        <v>414</v>
      </c>
      <c r="E9" s="812"/>
      <c r="F9" s="812" t="s">
        <v>32</v>
      </c>
      <c r="G9" s="823"/>
      <c r="H9" s="108"/>
      <c r="I9" s="106">
        <v>0.5</v>
      </c>
      <c r="J9" s="49"/>
    </row>
    <row r="10" spans="2:19" s="24" customFormat="1" ht="97.5" customHeight="1" thickBot="1" x14ac:dyDescent="0.3">
      <c r="B10" s="813" t="s">
        <v>33</v>
      </c>
      <c r="C10" s="814"/>
      <c r="D10" s="815" t="s">
        <v>415</v>
      </c>
      <c r="E10" s="815"/>
      <c r="F10" s="815" t="s">
        <v>35</v>
      </c>
      <c r="G10" s="822"/>
      <c r="H10" s="108"/>
      <c r="I10" s="106">
        <v>0.25</v>
      </c>
      <c r="J10" s="49"/>
    </row>
    <row r="11" spans="2:19" s="24" customFormat="1" ht="26.25" customHeight="1" x14ac:dyDescent="0.25">
      <c r="B11" s="824" t="s">
        <v>416</v>
      </c>
      <c r="C11" s="824"/>
      <c r="D11" s="824"/>
      <c r="E11" s="824"/>
      <c r="F11" s="824"/>
      <c r="G11" s="824"/>
      <c r="H11" s="824"/>
      <c r="I11" s="824"/>
      <c r="J11" s="50"/>
      <c r="K11" s="25"/>
      <c r="L11" s="25"/>
      <c r="M11" s="25"/>
      <c r="N11" s="25"/>
    </row>
    <row r="12" spans="2:19" s="24" customFormat="1" ht="38.25" customHeight="1" thickBot="1" x14ac:dyDescent="0.3">
      <c r="B12" s="23"/>
      <c r="C12" s="23"/>
      <c r="J12" s="49"/>
    </row>
    <row r="13" spans="2:19" s="24" customFormat="1" ht="42.75" customHeight="1" x14ac:dyDescent="0.25">
      <c r="B13" s="825" t="s">
        <v>417</v>
      </c>
      <c r="C13" s="827" t="s">
        <v>418</v>
      </c>
      <c r="D13" s="828"/>
      <c r="E13" s="828"/>
      <c r="F13" s="829"/>
      <c r="G13" s="830" t="s">
        <v>419</v>
      </c>
      <c r="H13" s="820" t="s">
        <v>420</v>
      </c>
      <c r="I13" s="831" t="s">
        <v>421</v>
      </c>
      <c r="J13" s="49"/>
      <c r="K13" s="816" t="s">
        <v>422</v>
      </c>
      <c r="L13" s="816" t="s">
        <v>423</v>
      </c>
      <c r="M13" s="851" t="s">
        <v>424</v>
      </c>
      <c r="N13" s="848" t="s">
        <v>425</v>
      </c>
      <c r="O13" s="849"/>
      <c r="P13" s="849"/>
      <c r="Q13" s="849"/>
      <c r="R13" s="849"/>
      <c r="S13" s="850"/>
    </row>
    <row r="14" spans="2:19" s="24" customFormat="1" ht="48.75" customHeight="1" thickBot="1" x14ac:dyDescent="0.3">
      <c r="B14" s="826"/>
      <c r="C14" s="100" t="s">
        <v>426</v>
      </c>
      <c r="D14" s="100" t="s">
        <v>50</v>
      </c>
      <c r="E14" s="100" t="s">
        <v>427</v>
      </c>
      <c r="F14" s="101" t="s">
        <v>428</v>
      </c>
      <c r="G14" s="821"/>
      <c r="H14" s="821"/>
      <c r="I14" s="832"/>
      <c r="J14" s="49"/>
      <c r="K14" s="817"/>
      <c r="L14" s="817"/>
      <c r="M14" s="852"/>
      <c r="N14" s="102" t="s">
        <v>429</v>
      </c>
      <c r="O14" s="102" t="s">
        <v>430</v>
      </c>
      <c r="P14" s="102" t="s">
        <v>431</v>
      </c>
      <c r="Q14" s="102" t="s">
        <v>432</v>
      </c>
      <c r="R14" s="102" t="s">
        <v>433</v>
      </c>
      <c r="S14" s="103" t="s">
        <v>434</v>
      </c>
    </row>
    <row r="15" spans="2:19" s="24" customFormat="1" ht="99.75" customHeight="1" thickBot="1" x14ac:dyDescent="0.3">
      <c r="B15" s="87">
        <v>1</v>
      </c>
      <c r="C15" s="88" t="s">
        <v>435</v>
      </c>
      <c r="D15" s="89" t="s">
        <v>436</v>
      </c>
      <c r="E15" s="89" t="s">
        <v>437</v>
      </c>
      <c r="F15" s="89" t="s">
        <v>438</v>
      </c>
      <c r="G15" s="90">
        <f>+IFERROR(VLOOKUP(C15,Hoja1!$A$1:$K$82,11,0),"")</f>
        <v>3</v>
      </c>
      <c r="H15" s="248">
        <f>+IFERROR(VLOOKUP(C15,Hoja1!$A$1:$L$82,12,0),"")</f>
        <v>3</v>
      </c>
      <c r="I15" s="86" t="str">
        <f t="shared" ref="I15" si="0">+IF(OR(AND(G15=1,H15=1),AND(G15=1,H15=2),AND(G15=1,H15=3),G15="",H15=""),"No se encuentra presente  por lo tanto no esta funcionando, lo que hace que se requieran acciones dirigidas a fortalecer su diseño y puesta en marcha",IF(OR(AND(G15=2,H15=2),AND(G15=3,H15=1),AND(G15=3,H15=2),AND(G15=2,H15=1)),"Se encuentra presente y funcionando, pero requiere acciones dirigidas a fortalecer  o mejorar su diseño y/o ejecucion.",IF(AND(G15=2,H15=3),"Se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15" s="49">
        <v>2</v>
      </c>
      <c r="K15" s="84">
        <f>+VLOOKUP(C15,Hoja1!$A$1:$M$82,13,0)</f>
        <v>1</v>
      </c>
      <c r="L15" s="853">
        <f>+AVERAGE(K15:K38)</f>
        <v>0.97916666666666663</v>
      </c>
      <c r="M15" s="65"/>
      <c r="N15" s="66"/>
      <c r="O15" s="66"/>
      <c r="P15" s="66"/>
      <c r="Q15" s="66"/>
      <c r="R15" s="66"/>
      <c r="S15" s="66"/>
    </row>
    <row r="16" spans="2:19" s="24" customFormat="1" ht="99.75" customHeight="1" thickBot="1" x14ac:dyDescent="0.3">
      <c r="B16" s="91">
        <v>2</v>
      </c>
      <c r="C16" s="92" t="s">
        <v>439</v>
      </c>
      <c r="D16" s="93" t="s">
        <v>436</v>
      </c>
      <c r="E16" s="93" t="s">
        <v>437</v>
      </c>
      <c r="F16" s="93" t="s">
        <v>440</v>
      </c>
      <c r="G16" s="90">
        <f>+IFERROR(VLOOKUP(C16,Hoja1!$A$1:$K$82,11,0),"")</f>
        <v>3</v>
      </c>
      <c r="H16" s="248">
        <f>+IFERROR(VLOOKUP(C16,Hoja1!$A$1:$L$82,12,0),"")</f>
        <v>3</v>
      </c>
      <c r="I16" s="86" t="str">
        <f t="shared" ref="I16:I24" si="1">+IF(OR(AND(G16=1,H16=1),AND(G16=1,H16=2),AND(G16=1,H16=3),G16="",H16=""),"No se encuentra presente  por lo tanto no esta funcionando, lo que hace que se requieran acciones dirigidas a fortalecer su diseño y puesta en marcha",IF(OR(AND(G16=2,H16=2),AND(G16=3,H16=1),AND(G16=3,H16=2),AND(G16=2,H16=1)),"Se encuentra presente y funcionando, pero requiere acciones dirigidas a fortalecer  o mejorar su diseño y/o ejecucion.",IF(AND(G16=2,H16=3),"Se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16" s="49">
        <v>3</v>
      </c>
      <c r="K16" s="84">
        <f>+VLOOKUP(C16,Hoja1!$A$1:$M$82,13,0)</f>
        <v>1</v>
      </c>
      <c r="L16" s="846"/>
      <c r="M16" s="46"/>
      <c r="N16" s="33"/>
      <c r="O16" s="33"/>
      <c r="P16" s="33"/>
      <c r="Q16" s="33"/>
      <c r="R16" s="33"/>
      <c r="S16" s="33"/>
    </row>
    <row r="17" spans="2:19" s="24" customFormat="1" ht="99.75" customHeight="1" thickBot="1" x14ac:dyDescent="0.3">
      <c r="B17" s="91">
        <v>3</v>
      </c>
      <c r="C17" s="92" t="s">
        <v>141</v>
      </c>
      <c r="D17" s="93" t="s">
        <v>436</v>
      </c>
      <c r="E17" s="93" t="s">
        <v>437</v>
      </c>
      <c r="F17" s="93" t="s">
        <v>441</v>
      </c>
      <c r="G17" s="90">
        <f>+IFERROR(VLOOKUP(C17,Hoja1!$A$1:$K$82,11,0),"")</f>
        <v>3</v>
      </c>
      <c r="H17" s="248">
        <f>+IFERROR(VLOOKUP(C17,Hoja1!$A$1:$L$82,12,0),"")</f>
        <v>3</v>
      </c>
      <c r="I17" s="86" t="str">
        <f t="shared" si="1"/>
        <v>Se encuentra presente y funciona correctamente, por lo tanto se requiere acciones o actividades  dirigidas a su mantenimiento dentro del marco de las lineas de defensa.</v>
      </c>
      <c r="J17" s="49">
        <v>4</v>
      </c>
      <c r="K17" s="84">
        <f>+VLOOKUP(C17,Hoja1!$A$1:$M$82,13,0)</f>
        <v>1</v>
      </c>
      <c r="L17" s="846"/>
      <c r="M17" s="46"/>
      <c r="N17" s="33"/>
      <c r="O17" s="33"/>
      <c r="P17" s="33"/>
      <c r="Q17" s="33"/>
      <c r="R17" s="33"/>
      <c r="S17" s="33"/>
    </row>
    <row r="18" spans="2:19" s="24" customFormat="1" ht="99.75" customHeight="1" thickBot="1" x14ac:dyDescent="0.3">
      <c r="B18" s="95">
        <v>4</v>
      </c>
      <c r="C18" s="92" t="s">
        <v>442</v>
      </c>
      <c r="D18" s="93" t="s">
        <v>436</v>
      </c>
      <c r="E18" s="93" t="s">
        <v>437</v>
      </c>
      <c r="F18" s="93" t="s">
        <v>443</v>
      </c>
      <c r="G18" s="90">
        <f>+IFERROR(VLOOKUP(C18,Hoja1!$A$1:$K$82,11,0),"")</f>
        <v>3</v>
      </c>
      <c r="H18" s="248">
        <f>+IFERROR(VLOOKUP(C18,Hoja1!$A$1:$L$82,12,0),"")</f>
        <v>2</v>
      </c>
      <c r="I18" s="86" t="str">
        <f t="shared" si="1"/>
        <v>Se encuentra presente y funcionando, pero requiere acciones dirigidas a fortalecer  o mejorar su diseño y/o ejecucion.</v>
      </c>
      <c r="J18" s="49">
        <v>5</v>
      </c>
      <c r="K18" s="84">
        <f>+VLOOKUP(C18,Hoja1!$A$1:$M$82,13,0)</f>
        <v>0.5</v>
      </c>
      <c r="L18" s="846"/>
      <c r="M18" s="46"/>
      <c r="N18" s="33"/>
      <c r="O18" s="33"/>
      <c r="P18" s="33"/>
      <c r="Q18" s="33"/>
      <c r="R18" s="33"/>
      <c r="S18" s="33"/>
    </row>
    <row r="19" spans="2:19" s="24" customFormat="1" ht="99.75" customHeight="1" thickBot="1" x14ac:dyDescent="0.3">
      <c r="B19" s="91">
        <v>5</v>
      </c>
      <c r="C19" s="92" t="s">
        <v>444</v>
      </c>
      <c r="D19" s="93" t="s">
        <v>436</v>
      </c>
      <c r="E19" s="93" t="s">
        <v>437</v>
      </c>
      <c r="F19" s="93" t="s">
        <v>445</v>
      </c>
      <c r="G19" s="90">
        <f>+IFERROR(VLOOKUP(C19,Hoja1!$A$1:$K$82,11,0),"")</f>
        <v>3</v>
      </c>
      <c r="H19" s="248">
        <f>+IFERROR(VLOOKUP(C19,Hoja1!$A$1:$L$82,12,0),"")</f>
        <v>3</v>
      </c>
      <c r="I19" s="86" t="str">
        <f t="shared" si="1"/>
        <v>Se encuentra presente y funciona correctamente, por lo tanto se requiere acciones o actividades  dirigidas a su mantenimiento dentro del marco de las lineas de defensa.</v>
      </c>
      <c r="J19" s="49">
        <v>7</v>
      </c>
      <c r="K19" s="84">
        <f>+VLOOKUP(C19,Hoja1!$A$1:$M$82,13,0)</f>
        <v>1</v>
      </c>
      <c r="L19" s="846"/>
      <c r="M19" s="46"/>
      <c r="N19" s="33"/>
      <c r="O19" s="33"/>
      <c r="P19" s="33"/>
      <c r="Q19" s="33"/>
      <c r="R19" s="33"/>
      <c r="S19" s="33"/>
    </row>
    <row r="20" spans="2:19" s="24" customFormat="1" ht="99.75" customHeight="1" thickBot="1" x14ac:dyDescent="0.3">
      <c r="B20" s="95">
        <v>6</v>
      </c>
      <c r="C20" s="92" t="s">
        <v>446</v>
      </c>
      <c r="D20" s="93" t="s">
        <v>436</v>
      </c>
      <c r="E20" s="93" t="s">
        <v>447</v>
      </c>
      <c r="F20" s="93" t="s">
        <v>448</v>
      </c>
      <c r="G20" s="90">
        <f>+IFERROR(VLOOKUP(C20,Hoja1!$A$1:$K$82,11,0),"")</f>
        <v>3</v>
      </c>
      <c r="H20" s="248">
        <f>+IFERROR(VLOOKUP(C20,Hoja1!$A$1:$L$82,12,0),"")</f>
        <v>3</v>
      </c>
      <c r="I20" s="86" t="str">
        <f t="shared" si="1"/>
        <v>Se encuentra presente y funciona correctamente, por lo tanto se requiere acciones o actividades  dirigidas a su mantenimiento dentro del marco de las lineas de defensa.</v>
      </c>
      <c r="J20" s="49">
        <v>8</v>
      </c>
      <c r="K20" s="84">
        <f>+VLOOKUP(C20,Hoja1!$A$1:$M$82,13,0)</f>
        <v>1</v>
      </c>
      <c r="L20" s="846"/>
      <c r="M20" s="46"/>
      <c r="N20" s="33"/>
      <c r="O20" s="33"/>
      <c r="P20" s="33"/>
      <c r="Q20" s="33"/>
      <c r="R20" s="33"/>
      <c r="S20" s="33"/>
    </row>
    <row r="21" spans="2:19" s="24" customFormat="1" ht="99.75" customHeight="1" thickBot="1" x14ac:dyDescent="0.3">
      <c r="B21" s="91">
        <v>7</v>
      </c>
      <c r="C21" s="92" t="s">
        <v>449</v>
      </c>
      <c r="D21" s="93" t="s">
        <v>436</v>
      </c>
      <c r="E21" s="93" t="s">
        <v>447</v>
      </c>
      <c r="F21" s="93" t="s">
        <v>450</v>
      </c>
      <c r="G21" s="90">
        <f>+IFERROR(VLOOKUP(C21,Hoja1!$A$1:$K$82,11,0),"")</f>
        <v>3</v>
      </c>
      <c r="H21" s="248">
        <f>+IFERROR(VLOOKUP(C21,Hoja1!$A$1:$L$82,12,0),"")</f>
        <v>3</v>
      </c>
      <c r="I21" s="86" t="str">
        <f t="shared" si="1"/>
        <v>Se encuentra presente y funciona correctamente, por lo tanto se requiere acciones o actividades  dirigidas a su mantenimiento dentro del marco de las lineas de defensa.</v>
      </c>
      <c r="J21" s="49">
        <v>9</v>
      </c>
      <c r="K21" s="84">
        <f>+VLOOKUP(C21,Hoja1!$A$1:$M$82,13,0)</f>
        <v>1</v>
      </c>
      <c r="L21" s="846"/>
      <c r="M21" s="46"/>
      <c r="N21" s="33"/>
      <c r="O21" s="33"/>
      <c r="P21" s="33"/>
      <c r="Q21" s="33"/>
      <c r="R21" s="33"/>
      <c r="S21" s="33"/>
    </row>
    <row r="22" spans="2:19" s="24" customFormat="1" ht="99.75" customHeight="1" thickBot="1" x14ac:dyDescent="0.3">
      <c r="B22" s="91">
        <v>8</v>
      </c>
      <c r="C22" s="92" t="s">
        <v>451</v>
      </c>
      <c r="D22" s="93" t="s">
        <v>436</v>
      </c>
      <c r="E22" s="93" t="s">
        <v>447</v>
      </c>
      <c r="F22" s="93" t="s">
        <v>452</v>
      </c>
      <c r="G22" s="90">
        <f>+IFERROR(VLOOKUP(C22,Hoja1!$A$1:$K$82,11,0),"")</f>
        <v>3</v>
      </c>
      <c r="H22" s="248">
        <f>+IFERROR(VLOOKUP(C22,Hoja1!$A$1:$L$82,12,0),"")</f>
        <v>3</v>
      </c>
      <c r="I22" s="86" t="str">
        <f t="shared" si="1"/>
        <v>Se encuentra presente y funciona correctamente, por lo tanto se requiere acciones o actividades  dirigidas a su mantenimiento dentro del marco de las lineas de defensa.</v>
      </c>
      <c r="J22" s="49">
        <v>10</v>
      </c>
      <c r="K22" s="84">
        <f>+VLOOKUP(C22,Hoja1!$A$1:$M$82,13,0)</f>
        <v>1</v>
      </c>
      <c r="L22" s="846"/>
      <c r="M22" s="46"/>
      <c r="N22" s="33"/>
      <c r="O22" s="33"/>
      <c r="P22" s="33"/>
      <c r="Q22" s="33"/>
      <c r="R22" s="33"/>
      <c r="S22" s="33"/>
    </row>
    <row r="23" spans="2:19" s="24" customFormat="1" ht="99.75" customHeight="1" thickBot="1" x14ac:dyDescent="0.3">
      <c r="B23" s="91">
        <v>9</v>
      </c>
      <c r="C23" s="92" t="s">
        <v>453</v>
      </c>
      <c r="D23" s="93" t="s">
        <v>436</v>
      </c>
      <c r="E23" s="93" t="s">
        <v>454</v>
      </c>
      <c r="F23" s="93" t="s">
        <v>455</v>
      </c>
      <c r="G23" s="90">
        <f>+IFERROR(VLOOKUP(C23,Hoja1!$A$1:$K$82,11,0),"")</f>
        <v>3</v>
      </c>
      <c r="H23" s="248">
        <f>+IFERROR(VLOOKUP(C23,Hoja1!$A$1:$L$82,12,0),"")</f>
        <v>3</v>
      </c>
      <c r="I23" s="86" t="str">
        <f t="shared" si="1"/>
        <v>Se encuentra presente y funciona correctamente, por lo tanto se requiere acciones o actividades  dirigidas a su mantenimiento dentro del marco de las lineas de defensa.</v>
      </c>
      <c r="J23" s="49">
        <v>11</v>
      </c>
      <c r="K23" s="84">
        <f>+VLOOKUP(C23,Hoja1!$A$1:$M$82,13,0)</f>
        <v>1</v>
      </c>
      <c r="L23" s="846"/>
      <c r="M23" s="46"/>
      <c r="N23" s="33"/>
      <c r="O23" s="33"/>
      <c r="P23" s="33"/>
      <c r="Q23" s="33"/>
      <c r="R23" s="33"/>
      <c r="S23" s="33"/>
    </row>
    <row r="24" spans="2:19" s="24" customFormat="1" ht="99.75" customHeight="1" thickBot="1" x14ac:dyDescent="0.3">
      <c r="B24" s="95">
        <v>10</v>
      </c>
      <c r="C24" s="92" t="s">
        <v>456</v>
      </c>
      <c r="D24" s="93" t="s">
        <v>436</v>
      </c>
      <c r="E24" s="93" t="s">
        <v>454</v>
      </c>
      <c r="F24" s="93" t="s">
        <v>457</v>
      </c>
      <c r="G24" s="90">
        <f>+IFERROR(VLOOKUP(C24,Hoja1!$A$1:$K$82,11,0),"")</f>
        <v>3</v>
      </c>
      <c r="H24" s="248">
        <f>+IFERROR(VLOOKUP(C24,Hoja1!$A$1:$L$82,12,0),"")</f>
        <v>3</v>
      </c>
      <c r="I24" s="86" t="str">
        <f t="shared" si="1"/>
        <v>Se encuentra presente y funciona correctamente, por lo tanto se requiere acciones o actividades  dirigidas a su mantenimiento dentro del marco de las lineas de defensa.</v>
      </c>
      <c r="J24" s="49">
        <v>12</v>
      </c>
      <c r="K24" s="84">
        <f>+VLOOKUP(C24,Hoja1!$A$1:$M$82,13,0)</f>
        <v>1</v>
      </c>
      <c r="L24" s="846"/>
      <c r="M24" s="46"/>
      <c r="N24" s="33"/>
      <c r="O24" s="33"/>
      <c r="P24" s="33"/>
      <c r="Q24" s="33"/>
      <c r="R24" s="33"/>
      <c r="S24" s="33"/>
    </row>
    <row r="25" spans="2:19" s="24" customFormat="1" ht="99.75" customHeight="1" thickBot="1" x14ac:dyDescent="0.3">
      <c r="B25" s="91">
        <v>11</v>
      </c>
      <c r="C25" s="92" t="s">
        <v>458</v>
      </c>
      <c r="D25" s="93" t="s">
        <v>436</v>
      </c>
      <c r="E25" s="93" t="s">
        <v>454</v>
      </c>
      <c r="F25" s="93" t="s">
        <v>459</v>
      </c>
      <c r="G25" s="90">
        <f>+IFERROR(VLOOKUP(C25,Hoja1!$A$1:$K$82,11,0),"")</f>
        <v>3</v>
      </c>
      <c r="H25" s="248">
        <f>+IFERROR(VLOOKUP(C25,Hoja1!$A$1:$L$82,12,0),"")</f>
        <v>3</v>
      </c>
      <c r="I25" s="86" t="str">
        <f t="shared" ref="I25:I28" si="2">+IF(OR(AND(G25=1,H25=1),AND(G25=1,H25=2),AND(G25=1,H25=3),G25="",H25=""),"No se encuentra presente  por lo tanto no esta funcionando, lo que hace que se requieran acciones dirigidas a fortalecer su diseño y puesta en marcha",IF(OR(AND(G25=2,H25=2),AND(G25=3,H25=1),AND(G25=3,H25=2),AND(G25=2,H25=1)),"Se encuentra presente y funcionando, pero requiere acciones dirigidas a fortalecer  o mejorar su diseño y/o ejecucion.",IF(AND(G25=2,H25=3),"Se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5" s="49">
        <v>13</v>
      </c>
      <c r="K25" s="84">
        <f>+VLOOKUP(C25,Hoja1!$A$1:$M$82,13,0)</f>
        <v>1</v>
      </c>
      <c r="L25" s="846"/>
      <c r="M25" s="46"/>
      <c r="N25" s="33"/>
      <c r="O25" s="33"/>
      <c r="P25" s="33"/>
      <c r="Q25" s="33"/>
      <c r="R25" s="33"/>
      <c r="S25" s="33"/>
    </row>
    <row r="26" spans="2:19" s="24" customFormat="1" ht="99.75" customHeight="1" thickBot="1" x14ac:dyDescent="0.3">
      <c r="B26" s="95">
        <v>12</v>
      </c>
      <c r="C26" s="92" t="s">
        <v>460</v>
      </c>
      <c r="D26" s="93" t="s">
        <v>436</v>
      </c>
      <c r="E26" s="93" t="s">
        <v>461</v>
      </c>
      <c r="F26" s="93" t="s">
        <v>462</v>
      </c>
      <c r="G26" s="90">
        <f>+IFERROR(VLOOKUP(C26,Hoja1!$A$1:$K$82,11,0),"")</f>
        <v>3</v>
      </c>
      <c r="H26" s="248">
        <f>+IFERROR(VLOOKUP(C26,Hoja1!$A$1:$L$82,12,0),"")</f>
        <v>3</v>
      </c>
      <c r="I26" s="86" t="str">
        <f t="shared" si="2"/>
        <v>Se encuentra presente y funciona correctamente, por lo tanto se requiere acciones o actividades  dirigidas a su mantenimiento dentro del marco de las lineas de defensa.</v>
      </c>
      <c r="J26" s="49">
        <v>14</v>
      </c>
      <c r="K26" s="84">
        <f>+VLOOKUP(C26,Hoja1!$A$1:$M$82,13,0)</f>
        <v>1</v>
      </c>
      <c r="L26" s="846"/>
      <c r="M26" s="46"/>
      <c r="N26" s="33"/>
      <c r="O26" s="33"/>
      <c r="P26" s="33"/>
      <c r="Q26" s="33"/>
      <c r="R26" s="33"/>
      <c r="S26" s="33"/>
    </row>
    <row r="27" spans="2:19" s="24" customFormat="1" ht="99.75" customHeight="1" thickBot="1" x14ac:dyDescent="0.3">
      <c r="B27" s="91">
        <v>13</v>
      </c>
      <c r="C27" s="92" t="s">
        <v>463</v>
      </c>
      <c r="D27" s="93" t="s">
        <v>436</v>
      </c>
      <c r="E27" s="93" t="s">
        <v>461</v>
      </c>
      <c r="F27" s="93" t="s">
        <v>464</v>
      </c>
      <c r="G27" s="90">
        <f>+IFERROR(VLOOKUP(C27,Hoja1!$A$1:$K$82,11,0),"")</f>
        <v>3</v>
      </c>
      <c r="H27" s="248">
        <f>+IFERROR(VLOOKUP(C27,Hoja1!$A$1:$L$82,12,0),"")</f>
        <v>3</v>
      </c>
      <c r="I27" s="86" t="str">
        <f t="shared" si="2"/>
        <v>Se encuentra presente y funciona correctamente, por lo tanto se requiere acciones o actividades  dirigidas a su mantenimiento dentro del marco de las lineas de defensa.</v>
      </c>
      <c r="J27" s="49">
        <v>15</v>
      </c>
      <c r="K27" s="84">
        <f>+VLOOKUP(C27,Hoja1!$A$1:$M$82,13,0)</f>
        <v>1</v>
      </c>
      <c r="L27" s="846"/>
      <c r="M27" s="46"/>
      <c r="N27" s="33"/>
      <c r="O27" s="33"/>
      <c r="P27" s="33"/>
      <c r="Q27" s="33"/>
      <c r="R27" s="33"/>
      <c r="S27" s="33"/>
    </row>
    <row r="28" spans="2:19" s="24" customFormat="1" ht="99.75" customHeight="1" thickBot="1" x14ac:dyDescent="0.3">
      <c r="B28" s="91">
        <v>14</v>
      </c>
      <c r="C28" s="92" t="s">
        <v>465</v>
      </c>
      <c r="D28" s="93" t="s">
        <v>436</v>
      </c>
      <c r="E28" s="93" t="s">
        <v>461</v>
      </c>
      <c r="F28" s="93" t="s">
        <v>466</v>
      </c>
      <c r="G28" s="90">
        <f>+IFERROR(VLOOKUP(C28,Hoja1!$A$1:$K$82,11,0),"")</f>
        <v>3</v>
      </c>
      <c r="H28" s="248">
        <f>+IFERROR(VLOOKUP(C28,Hoja1!$A$1:$L$82,12,0),"")</f>
        <v>3</v>
      </c>
      <c r="I28" s="86" t="str">
        <f t="shared" si="2"/>
        <v>Se encuentra presente y funciona correctamente, por lo tanto se requiere acciones o actividades  dirigidas a su mantenimiento dentro del marco de las lineas de defensa.</v>
      </c>
      <c r="J28" s="49">
        <v>16</v>
      </c>
      <c r="K28" s="84">
        <f>+VLOOKUP(C28,Hoja1!$A$1:$M$82,13,0)</f>
        <v>1</v>
      </c>
      <c r="L28" s="846"/>
      <c r="M28" s="46"/>
      <c r="N28" s="33"/>
      <c r="O28" s="33"/>
      <c r="P28" s="33"/>
      <c r="Q28" s="33"/>
      <c r="R28" s="33"/>
      <c r="S28" s="33"/>
    </row>
    <row r="29" spans="2:19" s="24" customFormat="1" ht="99.75" customHeight="1" thickBot="1" x14ac:dyDescent="0.3">
      <c r="B29" s="91">
        <v>15</v>
      </c>
      <c r="C29" s="92" t="s">
        <v>467</v>
      </c>
      <c r="D29" s="93" t="s">
        <v>436</v>
      </c>
      <c r="E29" s="93" t="s">
        <v>461</v>
      </c>
      <c r="F29" s="93" t="s">
        <v>468</v>
      </c>
      <c r="G29" s="90">
        <f>+IFERROR(VLOOKUP(C29,Hoja1!$A$1:$K$82,11,0),"")</f>
        <v>3</v>
      </c>
      <c r="H29" s="248">
        <f>+IFERROR(VLOOKUP(C29,Hoja1!$A$1:$L$82,12,0),"")</f>
        <v>3</v>
      </c>
      <c r="I29" s="86" t="str">
        <f t="shared" ref="I29:I79" si="3">+IF(OR(AND(G29=1,H29=1),AND(G29=1,H29=2),AND(G29=1,H29=3),G29="",H29=""),"No se encuentra presente  por lo tanto no esta funcionando, lo que hace que se requieran acciones dirigidas a fortalecer su diseño y puesta en marcha",IF(OR(AND(G29=2,H29=2),AND(G29=3,H29=1),AND(G29=3,H29=2),AND(G29=2,H29=1)),"Se encuentra presente y funcionando, pero requiere acciones dirigidas a fortalecer  o mejorar su diseño y/o ejecucion.",IF(AND(G29=2,H29=3),"Se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 correctamente, por lo tanto se requiere acciones o actividades  dirigidas a su mantenimiento dentro del marco de las lineas de defensa.</v>
      </c>
      <c r="J29" s="49">
        <v>15</v>
      </c>
      <c r="K29" s="84">
        <f>+VLOOKUP(C29,Hoja1!$A$1:$M$82,13,0)</f>
        <v>1</v>
      </c>
      <c r="L29" s="846"/>
      <c r="M29" s="46"/>
      <c r="N29" s="33"/>
      <c r="O29" s="33"/>
      <c r="P29" s="33"/>
      <c r="Q29" s="33"/>
      <c r="R29" s="33"/>
      <c r="S29" s="33"/>
    </row>
    <row r="30" spans="2:19" s="24" customFormat="1" ht="99.75" customHeight="1" thickBot="1" x14ac:dyDescent="0.3">
      <c r="B30" s="95">
        <v>16</v>
      </c>
      <c r="C30" s="92" t="s">
        <v>469</v>
      </c>
      <c r="D30" s="93" t="s">
        <v>436</v>
      </c>
      <c r="E30" s="93" t="s">
        <v>461</v>
      </c>
      <c r="F30" s="93" t="s">
        <v>470</v>
      </c>
      <c r="G30" s="90">
        <f>+IFERROR(VLOOKUP(C30,Hoja1!$A$1:$K$82,11,0),"")</f>
        <v>3</v>
      </c>
      <c r="H30" s="248">
        <f>+IFERROR(VLOOKUP(C30,Hoja1!$A$1:$L$82,12,0),"")</f>
        <v>3</v>
      </c>
      <c r="I30" s="86" t="str">
        <f t="shared" si="3"/>
        <v>Se encuentra presente y funciona correctamente, por lo tanto se requiere acciones o actividades  dirigidas a su mantenimiento dentro del marco de las lineas de defensa.</v>
      </c>
      <c r="J30" s="49">
        <v>16</v>
      </c>
      <c r="K30" s="84">
        <f>+VLOOKUP(C30,Hoja1!$A$1:$M$82,13,0)</f>
        <v>1</v>
      </c>
      <c r="L30" s="846"/>
      <c r="M30" s="46"/>
      <c r="N30" s="33"/>
      <c r="O30" s="33"/>
      <c r="P30" s="33"/>
      <c r="Q30" s="33"/>
      <c r="R30" s="33"/>
      <c r="S30" s="33"/>
    </row>
    <row r="31" spans="2:19" s="24" customFormat="1" ht="99.75" customHeight="1" thickBot="1" x14ac:dyDescent="0.3">
      <c r="B31" s="91">
        <v>17</v>
      </c>
      <c r="C31" s="92" t="s">
        <v>471</v>
      </c>
      <c r="D31" s="93" t="s">
        <v>436</v>
      </c>
      <c r="E31" s="93" t="s">
        <v>461</v>
      </c>
      <c r="F31" s="93" t="s">
        <v>472</v>
      </c>
      <c r="G31" s="90">
        <f>+IFERROR(VLOOKUP(C31,Hoja1!$A$1:$K$82,11,0),"")</f>
        <v>3</v>
      </c>
      <c r="H31" s="248">
        <f>+IFERROR(VLOOKUP(C31,Hoja1!$A$1:$L$82,12,0),"")</f>
        <v>3</v>
      </c>
      <c r="I31" s="86" t="str">
        <f t="shared" si="3"/>
        <v>Se encuentra presente y funciona correctamente, por lo tanto se requiere acciones o actividades  dirigidas a su mantenimiento dentro del marco de las lineas de defensa.</v>
      </c>
      <c r="J31" s="49">
        <v>17</v>
      </c>
      <c r="K31" s="84">
        <f>+VLOOKUP(C31,Hoja1!$A$1:$M$82,13,0)</f>
        <v>1</v>
      </c>
      <c r="L31" s="846"/>
      <c r="M31" s="46"/>
      <c r="N31" s="33"/>
      <c r="O31" s="33"/>
      <c r="P31" s="33"/>
      <c r="Q31" s="33"/>
      <c r="R31" s="33"/>
      <c r="S31" s="33"/>
    </row>
    <row r="32" spans="2:19" s="24" customFormat="1" ht="99.75" customHeight="1" thickBot="1" x14ac:dyDescent="0.3">
      <c r="B32" s="95">
        <v>18</v>
      </c>
      <c r="C32" s="92" t="s">
        <v>473</v>
      </c>
      <c r="D32" s="93" t="s">
        <v>436</v>
      </c>
      <c r="E32" s="93" t="s">
        <v>461</v>
      </c>
      <c r="F32" s="93" t="s">
        <v>474</v>
      </c>
      <c r="G32" s="90">
        <f>+IFERROR(VLOOKUP(C32,Hoja1!$A$1:$K$82,11,0),"")</f>
        <v>3</v>
      </c>
      <c r="H32" s="248">
        <f>+IFERROR(VLOOKUP(C32,Hoja1!$A$1:$L$82,12,0),"")</f>
        <v>3</v>
      </c>
      <c r="I32" s="86" t="str">
        <f t="shared" si="3"/>
        <v>Se encuentra presente y funciona correctamente, por lo tanto se requiere acciones o actividades  dirigidas a su mantenimiento dentro del marco de las lineas de defensa.</v>
      </c>
      <c r="J32" s="49">
        <v>18</v>
      </c>
      <c r="K32" s="84">
        <f>+VLOOKUP(C32,Hoja1!$A$1:$M$82,13,0)</f>
        <v>1</v>
      </c>
      <c r="L32" s="846"/>
      <c r="M32" s="46"/>
      <c r="N32" s="33"/>
      <c r="O32" s="33"/>
      <c r="P32" s="33"/>
      <c r="Q32" s="33"/>
      <c r="R32" s="33"/>
      <c r="S32" s="33"/>
    </row>
    <row r="33" spans="2:19" s="24" customFormat="1" ht="99.75" customHeight="1" thickBot="1" x14ac:dyDescent="0.3">
      <c r="B33" s="91">
        <v>19</v>
      </c>
      <c r="C33" s="92" t="s">
        <v>475</v>
      </c>
      <c r="D33" s="93" t="s">
        <v>436</v>
      </c>
      <c r="E33" s="93" t="s">
        <v>476</v>
      </c>
      <c r="F33" s="93" t="s">
        <v>477</v>
      </c>
      <c r="G33" s="90">
        <f>+IFERROR(VLOOKUP(C33,Hoja1!$A$1:$K$82,11,0),"")</f>
        <v>3</v>
      </c>
      <c r="H33" s="248">
        <f>+IFERROR(VLOOKUP(C33,Hoja1!$A$1:$L$82,12,0),"")</f>
        <v>3</v>
      </c>
      <c r="I33" s="86" t="str">
        <f t="shared" si="3"/>
        <v>Se encuentra presente y funciona correctamente, por lo tanto se requiere acciones o actividades  dirigidas a su mantenimiento dentro del marco de las lineas de defensa.</v>
      </c>
      <c r="J33" s="49">
        <v>19</v>
      </c>
      <c r="K33" s="84">
        <f>+VLOOKUP(C33,Hoja1!$A$1:$M$82,13,0)</f>
        <v>1</v>
      </c>
      <c r="L33" s="846"/>
      <c r="M33" s="46"/>
      <c r="N33" s="33"/>
      <c r="O33" s="33"/>
      <c r="P33" s="33"/>
      <c r="Q33" s="33"/>
      <c r="R33" s="33"/>
      <c r="S33" s="33"/>
    </row>
    <row r="34" spans="2:19" s="24" customFormat="1" ht="99.75" customHeight="1" thickBot="1" x14ac:dyDescent="0.3">
      <c r="B34" s="91">
        <v>20</v>
      </c>
      <c r="C34" s="92" t="s">
        <v>478</v>
      </c>
      <c r="D34" s="93" t="s">
        <v>436</v>
      </c>
      <c r="E34" s="93" t="s">
        <v>476</v>
      </c>
      <c r="F34" s="93" t="s">
        <v>479</v>
      </c>
      <c r="G34" s="90">
        <f>+IFERROR(VLOOKUP(C34,Hoja1!$A$1:$K$82,11,0),"")</f>
        <v>3</v>
      </c>
      <c r="H34" s="248">
        <f>+IFERROR(VLOOKUP(C34,Hoja1!$A$1:$L$82,12,0),"")</f>
        <v>3</v>
      </c>
      <c r="I34" s="86" t="str">
        <f t="shared" si="3"/>
        <v>Se encuentra presente y funciona correctamente, por lo tanto se requiere acciones o actividades  dirigidas a su mantenimiento dentro del marco de las lineas de defensa.</v>
      </c>
      <c r="J34" s="49">
        <v>20</v>
      </c>
      <c r="K34" s="84">
        <f>+VLOOKUP(C34,Hoja1!$A$1:$M$82,13,0)</f>
        <v>1</v>
      </c>
      <c r="L34" s="846"/>
      <c r="M34" s="46"/>
      <c r="N34" s="33"/>
      <c r="O34" s="33"/>
      <c r="P34" s="33"/>
      <c r="Q34" s="33"/>
      <c r="R34" s="33"/>
      <c r="S34" s="33"/>
    </row>
    <row r="35" spans="2:19" s="24" customFormat="1" ht="99.75" customHeight="1" thickBot="1" x14ac:dyDescent="0.3">
      <c r="B35" s="91">
        <v>21</v>
      </c>
      <c r="C35" s="92" t="s">
        <v>208</v>
      </c>
      <c r="D35" s="93" t="s">
        <v>436</v>
      </c>
      <c r="E35" s="93" t="s">
        <v>476</v>
      </c>
      <c r="F35" s="93" t="s">
        <v>480</v>
      </c>
      <c r="G35" s="90">
        <f>+IFERROR(VLOOKUP(C35,Hoja1!$A$1:$K$82,11,0),"")</f>
        <v>3</v>
      </c>
      <c r="H35" s="248">
        <f>+IFERROR(VLOOKUP(C35,Hoja1!$A$1:$L$82,12,0),"")</f>
        <v>3</v>
      </c>
      <c r="I35" s="86" t="str">
        <f t="shared" si="3"/>
        <v>Se encuentra presente y funciona correctamente, por lo tanto se requiere acciones o actividades  dirigidas a su mantenimiento dentro del marco de las lineas de defensa.</v>
      </c>
      <c r="J35" s="49">
        <v>21</v>
      </c>
      <c r="K35" s="84">
        <f>+VLOOKUP(C35,Hoja1!$A$1:$M$82,13,0)</f>
        <v>1</v>
      </c>
      <c r="L35" s="846"/>
      <c r="M35" s="46"/>
      <c r="N35" s="33"/>
      <c r="O35" s="33"/>
      <c r="P35" s="33"/>
      <c r="Q35" s="33"/>
      <c r="R35" s="33"/>
      <c r="S35" s="33"/>
    </row>
    <row r="36" spans="2:19" s="24" customFormat="1" ht="99.75" customHeight="1" thickBot="1" x14ac:dyDescent="0.3">
      <c r="B36" s="95">
        <v>22</v>
      </c>
      <c r="C36" s="92" t="s">
        <v>481</v>
      </c>
      <c r="D36" s="93" t="s">
        <v>436</v>
      </c>
      <c r="E36" s="93" t="s">
        <v>476</v>
      </c>
      <c r="F36" s="93" t="s">
        <v>482</v>
      </c>
      <c r="G36" s="90">
        <f>+IFERROR(VLOOKUP(C36,Hoja1!$A$1:$K$82,11,0),"")</f>
        <v>3</v>
      </c>
      <c r="H36" s="248">
        <f>+IFERROR(VLOOKUP(C36,Hoja1!$A$1:$L$82,12,0),"")</f>
        <v>3</v>
      </c>
      <c r="I36" s="86" t="str">
        <f t="shared" si="3"/>
        <v>Se encuentra presente y funciona correctamente, por lo tanto se requiere acciones o actividades  dirigidas a su mantenimiento dentro del marco de las lineas de defensa.</v>
      </c>
      <c r="J36" s="49">
        <v>22</v>
      </c>
      <c r="K36" s="84">
        <f>+VLOOKUP(C36,Hoja1!$A$1:$M$82,13,0)</f>
        <v>1</v>
      </c>
      <c r="L36" s="846"/>
      <c r="M36" s="46"/>
      <c r="N36" s="33"/>
      <c r="O36" s="33"/>
      <c r="P36" s="33"/>
      <c r="Q36" s="33"/>
      <c r="R36" s="33"/>
      <c r="S36" s="33"/>
    </row>
    <row r="37" spans="2:19" s="24" customFormat="1" ht="99.75" customHeight="1" thickBot="1" x14ac:dyDescent="0.3">
      <c r="B37" s="91">
        <v>23</v>
      </c>
      <c r="C37" s="92" t="s">
        <v>483</v>
      </c>
      <c r="D37" s="93" t="s">
        <v>436</v>
      </c>
      <c r="E37" s="93" t="s">
        <v>476</v>
      </c>
      <c r="F37" s="93" t="s">
        <v>484</v>
      </c>
      <c r="G37" s="90">
        <f>+IFERROR(VLOOKUP(C37,Hoja1!$A$1:$K$82,11,0),"")</f>
        <v>3</v>
      </c>
      <c r="H37" s="248">
        <f>+IFERROR(VLOOKUP(C37,Hoja1!$A$1:$L$82,12,0),"")</f>
        <v>3</v>
      </c>
      <c r="I37" s="86" t="str">
        <f t="shared" si="3"/>
        <v>Se encuentra presente y funciona correctamente, por lo tanto se requiere acciones o actividades  dirigidas a su mantenimiento dentro del marco de las lineas de defensa.</v>
      </c>
      <c r="J37" s="49">
        <v>23</v>
      </c>
      <c r="K37" s="84">
        <f>+VLOOKUP(C37,Hoja1!$A$1:$M$82,13,0)</f>
        <v>1</v>
      </c>
      <c r="L37" s="846"/>
      <c r="M37" s="46"/>
      <c r="N37" s="33"/>
      <c r="O37" s="33"/>
      <c r="P37" s="33"/>
      <c r="Q37" s="33"/>
      <c r="R37" s="33"/>
      <c r="S37" s="33"/>
    </row>
    <row r="38" spans="2:19" s="24" customFormat="1" ht="99.75" customHeight="1" thickBot="1" x14ac:dyDescent="0.3">
      <c r="B38" s="95">
        <v>24</v>
      </c>
      <c r="C38" s="92" t="s">
        <v>485</v>
      </c>
      <c r="D38" s="93" t="s">
        <v>436</v>
      </c>
      <c r="E38" s="93" t="s">
        <v>476</v>
      </c>
      <c r="F38" s="93" t="s">
        <v>486</v>
      </c>
      <c r="G38" s="90">
        <f>+IFERROR(VLOOKUP(C38,Hoja1!$A$1:$K$82,11,0),"")</f>
        <v>3</v>
      </c>
      <c r="H38" s="248">
        <f>+IFERROR(VLOOKUP(C38,Hoja1!$A$1:$L$82,12,0),"")</f>
        <v>3</v>
      </c>
      <c r="I38" s="86" t="str">
        <f t="shared" si="3"/>
        <v>Se encuentra presente y funciona correctamente, por lo tanto se requiere acciones o actividades  dirigidas a su mantenimiento dentro del marco de las lineas de defensa.</v>
      </c>
      <c r="J38" s="49">
        <v>24</v>
      </c>
      <c r="K38" s="84">
        <f>+VLOOKUP(C38,Hoja1!$A$1:$M$82,13,0)</f>
        <v>1</v>
      </c>
      <c r="L38" s="854"/>
      <c r="M38" s="46"/>
      <c r="N38" s="33"/>
      <c r="O38" s="33"/>
      <c r="P38" s="33"/>
      <c r="Q38" s="33"/>
      <c r="R38" s="33"/>
      <c r="S38" s="33"/>
    </row>
    <row r="39" spans="2:19" s="24" customFormat="1" ht="99.75" customHeight="1" thickBot="1" x14ac:dyDescent="0.3">
      <c r="B39" s="91">
        <v>25</v>
      </c>
      <c r="C39" s="92" t="s">
        <v>487</v>
      </c>
      <c r="D39" s="93" t="s">
        <v>488</v>
      </c>
      <c r="E39" s="93" t="s">
        <v>489</v>
      </c>
      <c r="F39" s="93" t="s">
        <v>490</v>
      </c>
      <c r="G39" s="90">
        <f>+IFERROR(VLOOKUP(C39,Hoja1!$A$1:$K$82,11,0),"")</f>
        <v>3</v>
      </c>
      <c r="H39" s="248">
        <f>+IFERROR(VLOOKUP(C39,Hoja1!$A$1:$L$82,12,0),"")</f>
        <v>3</v>
      </c>
      <c r="I39" s="86" t="str">
        <f t="shared" si="3"/>
        <v>Se encuentra presente y funciona correctamente, por lo tanto se requiere acciones o actividades  dirigidas a su mantenimiento dentro del marco de las lineas de defensa.</v>
      </c>
      <c r="J39" s="49">
        <v>25</v>
      </c>
      <c r="K39" s="84">
        <f>+VLOOKUP(C39,Hoja1!$A$1:$M$82,13,0)</f>
        <v>1</v>
      </c>
      <c r="L39" s="845">
        <f>+AVERAGE(K39:K58)</f>
        <v>0.92500000000000004</v>
      </c>
      <c r="M39" s="46"/>
      <c r="N39" s="33"/>
      <c r="O39" s="33"/>
      <c r="P39" s="33"/>
      <c r="Q39" s="33"/>
      <c r="R39" s="33"/>
      <c r="S39" s="33"/>
    </row>
    <row r="40" spans="2:19" s="24" customFormat="1" ht="99.75" customHeight="1" thickBot="1" x14ac:dyDescent="0.3">
      <c r="B40" s="91">
        <v>26</v>
      </c>
      <c r="C40" s="92" t="s">
        <v>491</v>
      </c>
      <c r="D40" s="93" t="s">
        <v>488</v>
      </c>
      <c r="E40" s="93" t="s">
        <v>489</v>
      </c>
      <c r="F40" s="93" t="s">
        <v>492</v>
      </c>
      <c r="G40" s="90">
        <f>+IFERROR(VLOOKUP(C40,Hoja1!$A$1:$K$82,11,0),"")</f>
        <v>3</v>
      </c>
      <c r="H40" s="248">
        <f>+IFERROR(VLOOKUP(C40,Hoja1!$A$1:$L$82,12,0),"")</f>
        <v>3</v>
      </c>
      <c r="I40" s="86" t="str">
        <f t="shared" si="3"/>
        <v>Se encuentra presente y funciona correctamente, por lo tanto se requiere acciones o actividades  dirigidas a su mantenimiento dentro del marco de las lineas de defensa.</v>
      </c>
      <c r="J40" s="49">
        <v>26</v>
      </c>
      <c r="K40" s="84">
        <f>+VLOOKUP(C40,Hoja1!$A$1:$M$82,13,0)</f>
        <v>1</v>
      </c>
      <c r="L40" s="846"/>
      <c r="M40" s="46"/>
      <c r="N40" s="33"/>
      <c r="O40" s="33"/>
      <c r="P40" s="33"/>
      <c r="Q40" s="33"/>
      <c r="R40" s="33"/>
      <c r="S40" s="33"/>
    </row>
    <row r="41" spans="2:19" s="24" customFormat="1" ht="99.75" customHeight="1" thickBot="1" x14ac:dyDescent="0.3">
      <c r="B41" s="91">
        <v>27</v>
      </c>
      <c r="C41" s="92" t="s">
        <v>493</v>
      </c>
      <c r="D41" s="93" t="s">
        <v>488</v>
      </c>
      <c r="E41" s="93" t="s">
        <v>489</v>
      </c>
      <c r="F41" s="93" t="s">
        <v>494</v>
      </c>
      <c r="G41" s="90">
        <f>+IFERROR(VLOOKUP(C41,Hoja1!$A$1:$K$82,11,0),"")</f>
        <v>3</v>
      </c>
      <c r="H41" s="248">
        <f>+IFERROR(VLOOKUP(C41,Hoja1!$A$1:$L$82,12,0),"")</f>
        <v>3</v>
      </c>
      <c r="I41" s="86" t="str">
        <f t="shared" si="3"/>
        <v>Se encuentra presente y funciona correctamente, por lo tanto se requiere acciones o actividades  dirigidas a su mantenimiento dentro del marco de las lineas de defensa.</v>
      </c>
      <c r="J41" s="49">
        <v>27</v>
      </c>
      <c r="K41" s="84">
        <f>+VLOOKUP(C41,Hoja1!$A$1:$M$82,13,0)</f>
        <v>1</v>
      </c>
      <c r="L41" s="846"/>
      <c r="M41" s="46"/>
      <c r="N41" s="33"/>
      <c r="O41" s="33"/>
      <c r="P41" s="33"/>
      <c r="Q41" s="33"/>
      <c r="R41" s="33"/>
      <c r="S41" s="33"/>
    </row>
    <row r="42" spans="2:19" s="24" customFormat="1" ht="99.75" customHeight="1" thickBot="1" x14ac:dyDescent="0.3">
      <c r="B42" s="95">
        <v>28</v>
      </c>
      <c r="C42" s="92" t="s">
        <v>495</v>
      </c>
      <c r="D42" s="93" t="s">
        <v>488</v>
      </c>
      <c r="E42" s="93" t="s">
        <v>496</v>
      </c>
      <c r="F42" s="93" t="s">
        <v>497</v>
      </c>
      <c r="G42" s="90">
        <f>+IFERROR(VLOOKUP(C42,Hoja1!$A$1:$K$82,11,0),"")</f>
        <v>3</v>
      </c>
      <c r="H42" s="248">
        <f>+IFERROR(VLOOKUP(C42,Hoja1!$A$1:$L$82,12,0),"")</f>
        <v>3</v>
      </c>
      <c r="I42" s="86" t="str">
        <f t="shared" si="3"/>
        <v>Se encuentra presente y funciona correctamente, por lo tanto se requiere acciones o actividades  dirigidas a su mantenimiento dentro del marco de las lineas de defensa.</v>
      </c>
      <c r="J42" s="49">
        <v>28</v>
      </c>
      <c r="K42" s="84">
        <f>+VLOOKUP(C42,Hoja1!$A$1:$M$82,13,0)</f>
        <v>1</v>
      </c>
      <c r="L42" s="846"/>
      <c r="M42" s="46"/>
      <c r="N42" s="33"/>
      <c r="O42" s="33"/>
      <c r="P42" s="33"/>
      <c r="Q42" s="33"/>
      <c r="R42" s="33"/>
      <c r="S42" s="33"/>
    </row>
    <row r="43" spans="2:19" s="24" customFormat="1" ht="99.75" customHeight="1" thickBot="1" x14ac:dyDescent="0.3">
      <c r="B43" s="91">
        <v>29</v>
      </c>
      <c r="C43" s="92" t="s">
        <v>498</v>
      </c>
      <c r="D43" s="93" t="s">
        <v>488</v>
      </c>
      <c r="E43" s="93" t="s">
        <v>496</v>
      </c>
      <c r="F43" s="93" t="s">
        <v>499</v>
      </c>
      <c r="G43" s="90">
        <f>+IFERROR(VLOOKUP(C43,Hoja1!$A$1:$K$82,11,0),"")</f>
        <v>3</v>
      </c>
      <c r="H43" s="248">
        <f>+IFERROR(VLOOKUP(C43,Hoja1!$A$1:$L$82,12,0),"")</f>
        <v>2</v>
      </c>
      <c r="I43" s="86" t="str">
        <f t="shared" si="3"/>
        <v>Se encuentra presente y funcionando, pero requiere acciones dirigidas a fortalecer  o mejorar su diseño y/o ejecucion.</v>
      </c>
      <c r="J43" s="49">
        <v>29</v>
      </c>
      <c r="K43" s="84">
        <f>+VLOOKUP(C43,Hoja1!$A$1:$M$82,13,0)</f>
        <v>0.5</v>
      </c>
      <c r="L43" s="846"/>
      <c r="M43" s="46"/>
      <c r="N43" s="33"/>
      <c r="O43" s="33"/>
      <c r="P43" s="33"/>
      <c r="Q43" s="33"/>
      <c r="R43" s="33"/>
      <c r="S43" s="33"/>
    </row>
    <row r="44" spans="2:19" s="24" customFormat="1" ht="99.75" customHeight="1" thickBot="1" x14ac:dyDescent="0.3">
      <c r="B44" s="95">
        <v>30</v>
      </c>
      <c r="C44" s="92" t="s">
        <v>493</v>
      </c>
      <c r="D44" s="93" t="s">
        <v>488</v>
      </c>
      <c r="E44" s="93" t="s">
        <v>489</v>
      </c>
      <c r="F44" s="93" t="s">
        <v>494</v>
      </c>
      <c r="G44" s="90">
        <f>+IFERROR(VLOOKUP(C44,Hoja1!$A$1:$K$82,11,0),"")</f>
        <v>3</v>
      </c>
      <c r="H44" s="248">
        <f>+IFERROR(VLOOKUP(C44,Hoja1!$A$1:$L$82,12,0),"")</f>
        <v>3</v>
      </c>
      <c r="I44" s="86" t="str">
        <f t="shared" si="3"/>
        <v>Se encuentra presente y funciona correctamente, por lo tanto se requiere acciones o actividades  dirigidas a su mantenimiento dentro del marco de las lineas de defensa.</v>
      </c>
      <c r="J44" s="49">
        <v>30</v>
      </c>
      <c r="K44" s="84">
        <f>+VLOOKUP(C44,Hoja1!$A$1:$M$82,13,0)</f>
        <v>1</v>
      </c>
      <c r="L44" s="846"/>
      <c r="M44" s="46"/>
      <c r="N44" s="33"/>
      <c r="O44" s="33"/>
      <c r="P44" s="33"/>
      <c r="Q44" s="33"/>
      <c r="R44" s="33"/>
      <c r="S44" s="33"/>
    </row>
    <row r="45" spans="2:19" s="24" customFormat="1" ht="99.75" customHeight="1" thickBot="1" x14ac:dyDescent="0.3">
      <c r="B45" s="91">
        <v>31</v>
      </c>
      <c r="C45" s="92" t="s">
        <v>495</v>
      </c>
      <c r="D45" s="93" t="s">
        <v>488</v>
      </c>
      <c r="E45" s="93" t="s">
        <v>496</v>
      </c>
      <c r="F45" s="93" t="s">
        <v>497</v>
      </c>
      <c r="G45" s="90">
        <f>+IFERROR(VLOOKUP(C45,Hoja1!$A$1:$K$82,11,0),"")</f>
        <v>3</v>
      </c>
      <c r="H45" s="248">
        <f>+IFERROR(VLOOKUP(C45,Hoja1!$A$1:$L$82,12,0),"")</f>
        <v>3</v>
      </c>
      <c r="I45" s="86" t="str">
        <f t="shared" si="3"/>
        <v>Se encuentra presente y funciona correctamente, por lo tanto se requiere acciones o actividades  dirigidas a su mantenimiento dentro del marco de las lineas de defensa.</v>
      </c>
      <c r="J45" s="49">
        <v>31</v>
      </c>
      <c r="K45" s="84">
        <f>+VLOOKUP(C45,Hoja1!$A$1:$M$82,13,0)</f>
        <v>1</v>
      </c>
      <c r="L45" s="846"/>
      <c r="M45" s="46"/>
      <c r="N45" s="33"/>
      <c r="O45" s="33"/>
      <c r="P45" s="33"/>
      <c r="Q45" s="33"/>
      <c r="R45" s="33"/>
      <c r="S45" s="33"/>
    </row>
    <row r="46" spans="2:19" s="24" customFormat="1" ht="99.75" customHeight="1" thickBot="1" x14ac:dyDescent="0.3">
      <c r="B46" s="91">
        <v>32</v>
      </c>
      <c r="C46" s="92" t="s">
        <v>498</v>
      </c>
      <c r="D46" s="93" t="s">
        <v>488</v>
      </c>
      <c r="E46" s="93" t="s">
        <v>496</v>
      </c>
      <c r="F46" s="93" t="s">
        <v>499</v>
      </c>
      <c r="G46" s="90">
        <f>+IFERROR(VLOOKUP(C46,Hoja1!$A$1:$K$82,11,0),"")</f>
        <v>3</v>
      </c>
      <c r="H46" s="248">
        <f>+IFERROR(VLOOKUP(C46,Hoja1!$A$1:$L$82,12,0),"")</f>
        <v>2</v>
      </c>
      <c r="I46" s="86" t="str">
        <f t="shared" si="3"/>
        <v>Se encuentra presente y funcionando, pero requiere acciones dirigidas a fortalecer  o mejorar su diseño y/o ejecucion.</v>
      </c>
      <c r="J46" s="49">
        <v>32</v>
      </c>
      <c r="K46" s="84">
        <f>+VLOOKUP(C46,Hoja1!$A$1:$M$82,13,0)</f>
        <v>0.5</v>
      </c>
      <c r="L46" s="846"/>
      <c r="M46" s="46"/>
      <c r="N46" s="33"/>
      <c r="O46" s="33"/>
      <c r="P46" s="33"/>
      <c r="Q46" s="33"/>
      <c r="R46" s="33"/>
      <c r="S46" s="33"/>
    </row>
    <row r="47" spans="2:19" s="24" customFormat="1" ht="99.75" customHeight="1" thickBot="1" x14ac:dyDescent="0.3">
      <c r="B47" s="91">
        <v>33</v>
      </c>
      <c r="C47" s="92" t="s">
        <v>500</v>
      </c>
      <c r="D47" s="93" t="s">
        <v>488</v>
      </c>
      <c r="E47" s="93" t="s">
        <v>496</v>
      </c>
      <c r="F47" s="93" t="s">
        <v>501</v>
      </c>
      <c r="G47" s="90">
        <f>+IFERROR(VLOOKUP(C47,Hoja1!$A$1:$K$82,11,0),"")</f>
        <v>3</v>
      </c>
      <c r="H47" s="248">
        <f>+IFERROR(VLOOKUP(C47,Hoja1!$A$1:$L$82,12,0),"")</f>
        <v>2</v>
      </c>
      <c r="I47" s="86" t="str">
        <f t="shared" si="3"/>
        <v>Se encuentra presente y funcionando, pero requiere acciones dirigidas a fortalecer  o mejorar su diseño y/o ejecucion.</v>
      </c>
      <c r="J47" s="49">
        <v>33</v>
      </c>
      <c r="K47" s="84">
        <f>+VLOOKUP(C47,Hoja1!$A$1:$M$82,13,0)</f>
        <v>0.5</v>
      </c>
      <c r="L47" s="846"/>
      <c r="M47" s="46"/>
      <c r="N47" s="33"/>
      <c r="O47" s="33"/>
      <c r="P47" s="33"/>
      <c r="Q47" s="33"/>
      <c r="R47" s="33"/>
      <c r="S47" s="33"/>
    </row>
    <row r="48" spans="2:19" s="24" customFormat="1" ht="99.75" customHeight="1" thickBot="1" x14ac:dyDescent="0.3">
      <c r="B48" s="95">
        <v>34</v>
      </c>
      <c r="C48" s="92" t="s">
        <v>502</v>
      </c>
      <c r="D48" s="93" t="s">
        <v>488</v>
      </c>
      <c r="E48" s="93" t="s">
        <v>496</v>
      </c>
      <c r="F48" s="93" t="s">
        <v>503</v>
      </c>
      <c r="G48" s="90">
        <f>+IFERROR(VLOOKUP(C48,Hoja1!$A$1:$K$82,11,0),"")</f>
        <v>3</v>
      </c>
      <c r="H48" s="248">
        <f>+IFERROR(VLOOKUP(C48,Hoja1!$A$1:$L$82,12,0),"")</f>
        <v>3</v>
      </c>
      <c r="I48" s="86" t="str">
        <f t="shared" si="3"/>
        <v>Se encuentra presente y funciona correctamente, por lo tanto se requiere acciones o actividades  dirigidas a su mantenimiento dentro del marco de las lineas de defensa.</v>
      </c>
      <c r="J48" s="49">
        <v>34</v>
      </c>
      <c r="K48" s="84">
        <f>+VLOOKUP(C48,Hoja1!$A$1:$M$82,13,0)</f>
        <v>1</v>
      </c>
      <c r="L48" s="846"/>
      <c r="M48" s="46"/>
      <c r="N48" s="33"/>
      <c r="O48" s="33"/>
      <c r="P48" s="33"/>
      <c r="Q48" s="33"/>
      <c r="R48" s="33"/>
      <c r="S48" s="33"/>
    </row>
    <row r="49" spans="2:19" s="24" customFormat="1" ht="99.75" customHeight="1" thickBot="1" x14ac:dyDescent="0.3">
      <c r="B49" s="91">
        <v>35</v>
      </c>
      <c r="C49" s="92" t="s">
        <v>504</v>
      </c>
      <c r="D49" s="93" t="s">
        <v>488</v>
      </c>
      <c r="E49" s="93" t="s">
        <v>496</v>
      </c>
      <c r="F49" s="93" t="s">
        <v>505</v>
      </c>
      <c r="G49" s="90">
        <f>+IFERROR(VLOOKUP(C49,Hoja1!$A$1:$K$82,11,0),"")</f>
        <v>3</v>
      </c>
      <c r="H49" s="248">
        <f>+IFERROR(VLOOKUP(C49,Hoja1!$A$1:$L$82,12,0),"")</f>
        <v>3</v>
      </c>
      <c r="I49" s="86" t="str">
        <f t="shared" si="3"/>
        <v>Se encuentra presente y funciona correctamente, por lo tanto se requiere acciones o actividades  dirigidas a su mantenimiento dentro del marco de las lineas de defensa.</v>
      </c>
      <c r="J49" s="49">
        <v>35</v>
      </c>
      <c r="K49" s="84">
        <f>+VLOOKUP(C49,Hoja1!$A$1:$M$82,13,0)</f>
        <v>1</v>
      </c>
      <c r="L49" s="846"/>
      <c r="M49" s="46"/>
      <c r="N49" s="33"/>
      <c r="O49" s="33"/>
      <c r="P49" s="33"/>
      <c r="Q49" s="33"/>
      <c r="R49" s="33"/>
      <c r="S49" s="33"/>
    </row>
    <row r="50" spans="2:19" s="24" customFormat="1" ht="99.75" customHeight="1" thickBot="1" x14ac:dyDescent="0.3">
      <c r="B50" s="95">
        <v>36</v>
      </c>
      <c r="C50" s="92" t="s">
        <v>506</v>
      </c>
      <c r="D50" s="93" t="s">
        <v>488</v>
      </c>
      <c r="E50" s="93" t="s">
        <v>507</v>
      </c>
      <c r="F50" s="93" t="s">
        <v>508</v>
      </c>
      <c r="G50" s="90">
        <f>+IFERROR(VLOOKUP(C50,Hoja1!$A$1:$K$82,11,0),"")</f>
        <v>3</v>
      </c>
      <c r="H50" s="248">
        <f>+IFERROR(VLOOKUP(C50,Hoja1!$A$1:$L$82,12,0),"")</f>
        <v>3</v>
      </c>
      <c r="I50" s="86" t="str">
        <f t="shared" si="3"/>
        <v>Se encuentra presente y funciona correctamente, por lo tanto se requiere acciones o actividades  dirigidas a su mantenimiento dentro del marco de las lineas de defensa.</v>
      </c>
      <c r="J50" s="49">
        <v>36</v>
      </c>
      <c r="K50" s="84">
        <f>+VLOOKUP(C50,Hoja1!$A$1:$M$82,13,0)</f>
        <v>1</v>
      </c>
      <c r="L50" s="846"/>
      <c r="M50" s="46"/>
      <c r="N50" s="33"/>
      <c r="O50" s="33"/>
      <c r="P50" s="33"/>
      <c r="Q50" s="33"/>
      <c r="R50" s="33"/>
      <c r="S50" s="33"/>
    </row>
    <row r="51" spans="2:19" s="24" customFormat="1" ht="99.75" customHeight="1" thickBot="1" x14ac:dyDescent="0.3">
      <c r="B51" s="91">
        <v>37</v>
      </c>
      <c r="C51" s="92" t="s">
        <v>509</v>
      </c>
      <c r="D51" s="93" t="s">
        <v>488</v>
      </c>
      <c r="E51" s="93" t="s">
        <v>507</v>
      </c>
      <c r="F51" s="93" t="s">
        <v>510</v>
      </c>
      <c r="G51" s="90">
        <f>+IFERROR(VLOOKUP(C51,Hoja1!$A$1:$K$82,11,0),"")</f>
        <v>3</v>
      </c>
      <c r="H51" s="248">
        <f>+IFERROR(VLOOKUP(C51,Hoja1!$A$1:$L$82,12,0),"")</f>
        <v>3</v>
      </c>
      <c r="I51" s="86" t="str">
        <f t="shared" si="3"/>
        <v>Se encuentra presente y funciona correctamente, por lo tanto se requiere acciones o actividades  dirigidas a su mantenimiento dentro del marco de las lineas de defensa.</v>
      </c>
      <c r="J51" s="49">
        <v>37</v>
      </c>
      <c r="K51" s="84">
        <f>+VLOOKUP(C51,Hoja1!$A$1:$M$82,13,0)</f>
        <v>1</v>
      </c>
      <c r="L51" s="846"/>
      <c r="M51" s="46"/>
      <c r="N51" s="33"/>
      <c r="O51" s="33"/>
      <c r="P51" s="33"/>
      <c r="Q51" s="33"/>
      <c r="R51" s="33"/>
      <c r="S51" s="33"/>
    </row>
    <row r="52" spans="2:19" s="24" customFormat="1" ht="99.75" customHeight="1" thickBot="1" x14ac:dyDescent="0.3">
      <c r="B52" s="91">
        <v>38</v>
      </c>
      <c r="C52" s="92" t="s">
        <v>511</v>
      </c>
      <c r="D52" s="93" t="s">
        <v>488</v>
      </c>
      <c r="E52" s="93" t="s">
        <v>507</v>
      </c>
      <c r="F52" s="93" t="s">
        <v>512</v>
      </c>
      <c r="G52" s="90">
        <f>+IFERROR(VLOOKUP(C52,Hoja1!$A$1:$K$82,11,0),"")</f>
        <v>3</v>
      </c>
      <c r="H52" s="248">
        <f>+IFERROR(VLOOKUP(C52,Hoja1!$A$1:$L$82,12,0),"")</f>
        <v>3</v>
      </c>
      <c r="I52" s="86" t="str">
        <f t="shared" si="3"/>
        <v>Se encuentra presente y funciona correctamente, por lo tanto se requiere acciones o actividades  dirigidas a su mantenimiento dentro del marco de las lineas de defensa.</v>
      </c>
      <c r="J52" s="49">
        <v>38</v>
      </c>
      <c r="K52" s="84">
        <f>+VLOOKUP(C52,Hoja1!$A$1:$M$82,13,0)</f>
        <v>1</v>
      </c>
      <c r="L52" s="846"/>
      <c r="M52" s="46"/>
      <c r="N52" s="33"/>
      <c r="O52" s="33"/>
      <c r="P52" s="33"/>
      <c r="Q52" s="33"/>
      <c r="R52" s="33"/>
      <c r="S52" s="33"/>
    </row>
    <row r="53" spans="2:19" s="24" customFormat="1" ht="99.75" customHeight="1" thickBot="1" x14ac:dyDescent="0.3">
      <c r="B53" s="91">
        <v>39</v>
      </c>
      <c r="C53" s="92" t="s">
        <v>513</v>
      </c>
      <c r="D53" s="93" t="s">
        <v>488</v>
      </c>
      <c r="E53" s="93" t="s">
        <v>507</v>
      </c>
      <c r="F53" s="93" t="s">
        <v>514</v>
      </c>
      <c r="G53" s="90">
        <f>+IFERROR(VLOOKUP(C53,Hoja1!$A$1:$K$82,11,0),"")</f>
        <v>3</v>
      </c>
      <c r="H53" s="248">
        <f>+IFERROR(VLOOKUP(C53,Hoja1!$A$1:$L$82,12,0),"")</f>
        <v>3</v>
      </c>
      <c r="I53" s="86" t="str">
        <f t="shared" si="3"/>
        <v>Se encuentra presente y funciona correctamente, por lo tanto se requiere acciones o actividades  dirigidas a su mantenimiento dentro del marco de las lineas de defensa.</v>
      </c>
      <c r="J53" s="49">
        <v>39</v>
      </c>
      <c r="K53" s="84">
        <f>+VLOOKUP(C53,Hoja1!$A$1:$M$82,13,0)</f>
        <v>1</v>
      </c>
      <c r="L53" s="846"/>
      <c r="M53" s="46"/>
      <c r="N53" s="33"/>
      <c r="O53" s="33"/>
      <c r="P53" s="33"/>
      <c r="Q53" s="33"/>
      <c r="R53" s="33"/>
      <c r="S53" s="33"/>
    </row>
    <row r="54" spans="2:19" s="24" customFormat="1" ht="99.75" customHeight="1" thickBot="1" x14ac:dyDescent="0.3">
      <c r="B54" s="95">
        <v>40</v>
      </c>
      <c r="C54" s="92" t="s">
        <v>515</v>
      </c>
      <c r="D54" s="93" t="s">
        <v>488</v>
      </c>
      <c r="E54" s="93" t="s">
        <v>516</v>
      </c>
      <c r="F54" s="93" t="s">
        <v>517</v>
      </c>
      <c r="G54" s="90">
        <f>+IFERROR(VLOOKUP(C54,Hoja1!$A$1:$K$82,11,0),"")</f>
        <v>3</v>
      </c>
      <c r="H54" s="248">
        <f>+IFERROR(VLOOKUP(C54,Hoja1!$A$1:$L$82,12,0),"")</f>
        <v>3</v>
      </c>
      <c r="I54" s="86" t="str">
        <f t="shared" si="3"/>
        <v>Se encuentra presente y funciona correctamente, por lo tanto se requiere acciones o actividades  dirigidas a su mantenimiento dentro del marco de las lineas de defensa.</v>
      </c>
      <c r="J54" s="49">
        <v>40</v>
      </c>
      <c r="K54" s="84">
        <f>+VLOOKUP(C54,Hoja1!$A$1:$M$82,13,0)</f>
        <v>1</v>
      </c>
      <c r="L54" s="846"/>
      <c r="M54" s="46"/>
      <c r="N54" s="33"/>
      <c r="O54" s="33"/>
      <c r="P54" s="33"/>
      <c r="Q54" s="33"/>
      <c r="R54" s="33"/>
      <c r="S54" s="33"/>
    </row>
    <row r="55" spans="2:19" s="24" customFormat="1" ht="99.75" customHeight="1" thickBot="1" x14ac:dyDescent="0.3">
      <c r="B55" s="91">
        <v>41</v>
      </c>
      <c r="C55" s="92" t="s">
        <v>518</v>
      </c>
      <c r="D55" s="93" t="s">
        <v>488</v>
      </c>
      <c r="E55" s="93" t="s">
        <v>516</v>
      </c>
      <c r="F55" s="93" t="s">
        <v>519</v>
      </c>
      <c r="G55" s="90">
        <f>+IFERROR(VLOOKUP(C55,Hoja1!$A$1:$K$82,11,0),"")</f>
        <v>3</v>
      </c>
      <c r="H55" s="248">
        <f>+IFERROR(VLOOKUP(C55,Hoja1!$A$1:$L$82,12,0),"")</f>
        <v>3</v>
      </c>
      <c r="I55" s="86" t="str">
        <f t="shared" si="3"/>
        <v>Se encuentra presente y funciona correctamente, por lo tanto se requiere acciones o actividades  dirigidas a su mantenimiento dentro del marco de las lineas de defensa.</v>
      </c>
      <c r="J55" s="49">
        <v>41</v>
      </c>
      <c r="K55" s="84">
        <f>+VLOOKUP(C55,Hoja1!$A$1:$M$82,13,0)</f>
        <v>1</v>
      </c>
      <c r="L55" s="846"/>
      <c r="M55" s="46"/>
      <c r="N55" s="33"/>
      <c r="O55" s="33"/>
      <c r="P55" s="33"/>
      <c r="Q55" s="33"/>
      <c r="R55" s="33"/>
      <c r="S55" s="33"/>
    </row>
    <row r="56" spans="2:19" s="24" customFormat="1" ht="99.75" customHeight="1" thickBot="1" x14ac:dyDescent="0.3">
      <c r="B56" s="95">
        <v>42</v>
      </c>
      <c r="C56" s="92" t="s">
        <v>520</v>
      </c>
      <c r="D56" s="93" t="s">
        <v>488</v>
      </c>
      <c r="E56" s="93" t="s">
        <v>516</v>
      </c>
      <c r="F56" s="93" t="s">
        <v>521</v>
      </c>
      <c r="G56" s="90">
        <f>+IFERROR(VLOOKUP(C56,Hoja1!$A$1:$K$82,11,0),"")</f>
        <v>3</v>
      </c>
      <c r="H56" s="248">
        <f>+IFERROR(VLOOKUP(C56,Hoja1!$A$1:$L$82,12,0),"")</f>
        <v>3</v>
      </c>
      <c r="I56" s="86" t="str">
        <f t="shared" si="3"/>
        <v>Se encuentra presente y funciona correctamente, por lo tanto se requiere acciones o actividades  dirigidas a su mantenimiento dentro del marco de las lineas de defensa.</v>
      </c>
      <c r="J56" s="49">
        <v>42</v>
      </c>
      <c r="K56" s="84">
        <f>+VLOOKUP(C56,Hoja1!$A$1:$M$82,13,0)</f>
        <v>1</v>
      </c>
      <c r="L56" s="846"/>
      <c r="M56" s="46"/>
      <c r="N56" s="33"/>
      <c r="O56" s="33"/>
      <c r="P56" s="33"/>
      <c r="Q56" s="33"/>
      <c r="R56" s="33"/>
      <c r="S56" s="33"/>
    </row>
    <row r="57" spans="2:19" s="24" customFormat="1" ht="99.75" customHeight="1" thickBot="1" x14ac:dyDescent="0.3">
      <c r="B57" s="91">
        <v>43</v>
      </c>
      <c r="C57" s="92" t="s">
        <v>522</v>
      </c>
      <c r="D57" s="93" t="s">
        <v>488</v>
      </c>
      <c r="E57" s="93" t="s">
        <v>516</v>
      </c>
      <c r="F57" s="93" t="s">
        <v>523</v>
      </c>
      <c r="G57" s="90">
        <f>+IFERROR(VLOOKUP(C57,Hoja1!$A$1:$K$82,11,0),"")</f>
        <v>3</v>
      </c>
      <c r="H57" s="248">
        <f>+IFERROR(VLOOKUP(C57,Hoja1!$A$1:$L$82,12,0),"")</f>
        <v>3</v>
      </c>
      <c r="I57" s="86" t="str">
        <f t="shared" si="3"/>
        <v>Se encuentra presente y funciona correctamente, por lo tanto se requiere acciones o actividades  dirigidas a su mantenimiento dentro del marco de las lineas de defensa.</v>
      </c>
      <c r="J57" s="49">
        <v>43</v>
      </c>
      <c r="K57" s="84">
        <f>+VLOOKUP(C57,Hoja1!$A$1:$M$82,13,0)</f>
        <v>1</v>
      </c>
      <c r="L57" s="846"/>
      <c r="M57" s="46"/>
      <c r="N57" s="33"/>
      <c r="O57" s="33"/>
      <c r="P57" s="33"/>
      <c r="Q57" s="33"/>
      <c r="R57" s="33"/>
      <c r="S57" s="33"/>
    </row>
    <row r="58" spans="2:19" s="24" customFormat="1" ht="99.75" customHeight="1" thickBot="1" x14ac:dyDescent="0.3">
      <c r="B58" s="91">
        <v>44</v>
      </c>
      <c r="C58" s="92" t="s">
        <v>524</v>
      </c>
      <c r="D58" s="93" t="s">
        <v>488</v>
      </c>
      <c r="E58" s="93" t="s">
        <v>516</v>
      </c>
      <c r="F58" s="93" t="s">
        <v>525</v>
      </c>
      <c r="G58" s="90">
        <f>+IFERROR(VLOOKUP(C58,Hoja1!$A$1:$K$82,11,0),"")</f>
        <v>3</v>
      </c>
      <c r="H58" s="248">
        <v>3</v>
      </c>
      <c r="I58" s="86" t="str">
        <f t="shared" si="3"/>
        <v>Se encuentra presente y funciona correctamente, por lo tanto se requiere acciones o actividades  dirigidas a su mantenimiento dentro del marco de las lineas de defensa.</v>
      </c>
      <c r="J58" s="49">
        <v>44</v>
      </c>
      <c r="K58" s="84">
        <f>+VLOOKUP(C58,Hoja1!$A$1:$M$82,13,0)</f>
        <v>1</v>
      </c>
      <c r="L58" s="846"/>
      <c r="M58" s="46"/>
      <c r="N58" s="33"/>
      <c r="O58" s="33"/>
      <c r="P58" s="33"/>
      <c r="Q58" s="33"/>
      <c r="R58" s="33"/>
      <c r="S58" s="33"/>
    </row>
    <row r="59" spans="2:19" s="24" customFormat="1" ht="99.75" customHeight="1" thickBot="1" x14ac:dyDescent="0.3">
      <c r="B59" s="91">
        <v>45</v>
      </c>
      <c r="C59" s="92" t="s">
        <v>526</v>
      </c>
      <c r="D59" s="93" t="s">
        <v>527</v>
      </c>
      <c r="E59" s="93" t="s">
        <v>528</v>
      </c>
      <c r="F59" s="93" t="s">
        <v>529</v>
      </c>
      <c r="G59" s="90">
        <f>+IFERROR(VLOOKUP(C59,Hoja1!$A$1:$K$82,11,0),"")</f>
        <v>3</v>
      </c>
      <c r="H59" s="248">
        <f>+IFERROR(VLOOKUP(C59,Hoja1!$A$1:$L$82,12,0),"")</f>
        <v>3</v>
      </c>
      <c r="I59" s="86" t="str">
        <f t="shared" si="3"/>
        <v>Se encuentra presente y funciona correctamente, por lo tanto se requiere acciones o actividades  dirigidas a su mantenimiento dentro del marco de las lineas de defensa.</v>
      </c>
      <c r="J59" s="49">
        <v>45</v>
      </c>
      <c r="K59" s="84">
        <f>+VLOOKUP(C59,Hoja1!$A$1:$M$82,13,0)</f>
        <v>1</v>
      </c>
      <c r="L59" s="846">
        <f>+AVERAGE(K59:K70)</f>
        <v>0.95833333333333337</v>
      </c>
      <c r="M59" s="46"/>
      <c r="N59" s="33"/>
      <c r="O59" s="33"/>
      <c r="P59" s="33"/>
      <c r="Q59" s="33"/>
      <c r="R59" s="33"/>
      <c r="S59" s="33"/>
    </row>
    <row r="60" spans="2:19" s="24" customFormat="1" ht="99.75" customHeight="1" thickBot="1" x14ac:dyDescent="0.3">
      <c r="B60" s="95">
        <v>46</v>
      </c>
      <c r="C60" s="92" t="s">
        <v>530</v>
      </c>
      <c r="D60" s="93" t="s">
        <v>527</v>
      </c>
      <c r="E60" s="93" t="s">
        <v>528</v>
      </c>
      <c r="F60" s="93" t="s">
        <v>531</v>
      </c>
      <c r="G60" s="90">
        <f>+IFERROR(VLOOKUP(C60,Hoja1!$A$1:$K$82,11,0),"")</f>
        <v>3</v>
      </c>
      <c r="H60" s="248">
        <f>+IFERROR(VLOOKUP(C60,Hoja1!$A$1:$L$82,12,0),"")</f>
        <v>2</v>
      </c>
      <c r="I60" s="86" t="str">
        <f t="shared" si="3"/>
        <v>Se encuentra presente y funcionando, pero requiere acciones dirigidas a fortalecer  o mejorar su diseño y/o ejecucion.</v>
      </c>
      <c r="J60" s="49">
        <v>46</v>
      </c>
      <c r="K60" s="84">
        <f>+VLOOKUP(C60,Hoja1!$A$1:$M$82,13,0)</f>
        <v>0.5</v>
      </c>
      <c r="L60" s="846"/>
      <c r="M60" s="46"/>
      <c r="N60" s="33"/>
      <c r="O60" s="33"/>
      <c r="P60" s="33"/>
      <c r="Q60" s="33"/>
      <c r="R60" s="33"/>
      <c r="S60" s="33"/>
    </row>
    <row r="61" spans="2:19" s="24" customFormat="1" ht="99.75" customHeight="1" thickBot="1" x14ac:dyDescent="0.3">
      <c r="B61" s="91">
        <v>47</v>
      </c>
      <c r="C61" s="92" t="s">
        <v>532</v>
      </c>
      <c r="D61" s="93" t="s">
        <v>527</v>
      </c>
      <c r="E61" s="93" t="s">
        <v>528</v>
      </c>
      <c r="F61" s="93" t="s">
        <v>533</v>
      </c>
      <c r="G61" s="90">
        <f>+IFERROR(VLOOKUP(C61,Hoja1!$A$1:$K$82,11,0),"")</f>
        <v>3</v>
      </c>
      <c r="H61" s="248">
        <f>+IFERROR(VLOOKUP(C61,Hoja1!$A$1:$L$82,12,0),"")</f>
        <v>3</v>
      </c>
      <c r="I61" s="86" t="str">
        <f t="shared" si="3"/>
        <v>Se encuentra presente y funciona correctamente, por lo tanto se requiere acciones o actividades  dirigidas a su mantenimiento dentro del marco de las lineas de defensa.</v>
      </c>
      <c r="J61" s="49">
        <v>47</v>
      </c>
      <c r="K61" s="84">
        <f>+VLOOKUP(C61,Hoja1!$A$1:$M$82,13,0)</f>
        <v>1</v>
      </c>
      <c r="L61" s="846"/>
      <c r="M61" s="46"/>
      <c r="N61" s="33"/>
      <c r="O61" s="33"/>
      <c r="P61" s="33"/>
      <c r="Q61" s="33"/>
      <c r="R61" s="33"/>
      <c r="S61" s="33"/>
    </row>
    <row r="62" spans="2:19" s="24" customFormat="1" ht="99.75" customHeight="1" thickBot="1" x14ac:dyDescent="0.3">
      <c r="B62" s="95">
        <v>48</v>
      </c>
      <c r="C62" s="92" t="s">
        <v>293</v>
      </c>
      <c r="D62" s="93" t="s">
        <v>527</v>
      </c>
      <c r="E62" s="93" t="s">
        <v>534</v>
      </c>
      <c r="F62" s="93" t="s">
        <v>535</v>
      </c>
      <c r="G62" s="90">
        <f>+IFERROR(VLOOKUP(C62,Hoja1!$A$1:$K$82,11,0),"")</f>
        <v>3</v>
      </c>
      <c r="H62" s="248">
        <f>+IFERROR(VLOOKUP(C62,Hoja1!$A$1:$L$82,12,0),"")</f>
        <v>3</v>
      </c>
      <c r="I62" s="86" t="str">
        <f t="shared" si="3"/>
        <v>Se encuentra presente y funciona correctamente, por lo tanto se requiere acciones o actividades  dirigidas a su mantenimiento dentro del marco de las lineas de defensa.</v>
      </c>
      <c r="J62" s="49">
        <v>48</v>
      </c>
      <c r="K62" s="84">
        <f>+VLOOKUP(C62,Hoja1!$A$1:$M$82,13,0)</f>
        <v>1</v>
      </c>
      <c r="L62" s="846"/>
      <c r="M62" s="46"/>
      <c r="N62" s="33"/>
      <c r="O62" s="33"/>
      <c r="P62" s="33"/>
      <c r="Q62" s="33"/>
      <c r="R62" s="33"/>
      <c r="S62" s="33"/>
    </row>
    <row r="63" spans="2:19" s="24" customFormat="1" ht="99.75" customHeight="1" thickBot="1" x14ac:dyDescent="0.3">
      <c r="B63" s="91">
        <v>49</v>
      </c>
      <c r="C63" s="92" t="s">
        <v>296</v>
      </c>
      <c r="D63" s="93" t="s">
        <v>527</v>
      </c>
      <c r="E63" s="93" t="s">
        <v>534</v>
      </c>
      <c r="F63" s="93" t="s">
        <v>536</v>
      </c>
      <c r="G63" s="90">
        <f>+IFERROR(VLOOKUP(C63,Hoja1!$A$1:$K$82,11,0),"")</f>
        <v>3</v>
      </c>
      <c r="H63" s="248">
        <f>+IFERROR(VLOOKUP(C63,Hoja1!$A$1:$L$82,12,0),"")</f>
        <v>3</v>
      </c>
      <c r="I63" s="86" t="str">
        <f t="shared" si="3"/>
        <v>Se encuentra presente y funciona correctamente, por lo tanto se requiere acciones o actividades  dirigidas a su mantenimiento dentro del marco de las lineas de defensa.</v>
      </c>
      <c r="J63" s="49">
        <v>49</v>
      </c>
      <c r="K63" s="84">
        <f>+VLOOKUP(C63,Hoja1!$A$1:$M$82,13,0)</f>
        <v>1</v>
      </c>
      <c r="L63" s="846"/>
      <c r="M63" s="46"/>
      <c r="N63" s="33"/>
      <c r="O63" s="33"/>
      <c r="P63" s="33"/>
      <c r="Q63" s="33"/>
      <c r="R63" s="33"/>
      <c r="S63" s="33"/>
    </row>
    <row r="64" spans="2:19" s="24" customFormat="1" ht="99.75" customHeight="1" thickBot="1" x14ac:dyDescent="0.3">
      <c r="B64" s="91">
        <v>50</v>
      </c>
      <c r="C64" s="92" t="s">
        <v>537</v>
      </c>
      <c r="D64" s="93" t="s">
        <v>527</v>
      </c>
      <c r="E64" s="93" t="s">
        <v>534</v>
      </c>
      <c r="F64" s="93" t="s">
        <v>538</v>
      </c>
      <c r="G64" s="90">
        <f>+IFERROR(VLOOKUP(C64,Hoja1!$A$1:$K$82,11,0),"")</f>
        <v>3</v>
      </c>
      <c r="H64" s="248">
        <f>+IFERROR(VLOOKUP(C64,Hoja1!$A$1:$L$82,12,0),"")</f>
        <v>3</v>
      </c>
      <c r="I64" s="86" t="str">
        <f t="shared" si="3"/>
        <v>Se encuentra presente y funciona correctamente, por lo tanto se requiere acciones o actividades  dirigidas a su mantenimiento dentro del marco de las lineas de defensa.</v>
      </c>
      <c r="J64" s="49">
        <v>50</v>
      </c>
      <c r="K64" s="84">
        <f>+VLOOKUP(C64,Hoja1!$A$1:$M$82,13,0)</f>
        <v>1</v>
      </c>
      <c r="L64" s="846"/>
      <c r="M64" s="46"/>
      <c r="N64" s="33"/>
      <c r="O64" s="33"/>
      <c r="P64" s="33"/>
      <c r="Q64" s="33"/>
      <c r="R64" s="33"/>
      <c r="S64" s="33"/>
    </row>
    <row r="65" spans="2:19" s="24" customFormat="1" ht="99.75" customHeight="1" thickBot="1" x14ac:dyDescent="0.3">
      <c r="B65" s="91">
        <v>51</v>
      </c>
      <c r="C65" s="92" t="s">
        <v>539</v>
      </c>
      <c r="D65" s="93" t="s">
        <v>527</v>
      </c>
      <c r="E65" s="93" t="s">
        <v>534</v>
      </c>
      <c r="F65" s="93" t="s">
        <v>540</v>
      </c>
      <c r="G65" s="90">
        <f>+IFERROR(VLOOKUP(C65,Hoja1!$A$1:$K$82,11,0),"")</f>
        <v>3</v>
      </c>
      <c r="H65" s="248">
        <f>+IFERROR(VLOOKUP(C65,Hoja1!$A$1:$L$82,12,0),"")</f>
        <v>3</v>
      </c>
      <c r="I65" s="86" t="str">
        <f t="shared" si="3"/>
        <v>Se encuentra presente y funciona correctamente, por lo tanto se requiere acciones o actividades  dirigidas a su mantenimiento dentro del marco de las lineas de defensa.</v>
      </c>
      <c r="J65" s="49">
        <v>51</v>
      </c>
      <c r="K65" s="84">
        <f>+VLOOKUP(C65,Hoja1!$A$1:$M$82,13,0)</f>
        <v>1</v>
      </c>
      <c r="L65" s="846"/>
      <c r="M65" s="46"/>
      <c r="N65" s="33"/>
      <c r="O65" s="33"/>
      <c r="P65" s="33"/>
      <c r="Q65" s="33"/>
      <c r="R65" s="33"/>
      <c r="S65" s="33"/>
    </row>
    <row r="66" spans="2:19" s="24" customFormat="1" ht="99.75" customHeight="1" thickBot="1" x14ac:dyDescent="0.3">
      <c r="B66" s="95">
        <v>52</v>
      </c>
      <c r="C66" s="92" t="s">
        <v>541</v>
      </c>
      <c r="D66" s="93" t="s">
        <v>527</v>
      </c>
      <c r="E66" s="93" t="s">
        <v>542</v>
      </c>
      <c r="F66" s="93" t="s">
        <v>543</v>
      </c>
      <c r="G66" s="90">
        <f>+IFERROR(VLOOKUP(C66,Hoja1!$A$1:$K$82,11,0),"")</f>
        <v>3</v>
      </c>
      <c r="H66" s="248">
        <f>+IFERROR(VLOOKUP(C66,Hoja1!$A$1:$L$82,12,0),"")</f>
        <v>3</v>
      </c>
      <c r="I66" s="86" t="str">
        <f t="shared" si="3"/>
        <v>Se encuentra presente y funciona correctamente, por lo tanto se requiere acciones o actividades  dirigidas a su mantenimiento dentro del marco de las lineas de defensa.</v>
      </c>
      <c r="J66" s="49">
        <v>52</v>
      </c>
      <c r="K66" s="84">
        <f>+VLOOKUP(C66,Hoja1!$A$1:$M$82,13,0)</f>
        <v>1</v>
      </c>
      <c r="L66" s="846"/>
      <c r="M66" s="46"/>
      <c r="N66" s="33"/>
      <c r="O66" s="33"/>
      <c r="P66" s="33"/>
      <c r="Q66" s="33"/>
      <c r="R66" s="33"/>
      <c r="S66" s="33"/>
    </row>
    <row r="67" spans="2:19" s="24" customFormat="1" ht="99.75" customHeight="1" thickBot="1" x14ac:dyDescent="0.3">
      <c r="B67" s="91">
        <v>53</v>
      </c>
      <c r="C67" s="92" t="s">
        <v>544</v>
      </c>
      <c r="D67" s="93" t="s">
        <v>527</v>
      </c>
      <c r="E67" s="93" t="s">
        <v>542</v>
      </c>
      <c r="F67" s="93" t="s">
        <v>545</v>
      </c>
      <c r="G67" s="90">
        <f>+IFERROR(VLOOKUP(C67,Hoja1!$A$1:$K$82,11,0),"")</f>
        <v>3</v>
      </c>
      <c r="H67" s="248">
        <f>+IFERROR(VLOOKUP(C67,Hoja1!$A$1:$L$82,12,0),"")</f>
        <v>3</v>
      </c>
      <c r="I67" s="86" t="str">
        <f t="shared" si="3"/>
        <v>Se encuentra presente y funciona correctamente, por lo tanto se requiere acciones o actividades  dirigidas a su mantenimiento dentro del marco de las lineas de defensa.</v>
      </c>
      <c r="J67" s="49">
        <v>53</v>
      </c>
      <c r="K67" s="84">
        <f>+VLOOKUP(C67,Hoja1!$A$1:$M$82,13,0)</f>
        <v>1</v>
      </c>
      <c r="L67" s="846"/>
      <c r="M67" s="46"/>
      <c r="N67" s="33"/>
      <c r="O67" s="33"/>
      <c r="P67" s="33"/>
      <c r="Q67" s="33"/>
      <c r="R67" s="33"/>
      <c r="S67" s="33"/>
    </row>
    <row r="68" spans="2:19" s="24" customFormat="1" ht="99.75" customHeight="1" thickBot="1" x14ac:dyDescent="0.3">
      <c r="B68" s="95">
        <v>54</v>
      </c>
      <c r="C68" s="92" t="s">
        <v>546</v>
      </c>
      <c r="D68" s="93" t="s">
        <v>527</v>
      </c>
      <c r="E68" s="93" t="s">
        <v>542</v>
      </c>
      <c r="F68" s="93" t="s">
        <v>547</v>
      </c>
      <c r="G68" s="90">
        <f>+IFERROR(VLOOKUP(C68,Hoja1!$A$1:$K$82,11,0),"")</f>
        <v>3</v>
      </c>
      <c r="H68" s="248">
        <f>+IFERROR(VLOOKUP(C68,Hoja1!$A$1:$L$82,12,0),"")</f>
        <v>3</v>
      </c>
      <c r="I68" s="86" t="str">
        <f t="shared" si="3"/>
        <v>Se encuentra presente y funciona correctamente, por lo tanto se requiere acciones o actividades  dirigidas a su mantenimiento dentro del marco de las lineas de defensa.</v>
      </c>
      <c r="J68" s="49">
        <v>54</v>
      </c>
      <c r="K68" s="84">
        <f>+VLOOKUP(C68,Hoja1!$A$1:$M$82,13,0)</f>
        <v>1</v>
      </c>
      <c r="L68" s="846"/>
      <c r="M68" s="46"/>
      <c r="N68" s="33"/>
      <c r="O68" s="33"/>
      <c r="P68" s="33"/>
      <c r="Q68" s="33"/>
      <c r="R68" s="33"/>
      <c r="S68" s="33"/>
    </row>
    <row r="69" spans="2:19" s="24" customFormat="1" ht="99.75" customHeight="1" thickBot="1" x14ac:dyDescent="0.3">
      <c r="B69" s="91">
        <v>55</v>
      </c>
      <c r="C69" s="92" t="s">
        <v>548</v>
      </c>
      <c r="D69" s="93" t="s">
        <v>527</v>
      </c>
      <c r="E69" s="93" t="s">
        <v>542</v>
      </c>
      <c r="F69" s="93" t="s">
        <v>549</v>
      </c>
      <c r="G69" s="90">
        <f>+IFERROR(VLOOKUP(C69,Hoja1!$A$1:$K$82,11,0),"")</f>
        <v>3</v>
      </c>
      <c r="H69" s="248">
        <f>+IFERROR(VLOOKUP(C69,Hoja1!$A$1:$L$82,12,0),"")</f>
        <v>3</v>
      </c>
      <c r="I69" s="86" t="str">
        <f t="shared" si="3"/>
        <v>Se encuentra presente y funciona correctamente, por lo tanto se requiere acciones o actividades  dirigidas a su mantenimiento dentro del marco de las lineas de defensa.</v>
      </c>
      <c r="J69" s="49">
        <v>55</v>
      </c>
      <c r="K69" s="84">
        <f>+VLOOKUP(C69,Hoja1!$A$1:$M$82,13,0)</f>
        <v>1</v>
      </c>
      <c r="L69" s="846"/>
      <c r="M69" s="46"/>
      <c r="N69" s="33"/>
      <c r="O69" s="33"/>
      <c r="P69" s="33"/>
      <c r="Q69" s="33"/>
      <c r="R69" s="33"/>
      <c r="S69" s="33"/>
    </row>
    <row r="70" spans="2:19" s="24" customFormat="1" ht="99.75" customHeight="1" thickBot="1" x14ac:dyDescent="0.3">
      <c r="B70" s="91">
        <v>56</v>
      </c>
      <c r="C70" s="92" t="s">
        <v>550</v>
      </c>
      <c r="D70" s="93" t="s">
        <v>527</v>
      </c>
      <c r="E70" s="93" t="s">
        <v>542</v>
      </c>
      <c r="F70" s="93" t="s">
        <v>551</v>
      </c>
      <c r="G70" s="90">
        <f>+IFERROR(VLOOKUP(C70,Hoja1!$A$1:$K$82,11,0),"")</f>
        <v>3</v>
      </c>
      <c r="H70" s="248">
        <f>+IFERROR(VLOOKUP(C70,Hoja1!$A$1:$L$82,12,0),"")</f>
        <v>3</v>
      </c>
      <c r="I70" s="86" t="str">
        <f t="shared" si="3"/>
        <v>Se encuentra presente y funciona correctamente, por lo tanto se requiere acciones o actividades  dirigidas a su mantenimiento dentro del marco de las lineas de defensa.</v>
      </c>
      <c r="J70" s="49">
        <v>56</v>
      </c>
      <c r="K70" s="84">
        <f>+VLOOKUP(C70,Hoja1!$A$1:$M$82,13,0)</f>
        <v>1</v>
      </c>
      <c r="L70" s="846"/>
      <c r="M70" s="46"/>
      <c r="N70" s="33"/>
      <c r="O70" s="33"/>
      <c r="P70" s="33"/>
      <c r="Q70" s="33"/>
      <c r="R70" s="33"/>
      <c r="S70" s="33"/>
    </row>
    <row r="71" spans="2:19" s="24" customFormat="1" ht="99.75" customHeight="1" thickBot="1" x14ac:dyDescent="0.3">
      <c r="B71" s="91">
        <v>57</v>
      </c>
      <c r="C71" s="92" t="s">
        <v>321</v>
      </c>
      <c r="D71" s="93" t="s">
        <v>552</v>
      </c>
      <c r="E71" s="93" t="s">
        <v>553</v>
      </c>
      <c r="F71" s="93" t="s">
        <v>554</v>
      </c>
      <c r="G71" s="90">
        <f>+IFERROR(VLOOKUP(C71,Hoja1!$A$1:$K$82,11,0),"")</f>
        <v>3</v>
      </c>
      <c r="H71" s="248">
        <f>+IFERROR(VLOOKUP(C71,Hoja1!$A$1:$L$82,12,0),"")</f>
        <v>3</v>
      </c>
      <c r="I71" s="86" t="str">
        <f t="shared" si="3"/>
        <v>Se encuentra presente y funciona correctamente, por lo tanto se requiere acciones o actividades  dirigidas a su mantenimiento dentro del marco de las lineas de defensa.</v>
      </c>
      <c r="J71" s="49">
        <v>57</v>
      </c>
      <c r="K71" s="84">
        <f>+VLOOKUP(C71,Hoja1!$A$1:$M$82,13,0)</f>
        <v>1</v>
      </c>
      <c r="L71" s="847">
        <f>+AVERAGE(K71:K83)</f>
        <v>0.88461538461538458</v>
      </c>
      <c r="M71" s="46"/>
      <c r="N71" s="33"/>
      <c r="O71" s="33"/>
      <c r="P71" s="33"/>
      <c r="Q71" s="33"/>
      <c r="R71" s="33"/>
      <c r="S71" s="33"/>
    </row>
    <row r="72" spans="2:19" s="24" customFormat="1" ht="99.75" customHeight="1" thickBot="1" x14ac:dyDescent="0.3">
      <c r="B72" s="95">
        <v>58</v>
      </c>
      <c r="C72" s="92" t="s">
        <v>324</v>
      </c>
      <c r="D72" s="93" t="s">
        <v>552</v>
      </c>
      <c r="E72" s="93" t="s">
        <v>553</v>
      </c>
      <c r="F72" s="93" t="s">
        <v>555</v>
      </c>
      <c r="G72" s="90">
        <f>+IFERROR(VLOOKUP(C72,Hoja1!$A$1:$K$82,11,0),"")</f>
        <v>3</v>
      </c>
      <c r="H72" s="248">
        <f>+IFERROR(VLOOKUP(C72,Hoja1!$A$1:$L$82,12,0),"")</f>
        <v>3</v>
      </c>
      <c r="I72" s="86" t="str">
        <f t="shared" si="3"/>
        <v>Se encuentra presente y funciona correctamente, por lo tanto se requiere acciones o actividades  dirigidas a su mantenimiento dentro del marco de las lineas de defensa.</v>
      </c>
      <c r="J72" s="49">
        <v>58</v>
      </c>
      <c r="K72" s="84">
        <f>+VLOOKUP(C72,Hoja1!$A$1:$M$82,13,0)</f>
        <v>1</v>
      </c>
      <c r="L72" s="847"/>
      <c r="M72" s="46"/>
      <c r="N72" s="33"/>
      <c r="O72" s="33"/>
      <c r="P72" s="33"/>
      <c r="Q72" s="33"/>
      <c r="R72" s="33"/>
      <c r="S72" s="33"/>
    </row>
    <row r="73" spans="2:19" s="24" customFormat="1" ht="99.75" customHeight="1" thickBot="1" x14ac:dyDescent="0.3">
      <c r="B73" s="91">
        <v>59</v>
      </c>
      <c r="C73" s="92" t="s">
        <v>556</v>
      </c>
      <c r="D73" s="93" t="s">
        <v>552</v>
      </c>
      <c r="E73" s="93" t="s">
        <v>553</v>
      </c>
      <c r="F73" s="93" t="s">
        <v>557</v>
      </c>
      <c r="G73" s="90">
        <f>+IFERROR(VLOOKUP(C73,Hoja1!$A$1:$K$82,11,0),"")</f>
        <v>3</v>
      </c>
      <c r="H73" s="248">
        <f>+IFERROR(VLOOKUP(C73,Hoja1!$A$1:$L$82,12,0),"")</f>
        <v>3</v>
      </c>
      <c r="I73" s="86" t="str">
        <f t="shared" si="3"/>
        <v>Se encuentra presente y funciona correctamente, por lo tanto se requiere acciones o actividades  dirigidas a su mantenimiento dentro del marco de las lineas de defensa.</v>
      </c>
      <c r="J73" s="49">
        <v>59</v>
      </c>
      <c r="K73" s="84">
        <f>+VLOOKUP(C73,Hoja1!$A$1:$M$82,13,0)</f>
        <v>1</v>
      </c>
      <c r="L73" s="847"/>
      <c r="M73" s="46"/>
      <c r="N73" s="33"/>
      <c r="O73" s="33"/>
      <c r="P73" s="33"/>
      <c r="Q73" s="33"/>
      <c r="R73" s="33"/>
      <c r="S73" s="33"/>
    </row>
    <row r="74" spans="2:19" s="24" customFormat="1" ht="99.75" customHeight="1" thickBot="1" x14ac:dyDescent="0.3">
      <c r="B74" s="95">
        <v>60</v>
      </c>
      <c r="C74" s="92" t="s">
        <v>328</v>
      </c>
      <c r="D74" s="93" t="s">
        <v>552</v>
      </c>
      <c r="E74" s="93" t="s">
        <v>553</v>
      </c>
      <c r="F74" s="93" t="s">
        <v>558</v>
      </c>
      <c r="G74" s="90">
        <f>+IFERROR(VLOOKUP(C74,Hoja1!$A$1:$K$82,11,0),"")</f>
        <v>3</v>
      </c>
      <c r="H74" s="248">
        <f>+IFERROR(VLOOKUP(C74,Hoja1!$A$1:$L$82,12,0),"")</f>
        <v>3</v>
      </c>
      <c r="I74" s="86" t="str">
        <f t="shared" si="3"/>
        <v>Se encuentra presente y funciona correctamente, por lo tanto se requiere acciones o actividades  dirigidas a su mantenimiento dentro del marco de las lineas de defensa.</v>
      </c>
      <c r="J74" s="49">
        <v>60</v>
      </c>
      <c r="K74" s="84">
        <f>+VLOOKUP(C74,Hoja1!$A$1:$M$82,13,0)</f>
        <v>1</v>
      </c>
      <c r="L74" s="847"/>
      <c r="M74" s="46"/>
      <c r="N74" s="33"/>
      <c r="O74" s="33"/>
      <c r="P74" s="33"/>
      <c r="Q74" s="33"/>
      <c r="R74" s="33"/>
      <c r="S74" s="33"/>
    </row>
    <row r="75" spans="2:19" s="24" customFormat="1" ht="99.75" customHeight="1" thickBot="1" x14ac:dyDescent="0.3">
      <c r="B75" s="91">
        <v>61</v>
      </c>
      <c r="C75" s="92" t="s">
        <v>559</v>
      </c>
      <c r="D75" s="93" t="s">
        <v>552</v>
      </c>
      <c r="E75" s="93" t="s">
        <v>560</v>
      </c>
      <c r="F75" s="93" t="s">
        <v>561</v>
      </c>
      <c r="G75" s="90">
        <f>+IFERROR(VLOOKUP(C75,Hoja1!$A$1:$K$82,11,0),"")</f>
        <v>3</v>
      </c>
      <c r="H75" s="248">
        <f>+IFERROR(VLOOKUP(C75,Hoja1!$A$1:$L$82,12,0),"")</f>
        <v>3</v>
      </c>
      <c r="I75" s="86" t="str">
        <f t="shared" si="3"/>
        <v>Se encuentra presente y funciona correctamente, por lo tanto se requiere acciones o actividades  dirigidas a su mantenimiento dentro del marco de las lineas de defensa.</v>
      </c>
      <c r="J75" s="49">
        <v>61</v>
      </c>
      <c r="K75" s="84">
        <f>+VLOOKUP(C75,Hoja1!$A$1:$M$82,13,0)</f>
        <v>1</v>
      </c>
      <c r="L75" s="847"/>
      <c r="M75" s="46"/>
      <c r="N75" s="33"/>
      <c r="O75" s="33"/>
      <c r="P75" s="33"/>
      <c r="Q75" s="33"/>
      <c r="R75" s="33"/>
      <c r="S75" s="33"/>
    </row>
    <row r="76" spans="2:19" s="24" customFormat="1" ht="99.75" customHeight="1" thickBot="1" x14ac:dyDescent="0.3">
      <c r="B76" s="91">
        <v>62</v>
      </c>
      <c r="C76" s="92" t="s">
        <v>562</v>
      </c>
      <c r="D76" s="93" t="s">
        <v>552</v>
      </c>
      <c r="E76" s="93" t="s">
        <v>560</v>
      </c>
      <c r="F76" s="93" t="s">
        <v>563</v>
      </c>
      <c r="G76" s="90">
        <f>+IFERROR(VLOOKUP(C76,Hoja1!$A$1:$K$82,11,0),"")</f>
        <v>3</v>
      </c>
      <c r="H76" s="248">
        <f>+IFERROR(VLOOKUP(C76,Hoja1!$A$1:$L$82,12,0),"")</f>
        <v>2</v>
      </c>
      <c r="I76" s="86" t="str">
        <f t="shared" si="3"/>
        <v>Se encuentra presente y funcionando, pero requiere acciones dirigidas a fortalecer  o mejorar su diseño y/o ejecucion.</v>
      </c>
      <c r="J76" s="49">
        <v>62</v>
      </c>
      <c r="K76" s="84">
        <f>+VLOOKUP(C76,Hoja1!$A$1:$M$82,13,0)</f>
        <v>0.5</v>
      </c>
      <c r="L76" s="847"/>
      <c r="M76" s="46"/>
      <c r="N76" s="33"/>
      <c r="O76" s="33"/>
      <c r="P76" s="33"/>
      <c r="Q76" s="33"/>
      <c r="R76" s="33"/>
      <c r="S76" s="33"/>
    </row>
    <row r="77" spans="2:19" s="24" customFormat="1" ht="99.75" customHeight="1" thickBot="1" x14ac:dyDescent="0.3">
      <c r="B77" s="91">
        <v>63</v>
      </c>
      <c r="C77" s="92" t="s">
        <v>564</v>
      </c>
      <c r="D77" s="93" t="s">
        <v>552</v>
      </c>
      <c r="E77" s="93" t="s">
        <v>560</v>
      </c>
      <c r="F77" s="93" t="s">
        <v>565</v>
      </c>
      <c r="G77" s="90">
        <f>+IFERROR(VLOOKUP(C77,Hoja1!$A$1:$K$82,11,0),"")</f>
        <v>3</v>
      </c>
      <c r="H77" s="248">
        <f>+IFERROR(VLOOKUP(C77,Hoja1!$A$1:$L$82,12,0),"")</f>
        <v>3</v>
      </c>
      <c r="I77" s="86" t="str">
        <f t="shared" si="3"/>
        <v>Se encuentra presente y funciona correctamente, por lo tanto se requiere acciones o actividades  dirigidas a su mantenimiento dentro del marco de las lineas de defensa.</v>
      </c>
      <c r="J77" s="49">
        <v>63</v>
      </c>
      <c r="K77" s="84">
        <f>+VLOOKUP(C77,Hoja1!$A$1:$M$82,13,0)</f>
        <v>1</v>
      </c>
      <c r="L77" s="847"/>
      <c r="M77" s="46"/>
      <c r="N77" s="33"/>
      <c r="O77" s="33"/>
      <c r="P77" s="33"/>
      <c r="Q77" s="33"/>
      <c r="R77" s="33"/>
      <c r="S77" s="33"/>
    </row>
    <row r="78" spans="2:19" s="24" customFormat="1" ht="99.75" customHeight="1" thickBot="1" x14ac:dyDescent="0.3">
      <c r="B78" s="95">
        <v>64</v>
      </c>
      <c r="C78" s="92" t="s">
        <v>566</v>
      </c>
      <c r="D78" s="93" t="s">
        <v>552</v>
      </c>
      <c r="E78" s="93" t="s">
        <v>567</v>
      </c>
      <c r="F78" s="93" t="s">
        <v>568</v>
      </c>
      <c r="G78" s="90">
        <f>+IFERROR(VLOOKUP(C78,Hoja1!$A$1:$K$82,11,0),"")</f>
        <v>3</v>
      </c>
      <c r="H78" s="248">
        <f>+IFERROR(VLOOKUP(C78,Hoja1!$A$1:$L$82,12,0),"")</f>
        <v>3</v>
      </c>
      <c r="I78" s="86" t="str">
        <f t="shared" si="3"/>
        <v>Se encuentra presente y funciona correctamente, por lo tanto se requiere acciones o actividades  dirigidas a su mantenimiento dentro del marco de las lineas de defensa.</v>
      </c>
      <c r="J78" s="49">
        <v>64</v>
      </c>
      <c r="K78" s="84">
        <f>+VLOOKUP(C78,Hoja1!$A$1:$M$82,13,0)</f>
        <v>1</v>
      </c>
      <c r="L78" s="847"/>
      <c r="M78" s="46"/>
      <c r="N78" s="33"/>
      <c r="O78" s="33"/>
      <c r="P78" s="33"/>
      <c r="Q78" s="33"/>
      <c r="R78" s="33"/>
      <c r="S78" s="33"/>
    </row>
    <row r="79" spans="2:19" s="24" customFormat="1" ht="99.75" customHeight="1" thickBot="1" x14ac:dyDescent="0.3">
      <c r="B79" s="91">
        <v>65</v>
      </c>
      <c r="C79" s="92" t="s">
        <v>569</v>
      </c>
      <c r="D79" s="93" t="s">
        <v>552</v>
      </c>
      <c r="E79" s="93" t="s">
        <v>567</v>
      </c>
      <c r="F79" s="93" t="s">
        <v>570</v>
      </c>
      <c r="G79" s="90">
        <f>+IFERROR(VLOOKUP(C79,Hoja1!$A$1:$K$82,11,0),"")</f>
        <v>3</v>
      </c>
      <c r="H79" s="248">
        <f>+IFERROR(VLOOKUP(C79,Hoja1!$A$1:$L$82,12,0),"")</f>
        <v>3</v>
      </c>
      <c r="I79" s="86" t="str">
        <f t="shared" si="3"/>
        <v>Se encuentra presente y funciona correctamente, por lo tanto se requiere acciones o actividades  dirigidas a su mantenimiento dentro del marco de las lineas de defensa.</v>
      </c>
      <c r="J79" s="49">
        <v>65</v>
      </c>
      <c r="K79" s="84">
        <f>+VLOOKUP(C79,Hoja1!$A$1:$M$82,13,0)</f>
        <v>1</v>
      </c>
      <c r="L79" s="847"/>
      <c r="M79" s="46"/>
      <c r="N79" s="33"/>
      <c r="O79" s="33"/>
      <c r="P79" s="33"/>
      <c r="Q79" s="33"/>
      <c r="R79" s="33"/>
      <c r="S79" s="33"/>
    </row>
    <row r="80" spans="2:19" s="24" customFormat="1" ht="99.75" customHeight="1" thickBot="1" x14ac:dyDescent="0.3">
      <c r="B80" s="95">
        <v>66</v>
      </c>
      <c r="C80" s="92" t="s">
        <v>571</v>
      </c>
      <c r="D80" s="93" t="s">
        <v>552</v>
      </c>
      <c r="E80" s="93" t="s">
        <v>567</v>
      </c>
      <c r="F80" s="93" t="s">
        <v>572</v>
      </c>
      <c r="G80" s="90">
        <f>+IFERROR(VLOOKUP(C80,Hoja1!$A$1:$K$82,11,0),"")</f>
        <v>3</v>
      </c>
      <c r="H80" s="248">
        <f>+IFERROR(VLOOKUP(C80,Hoja1!$A$1:$L$82,12,0),"")</f>
        <v>2</v>
      </c>
      <c r="I80" s="86" t="str">
        <f t="shared" ref="I80:I98" si="4">+IF(OR(AND(G80=1,H80=1),AND(G80=1,H80=2),AND(G80=1,H80=3),G80="",H80=""),"No se encuentra presente  por lo tanto no esta funcionando, lo que hace que se requieran acciones dirigidas a fortalecer su diseño y puesta en marcha",IF(OR(AND(G80=2,H80=2),AND(G80=3,H80=1),AND(G80=3,H80=2),AND(G80=2,H80=1)),"Se encuentra presente y funcionando, pero requiere acciones dirigidas a fortalecer  o mejorar su diseño y/o ejecucion.",IF(AND(G80=2,H80=3),"Se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80" s="49">
        <v>66</v>
      </c>
      <c r="K80" s="84">
        <f>+VLOOKUP(C80,Hoja1!$A$1:$M$82,13,0)</f>
        <v>0.5</v>
      </c>
      <c r="L80" s="847"/>
      <c r="M80" s="46"/>
      <c r="N80" s="33"/>
      <c r="O80" s="33"/>
      <c r="P80" s="33"/>
      <c r="Q80" s="33"/>
      <c r="R80" s="33"/>
      <c r="S80" s="33"/>
    </row>
    <row r="81" spans="2:19" s="24" customFormat="1" ht="99.75" customHeight="1" thickBot="1" x14ac:dyDescent="0.3">
      <c r="B81" s="91">
        <v>67</v>
      </c>
      <c r="C81" s="92" t="s">
        <v>573</v>
      </c>
      <c r="D81" s="93" t="s">
        <v>552</v>
      </c>
      <c r="E81" s="93" t="s">
        <v>567</v>
      </c>
      <c r="F81" s="93" t="s">
        <v>574</v>
      </c>
      <c r="G81" s="90">
        <f>+IFERROR(VLOOKUP(C81,Hoja1!$A$1:$K$82,11,0),"")</f>
        <v>3</v>
      </c>
      <c r="H81" s="248">
        <f>+IFERROR(VLOOKUP(C81,Hoja1!$A$1:$L$82,12,0),"")</f>
        <v>3</v>
      </c>
      <c r="I81" s="86" t="str">
        <f t="shared" si="4"/>
        <v>Se encuentra presente y funciona correctamente, por lo tanto se requiere acciones o actividades  dirigidas a su mantenimiento dentro del marco de las lineas de defensa.</v>
      </c>
      <c r="J81" s="49">
        <v>67</v>
      </c>
      <c r="K81" s="84">
        <f>+VLOOKUP(C81,Hoja1!$A$1:$M$82,13,0)</f>
        <v>1</v>
      </c>
      <c r="L81" s="847"/>
      <c r="M81" s="46"/>
      <c r="N81" s="33"/>
      <c r="O81" s="33"/>
      <c r="P81" s="33"/>
      <c r="Q81" s="33"/>
      <c r="R81" s="33"/>
      <c r="S81" s="33"/>
    </row>
    <row r="82" spans="2:19" s="24" customFormat="1" ht="99.75" customHeight="1" thickBot="1" x14ac:dyDescent="0.3">
      <c r="B82" s="91">
        <v>68</v>
      </c>
      <c r="C82" s="92" t="s">
        <v>575</v>
      </c>
      <c r="D82" s="93" t="s">
        <v>552</v>
      </c>
      <c r="E82" s="93" t="s">
        <v>567</v>
      </c>
      <c r="F82" s="93" t="s">
        <v>576</v>
      </c>
      <c r="G82" s="90">
        <f>+IFERROR(VLOOKUP(C82,Hoja1!$A$1:$K$82,11,0),"")</f>
        <v>3</v>
      </c>
      <c r="H82" s="248">
        <f>+IFERROR(VLOOKUP(C82,Hoja1!$A$1:$L$82,12,0),"")</f>
        <v>3</v>
      </c>
      <c r="I82" s="86" t="str">
        <f t="shared" si="4"/>
        <v>Se encuentra presente y funciona correctamente, por lo tanto se requiere acciones o actividades  dirigidas a su mantenimiento dentro del marco de las lineas de defensa.</v>
      </c>
      <c r="J82" s="49">
        <v>68</v>
      </c>
      <c r="K82" s="84">
        <f>+VLOOKUP(C82,Hoja1!$A$1:$M$82,13,0)</f>
        <v>1</v>
      </c>
      <c r="L82" s="847"/>
      <c r="M82" s="46"/>
      <c r="N82" s="33"/>
      <c r="O82" s="33"/>
      <c r="P82" s="33"/>
      <c r="Q82" s="33"/>
      <c r="R82" s="33"/>
      <c r="S82" s="33"/>
    </row>
    <row r="83" spans="2:19" s="24" customFormat="1" ht="99.75" customHeight="1" thickBot="1" x14ac:dyDescent="0.3">
      <c r="B83" s="91">
        <v>69</v>
      </c>
      <c r="C83" s="92" t="s">
        <v>577</v>
      </c>
      <c r="D83" s="93" t="s">
        <v>552</v>
      </c>
      <c r="E83" s="93" t="s">
        <v>567</v>
      </c>
      <c r="F83" s="93" t="s">
        <v>578</v>
      </c>
      <c r="G83" s="90">
        <f>+IFERROR(VLOOKUP(C83,Hoja1!$A$1:$K$82,11,0),"")</f>
        <v>3</v>
      </c>
      <c r="H83" s="248">
        <f>+IFERROR(VLOOKUP(C83,Hoja1!$A$1:$L$82,12,0),"")</f>
        <v>2</v>
      </c>
      <c r="I83" s="86" t="str">
        <f t="shared" si="4"/>
        <v>Se encuentra presente y funcionando, pero requiere acciones dirigidas a fortalecer  o mejorar su diseño y/o ejecucion.</v>
      </c>
      <c r="J83" s="49">
        <v>69</v>
      </c>
      <c r="K83" s="84">
        <f>+VLOOKUP(C83,Hoja1!$A$1:$M$82,13,0)</f>
        <v>0.5</v>
      </c>
      <c r="L83" s="847"/>
      <c r="M83" s="46"/>
      <c r="N83" s="33"/>
      <c r="O83" s="33"/>
      <c r="P83" s="33"/>
      <c r="Q83" s="33"/>
      <c r="R83" s="33"/>
      <c r="S83" s="33"/>
    </row>
    <row r="84" spans="2:19" s="24" customFormat="1" ht="99.75" customHeight="1" thickBot="1" x14ac:dyDescent="0.3">
      <c r="B84" s="95">
        <v>70</v>
      </c>
      <c r="C84" s="92" t="s">
        <v>579</v>
      </c>
      <c r="D84" s="93" t="s">
        <v>580</v>
      </c>
      <c r="E84" s="93" t="s">
        <v>581</v>
      </c>
      <c r="F84" s="93" t="s">
        <v>582</v>
      </c>
      <c r="G84" s="90">
        <f>+IFERROR(VLOOKUP(C84,Hoja1!$A$1:$K$82,11,0),"")</f>
        <v>3</v>
      </c>
      <c r="H84" s="248">
        <f>+IFERROR(VLOOKUP(C84,Hoja1!$A$1:$L$82,12,0),"")</f>
        <v>3</v>
      </c>
      <c r="I84" s="86" t="str">
        <f t="shared" si="4"/>
        <v>Se encuentra presente y funciona correctamente, por lo tanto se requiere acciones o actividades  dirigidas a su mantenimiento dentro del marco de las lineas de defensa.</v>
      </c>
      <c r="J84" s="49">
        <v>70</v>
      </c>
      <c r="K84" s="84">
        <f>+VLOOKUP(C84,Hoja1!$A$1:$M$82,13,0)</f>
        <v>1</v>
      </c>
      <c r="L84" s="846">
        <f>+AVERAGE(K84:K98)</f>
        <v>0.93333333333333335</v>
      </c>
      <c r="M84" s="46"/>
      <c r="N84" s="33"/>
      <c r="O84" s="33"/>
      <c r="P84" s="33"/>
      <c r="Q84" s="33"/>
      <c r="R84" s="33"/>
      <c r="S84" s="33"/>
    </row>
    <row r="85" spans="2:19" s="24" customFormat="1" ht="99.75" customHeight="1" thickBot="1" x14ac:dyDescent="0.3">
      <c r="B85" s="91">
        <v>71</v>
      </c>
      <c r="C85" s="92" t="s">
        <v>583</v>
      </c>
      <c r="D85" s="93" t="s">
        <v>580</v>
      </c>
      <c r="E85" s="93" t="s">
        <v>581</v>
      </c>
      <c r="F85" s="93" t="s">
        <v>584</v>
      </c>
      <c r="G85" s="90">
        <f>+IFERROR(VLOOKUP(C85,Hoja1!$A$1:$K$82,11,0),"")</f>
        <v>3</v>
      </c>
      <c r="H85" s="248">
        <f>+IFERROR(VLOOKUP(C85,Hoja1!$A$1:$L$82,12,0),"")</f>
        <v>3</v>
      </c>
      <c r="I85" s="86" t="str">
        <f t="shared" si="4"/>
        <v>Se encuentra presente y funciona correctamente, por lo tanto se requiere acciones o actividades  dirigidas a su mantenimiento dentro del marco de las lineas de defensa.</v>
      </c>
      <c r="J85" s="49">
        <v>71</v>
      </c>
      <c r="K85" s="84">
        <f>+VLOOKUP(C85,Hoja1!$A$1:$M$82,13,0)</f>
        <v>1</v>
      </c>
      <c r="L85" s="846"/>
      <c r="M85" s="46"/>
      <c r="N85" s="33"/>
      <c r="O85" s="33"/>
      <c r="P85" s="33"/>
      <c r="Q85" s="33"/>
      <c r="R85" s="33"/>
      <c r="S85" s="33"/>
    </row>
    <row r="86" spans="2:19" s="24" customFormat="1" ht="99.75" customHeight="1" thickBot="1" x14ac:dyDescent="0.3">
      <c r="B86" s="95">
        <v>72</v>
      </c>
      <c r="C86" s="92" t="s">
        <v>585</v>
      </c>
      <c r="D86" s="93" t="s">
        <v>580</v>
      </c>
      <c r="E86" s="93" t="s">
        <v>581</v>
      </c>
      <c r="F86" s="93" t="s">
        <v>586</v>
      </c>
      <c r="G86" s="90">
        <f>+IFERROR(VLOOKUP(C86,Hoja1!$A$1:$K$82,11,0),"")</f>
        <v>3</v>
      </c>
      <c r="H86" s="248">
        <f>+IFERROR(VLOOKUP(C86,Hoja1!$A$1:$L$82,12,0),"")</f>
        <v>3</v>
      </c>
      <c r="I86" s="86" t="str">
        <f t="shared" si="4"/>
        <v>Se encuentra presente y funciona correctamente, por lo tanto se requiere acciones o actividades  dirigidas a su mantenimiento dentro del marco de las lineas de defensa.</v>
      </c>
      <c r="J86" s="49">
        <v>72</v>
      </c>
      <c r="K86" s="84">
        <f>+VLOOKUP(C86,Hoja1!$A$1:$M$82,13,0)</f>
        <v>1</v>
      </c>
      <c r="L86" s="846"/>
      <c r="M86" s="46"/>
      <c r="N86" s="33"/>
      <c r="O86" s="33"/>
      <c r="P86" s="33"/>
      <c r="Q86" s="33"/>
      <c r="R86" s="33"/>
      <c r="S86" s="33"/>
    </row>
    <row r="87" spans="2:19" s="24" customFormat="1" ht="99.75" customHeight="1" thickBot="1" x14ac:dyDescent="0.3">
      <c r="B87" s="91">
        <v>73</v>
      </c>
      <c r="C87" s="92" t="s">
        <v>587</v>
      </c>
      <c r="D87" s="93" t="s">
        <v>580</v>
      </c>
      <c r="E87" s="93" t="s">
        <v>581</v>
      </c>
      <c r="F87" s="93" t="s">
        <v>588</v>
      </c>
      <c r="G87" s="90">
        <f>+IFERROR(VLOOKUP(C87,Hoja1!$A$1:$K$82,11,0),"")</f>
        <v>3</v>
      </c>
      <c r="H87" s="248">
        <f>+IFERROR(VLOOKUP(C87,Hoja1!$A$1:$L$82,12,0),"")</f>
        <v>3</v>
      </c>
      <c r="I87" s="86" t="str">
        <f t="shared" si="4"/>
        <v>Se encuentra presente y funciona correctamente, por lo tanto se requiere acciones o actividades  dirigidas a su mantenimiento dentro del marco de las lineas de defensa.</v>
      </c>
      <c r="J87" s="49">
        <v>73</v>
      </c>
      <c r="K87" s="84">
        <f>+VLOOKUP(C87,Hoja1!$A$1:$M$82,13,0)</f>
        <v>1</v>
      </c>
      <c r="L87" s="846"/>
      <c r="M87" s="46"/>
      <c r="N87" s="33"/>
      <c r="O87" s="33"/>
      <c r="P87" s="33"/>
      <c r="Q87" s="33"/>
      <c r="R87" s="33"/>
      <c r="S87" s="33"/>
    </row>
    <row r="88" spans="2:19" s="24" customFormat="1" ht="99.75" customHeight="1" thickBot="1" x14ac:dyDescent="0.3">
      <c r="B88" s="91">
        <v>74</v>
      </c>
      <c r="C88" s="92" t="s">
        <v>589</v>
      </c>
      <c r="D88" s="93" t="s">
        <v>580</v>
      </c>
      <c r="E88" s="93" t="s">
        <v>581</v>
      </c>
      <c r="F88" s="93" t="s">
        <v>590</v>
      </c>
      <c r="G88" s="90">
        <f>+IFERROR(VLOOKUP(C88,Hoja1!$A$1:$K$82,11,0),"")</f>
        <v>3</v>
      </c>
      <c r="H88" s="248">
        <f>+IFERROR(VLOOKUP(C88,Hoja1!$A$1:$L$82,12,0),"")</f>
        <v>3</v>
      </c>
      <c r="I88" s="86" t="str">
        <f t="shared" si="4"/>
        <v>Se encuentra presente y funciona correctamente, por lo tanto se requiere acciones o actividades  dirigidas a su mantenimiento dentro del marco de las lineas de defensa.</v>
      </c>
      <c r="J88" s="49">
        <v>74</v>
      </c>
      <c r="K88" s="84">
        <f>+VLOOKUP(C88,Hoja1!$A$1:$M$82,13,0)</f>
        <v>1</v>
      </c>
      <c r="L88" s="846"/>
      <c r="M88" s="46"/>
      <c r="N88" s="33"/>
      <c r="O88" s="33"/>
      <c r="P88" s="33"/>
      <c r="Q88" s="33"/>
      <c r="R88" s="33"/>
      <c r="S88" s="33"/>
    </row>
    <row r="89" spans="2:19" s="24" customFormat="1" ht="99.75" customHeight="1" thickBot="1" x14ac:dyDescent="0.3">
      <c r="B89" s="91">
        <v>75</v>
      </c>
      <c r="C89" s="92" t="s">
        <v>591</v>
      </c>
      <c r="D89" s="93" t="s">
        <v>580</v>
      </c>
      <c r="E89" s="93" t="s">
        <v>592</v>
      </c>
      <c r="F89" s="93" t="s">
        <v>593</v>
      </c>
      <c r="G89" s="90">
        <f>+IFERROR(VLOOKUP(C89,Hoja1!$A$1:$K$82,11,0),"")</f>
        <v>3</v>
      </c>
      <c r="H89" s="248">
        <f>+IFERROR(VLOOKUP(C89,Hoja1!$A$1:$L$82,12,0),"")</f>
        <v>3</v>
      </c>
      <c r="I89" s="86" t="str">
        <f t="shared" si="4"/>
        <v>Se encuentra presente y funciona correctamente, por lo tanto se requiere acciones o actividades  dirigidas a su mantenimiento dentro del marco de las lineas de defensa.</v>
      </c>
      <c r="J89" s="49">
        <v>75</v>
      </c>
      <c r="K89" s="84">
        <f>+VLOOKUP(C89,Hoja1!$A$1:$M$82,13,0)</f>
        <v>1</v>
      </c>
      <c r="L89" s="846"/>
      <c r="M89" s="46"/>
      <c r="N89" s="33"/>
      <c r="O89" s="33"/>
      <c r="P89" s="33"/>
      <c r="Q89" s="33"/>
      <c r="R89" s="33"/>
      <c r="S89" s="33"/>
    </row>
    <row r="90" spans="2:19" s="24" customFormat="1" ht="99.75" customHeight="1" thickBot="1" x14ac:dyDescent="0.3">
      <c r="B90" s="95">
        <v>76</v>
      </c>
      <c r="C90" s="92" t="s">
        <v>594</v>
      </c>
      <c r="D90" s="93" t="s">
        <v>580</v>
      </c>
      <c r="E90" s="93" t="s">
        <v>592</v>
      </c>
      <c r="F90" s="93" t="s">
        <v>595</v>
      </c>
      <c r="G90" s="90">
        <f>+IFERROR(VLOOKUP(C90,Hoja1!$A$1:$K$82,11,0),"")</f>
        <v>3</v>
      </c>
      <c r="H90" s="248">
        <f>+IFERROR(VLOOKUP(C90,Hoja1!$A$1:$L$82,12,0),"")</f>
        <v>3</v>
      </c>
      <c r="I90" s="86" t="str">
        <f t="shared" si="4"/>
        <v>Se encuentra presente y funciona correctamente, por lo tanto se requiere acciones o actividades  dirigidas a su mantenimiento dentro del marco de las lineas de defensa.</v>
      </c>
      <c r="J90" s="49">
        <v>76</v>
      </c>
      <c r="K90" s="84">
        <f>+VLOOKUP(C90,Hoja1!$A$1:$M$82,13,0)</f>
        <v>1</v>
      </c>
      <c r="L90" s="846"/>
      <c r="M90" s="46"/>
      <c r="N90" s="33"/>
      <c r="O90" s="33"/>
      <c r="P90" s="33"/>
      <c r="Q90" s="33"/>
      <c r="R90" s="33"/>
      <c r="S90" s="33"/>
    </row>
    <row r="91" spans="2:19" s="24" customFormat="1" ht="99.75" customHeight="1" thickBot="1" x14ac:dyDescent="0.3">
      <c r="B91" s="91">
        <v>77</v>
      </c>
      <c r="C91" s="92" t="s">
        <v>596</v>
      </c>
      <c r="D91" s="93" t="s">
        <v>580</v>
      </c>
      <c r="E91" s="93" t="s">
        <v>592</v>
      </c>
      <c r="F91" s="93" t="s">
        <v>597</v>
      </c>
      <c r="G91" s="90">
        <f>+IFERROR(VLOOKUP(C91,Hoja1!$A$1:$K$82,11,0),"")</f>
        <v>3</v>
      </c>
      <c r="H91" s="248">
        <f>+IFERROR(VLOOKUP(C91,Hoja1!$A$1:$L$82,12,0),"")</f>
        <v>3</v>
      </c>
      <c r="I91" s="86" t="str">
        <f t="shared" si="4"/>
        <v>Se encuentra presente y funciona correctamente, por lo tanto se requiere acciones o actividades  dirigidas a su mantenimiento dentro del marco de las lineas de defensa.</v>
      </c>
      <c r="J91" s="49">
        <v>77</v>
      </c>
      <c r="K91" s="85">
        <f>+VLOOKUP(C91,Hoja1!$A$1:$M$82,13,0)</f>
        <v>1</v>
      </c>
      <c r="L91" s="846"/>
      <c r="M91" s="46"/>
      <c r="N91" s="33"/>
      <c r="O91" s="33"/>
      <c r="P91" s="33"/>
      <c r="Q91" s="33"/>
      <c r="R91" s="33"/>
      <c r="S91" s="33"/>
    </row>
    <row r="92" spans="2:19" s="24" customFormat="1" ht="99.75" customHeight="1" thickBot="1" x14ac:dyDescent="0.3">
      <c r="B92" s="95">
        <v>78</v>
      </c>
      <c r="C92" s="92" t="s">
        <v>598</v>
      </c>
      <c r="D92" s="93" t="s">
        <v>580</v>
      </c>
      <c r="E92" s="93" t="s">
        <v>592</v>
      </c>
      <c r="F92" s="93" t="s">
        <v>599</v>
      </c>
      <c r="G92" s="90">
        <f>+IFERROR(VLOOKUP(C92,Hoja1!$A$1:$K$82,11,0),"")</f>
        <v>3</v>
      </c>
      <c r="H92" s="248">
        <f>+IFERROR(VLOOKUP(C92,Hoja1!$A$1:$L$82,12,0),"")</f>
        <v>3</v>
      </c>
      <c r="I92" s="86" t="str">
        <f t="shared" si="4"/>
        <v>Se encuentra presente y funciona correctamente, por lo tanto se requiere acciones o actividades  dirigidas a su mantenimiento dentro del marco de las lineas de defensa.</v>
      </c>
      <c r="J92" s="49">
        <v>78</v>
      </c>
      <c r="K92" s="85">
        <f>+VLOOKUP(C92,Hoja1!$A$1:$M$82,13,0)</f>
        <v>1</v>
      </c>
      <c r="L92" s="846"/>
      <c r="M92" s="46"/>
      <c r="N92" s="33"/>
      <c r="O92" s="33"/>
      <c r="P92" s="33"/>
      <c r="Q92" s="33"/>
      <c r="R92" s="33"/>
      <c r="S92" s="33"/>
    </row>
    <row r="93" spans="2:19" s="24" customFormat="1" ht="99.75" customHeight="1" thickBot="1" x14ac:dyDescent="0.3">
      <c r="B93" s="91">
        <v>79</v>
      </c>
      <c r="C93" s="92" t="s">
        <v>600</v>
      </c>
      <c r="D93" s="93" t="s">
        <v>580</v>
      </c>
      <c r="E93" s="93" t="s">
        <v>592</v>
      </c>
      <c r="F93" s="93" t="s">
        <v>601</v>
      </c>
      <c r="G93" s="90">
        <f>+IFERROR(VLOOKUP(C93,Hoja1!$A$1:$K$82,11,0),"")</f>
        <v>3</v>
      </c>
      <c r="H93" s="248">
        <f>+IFERROR(VLOOKUP(C93,Hoja1!$A$1:$L$82,12,0),"")</f>
        <v>2</v>
      </c>
      <c r="I93" s="86" t="str">
        <f t="shared" si="4"/>
        <v>Se encuentra presente y funcionando, pero requiere acciones dirigidas a fortalecer  o mejorar su diseño y/o ejecucion.</v>
      </c>
      <c r="J93" s="49">
        <v>79</v>
      </c>
      <c r="K93" s="85">
        <f>+VLOOKUP(C93,Hoja1!$A$1:$M$82,13,0)</f>
        <v>0.5</v>
      </c>
      <c r="L93" s="846"/>
      <c r="M93" s="46"/>
      <c r="N93" s="33"/>
      <c r="O93" s="33"/>
      <c r="P93" s="33"/>
      <c r="Q93" s="33"/>
      <c r="R93" s="33"/>
      <c r="S93" s="33"/>
    </row>
    <row r="94" spans="2:19" s="24" customFormat="1" ht="99" customHeight="1" thickBot="1" x14ac:dyDescent="0.3">
      <c r="B94" s="91">
        <v>80</v>
      </c>
      <c r="C94" s="92" t="s">
        <v>602</v>
      </c>
      <c r="D94" s="93" t="s">
        <v>580</v>
      </c>
      <c r="E94" s="93" t="s">
        <v>592</v>
      </c>
      <c r="F94" s="93" t="s">
        <v>603</v>
      </c>
      <c r="G94" s="90">
        <f>+IFERROR(VLOOKUP(C94,Hoja1!$A$1:$K$82,11,0),"")</f>
        <v>3</v>
      </c>
      <c r="H94" s="248">
        <f>+IFERROR(VLOOKUP(C94,Hoja1!$A$1:$L$82,12,0),"")</f>
        <v>2</v>
      </c>
      <c r="I94" s="86" t="str">
        <f t="shared" si="4"/>
        <v>Se encuentra presente y funcionando, pero requiere acciones dirigidas a fortalecer  o mejorar su diseño y/o ejecucion.</v>
      </c>
      <c r="J94" s="49">
        <v>80</v>
      </c>
      <c r="K94" s="85">
        <f>+VLOOKUP(C94,Hoja1!$A$1:$M$82,13,0)</f>
        <v>0.5</v>
      </c>
      <c r="L94" s="846"/>
      <c r="M94" s="46"/>
      <c r="N94" s="33"/>
      <c r="O94" s="33"/>
      <c r="P94" s="33"/>
      <c r="Q94" s="33"/>
      <c r="R94" s="33"/>
      <c r="S94" s="33"/>
    </row>
    <row r="95" spans="2:19" s="24" customFormat="1" ht="99.75" hidden="1" customHeight="1" x14ac:dyDescent="0.25">
      <c r="B95" s="91">
        <v>81</v>
      </c>
      <c r="C95" s="92" t="s">
        <v>604</v>
      </c>
      <c r="D95" s="93" t="s">
        <v>580</v>
      </c>
      <c r="E95" s="93" t="s">
        <v>592</v>
      </c>
      <c r="F95" s="93" t="s">
        <v>605</v>
      </c>
      <c r="G95" s="90">
        <f>+IFERROR(VLOOKUP(C95,Hoja1!$A$1:$K$82,11,0),"")</f>
        <v>3</v>
      </c>
      <c r="H95" s="248">
        <f>+IFERROR(VLOOKUP(C95,Hoja1!$A$1:$L$82,12,0),"")</f>
        <v>3</v>
      </c>
      <c r="I95" s="86" t="str">
        <f t="shared" si="4"/>
        <v>Se encuentra presente y funciona correctamente, por lo tanto se requiere acciones o actividades  dirigidas a su mantenimiento dentro del marco de las lineas de defensa.</v>
      </c>
      <c r="J95" s="49"/>
      <c r="K95" s="85">
        <f>+VLOOKUP(C95,Hoja1!$A$1:$M$82,13,0)</f>
        <v>1</v>
      </c>
      <c r="L95" s="846"/>
      <c r="M95" s="46"/>
      <c r="N95" s="33"/>
      <c r="O95" s="33"/>
      <c r="P95" s="33"/>
      <c r="Q95" s="33"/>
      <c r="R95" s="33"/>
      <c r="S95" s="33"/>
    </row>
    <row r="96" spans="2:19" s="24" customFormat="1" ht="99.75" customHeight="1" thickBot="1" x14ac:dyDescent="0.3">
      <c r="B96" s="95">
        <v>82</v>
      </c>
      <c r="C96" s="92" t="s">
        <v>604</v>
      </c>
      <c r="D96" s="93" t="s">
        <v>580</v>
      </c>
      <c r="E96" s="93" t="s">
        <v>592</v>
      </c>
      <c r="F96" s="93" t="s">
        <v>605</v>
      </c>
      <c r="G96" s="90">
        <f>+IFERROR(VLOOKUP(C96,Hoja1!$A$1:$K$82,11,0),"")</f>
        <v>3</v>
      </c>
      <c r="H96" s="248">
        <f>+IFERROR(VLOOKUP(C96,Hoja1!$A$1:$L$82,12,0),"")</f>
        <v>3</v>
      </c>
      <c r="I96" s="86" t="str">
        <f t="shared" si="4"/>
        <v>Se encuentra presente y funciona correctamente, por lo tanto se requiere acciones o actividades  dirigidas a su mantenimiento dentro del marco de las lineas de defensa.</v>
      </c>
      <c r="J96" s="49">
        <v>82</v>
      </c>
      <c r="K96" s="85">
        <f>+VLOOKUP(C96,Hoja1!$A$1:$M$82,13,0)</f>
        <v>1</v>
      </c>
      <c r="L96" s="846"/>
      <c r="M96" s="46"/>
      <c r="N96" s="33"/>
      <c r="O96" s="33"/>
      <c r="P96" s="33"/>
      <c r="Q96" s="33"/>
      <c r="R96" s="33"/>
      <c r="S96" s="33"/>
    </row>
    <row r="97" spans="2:19" s="24" customFormat="1" ht="99.75" customHeight="1" thickBot="1" x14ac:dyDescent="0.3">
      <c r="B97" s="91">
        <v>83</v>
      </c>
      <c r="C97" s="92" t="s">
        <v>606</v>
      </c>
      <c r="D97" s="93" t="s">
        <v>580</v>
      </c>
      <c r="E97" s="93" t="s">
        <v>592</v>
      </c>
      <c r="F97" s="93" t="s">
        <v>607</v>
      </c>
      <c r="G97" s="90">
        <f>+IFERROR(VLOOKUP(C97,Hoja1!$A$1:$K$82,11,0),"")</f>
        <v>3</v>
      </c>
      <c r="H97" s="248">
        <f>+IFERROR(VLOOKUP(C97,Hoja1!$A$1:$L$82,12,0),"")</f>
        <v>3</v>
      </c>
      <c r="I97" s="86" t="str">
        <f t="shared" si="4"/>
        <v>Se encuentra presente y funciona correctamente, por lo tanto se requiere acciones o actividades  dirigidas a su mantenimiento dentro del marco de las lineas de defensa.</v>
      </c>
      <c r="J97" s="49">
        <v>83</v>
      </c>
      <c r="K97" s="85">
        <f>+VLOOKUP(C97,Hoja1!$A$1:$M$82,13,0)</f>
        <v>1</v>
      </c>
      <c r="L97" s="846"/>
      <c r="M97" s="46"/>
      <c r="N97" s="33"/>
      <c r="O97" s="33"/>
      <c r="P97" s="33"/>
      <c r="Q97" s="33"/>
      <c r="R97" s="33"/>
      <c r="S97" s="33"/>
    </row>
    <row r="98" spans="2:19" s="24" customFormat="1" ht="99.75" customHeight="1" thickBot="1" x14ac:dyDescent="0.3">
      <c r="B98" s="95">
        <v>84</v>
      </c>
      <c r="C98" s="92" t="s">
        <v>608</v>
      </c>
      <c r="D98" s="93" t="s">
        <v>580</v>
      </c>
      <c r="E98" s="93" t="s">
        <v>592</v>
      </c>
      <c r="F98" s="93" t="s">
        <v>609</v>
      </c>
      <c r="G98" s="90">
        <f>+IFERROR(VLOOKUP(C98,Hoja1!$A$1:$K$82,11,0),"")</f>
        <v>3</v>
      </c>
      <c r="H98" s="248">
        <f>+IFERROR(VLOOKUP(C98,Hoja1!$A$1:$L$82,12,0),"")</f>
        <v>3</v>
      </c>
      <c r="I98" s="86" t="str">
        <f t="shared" si="4"/>
        <v>Se encuentra presente y funciona correctamente, por lo tanto se requiere acciones o actividades  dirigidas a su mantenimiento dentro del marco de las lineas de defensa.</v>
      </c>
      <c r="J98" s="49">
        <v>84</v>
      </c>
      <c r="K98" s="85">
        <f>+VLOOKUP(C98,Hoja1!$A$1:$M$82,13,0)</f>
        <v>1</v>
      </c>
      <c r="L98" s="846"/>
      <c r="M98" s="46"/>
      <c r="N98" s="33"/>
      <c r="O98" s="33"/>
      <c r="P98" s="33"/>
      <c r="Q98" s="33"/>
      <c r="R98" s="33"/>
      <c r="S98" s="33"/>
    </row>
    <row r="99" spans="2:19" s="24" customFormat="1" ht="99.75" customHeight="1" thickBot="1" x14ac:dyDescent="0.3">
      <c r="B99" s="91">
        <v>85</v>
      </c>
      <c r="C99" s="92" t="s">
        <v>610</v>
      </c>
      <c r="D99" s="93" t="s">
        <v>610</v>
      </c>
      <c r="E99" s="93" t="s">
        <v>610</v>
      </c>
      <c r="F99" s="93" t="s">
        <v>610</v>
      </c>
      <c r="G99" s="90" t="str">
        <f>+IFERROR(VLOOKUP(C99,Hoja1!$A$1:$K$82,11,0),"")</f>
        <v/>
      </c>
      <c r="H99" s="248" t="str">
        <f>+IFERROR(VLOOKUP(C99,Hoja1!$A$1:$L$82,12,0),"")</f>
        <v/>
      </c>
      <c r="I99" s="28"/>
      <c r="J99" s="49">
        <v>85</v>
      </c>
      <c r="K99" s="48"/>
      <c r="M99" s="46"/>
      <c r="N99" s="33"/>
      <c r="O99" s="33"/>
      <c r="P99" s="33"/>
      <c r="Q99" s="33"/>
      <c r="R99" s="33"/>
      <c r="S99" s="33"/>
    </row>
    <row r="100" spans="2:19" s="24" customFormat="1" ht="99.75" customHeight="1" thickBot="1" x14ac:dyDescent="0.3">
      <c r="B100" s="91">
        <v>86</v>
      </c>
      <c r="C100" s="92" t="s">
        <v>610</v>
      </c>
      <c r="D100" s="93" t="s">
        <v>610</v>
      </c>
      <c r="E100" s="93" t="s">
        <v>610</v>
      </c>
      <c r="F100" s="93" t="s">
        <v>610</v>
      </c>
      <c r="G100" s="90" t="str">
        <f>+IFERROR(VLOOKUP(C100,Hoja1!$A$1:$K$82,11,0),"")</f>
        <v/>
      </c>
      <c r="H100" s="248" t="str">
        <f>+IFERROR(VLOOKUP(C100,Hoja1!$A$1:$L$82,12,0),"")</f>
        <v/>
      </c>
      <c r="I100" s="28"/>
      <c r="J100" s="49">
        <v>86</v>
      </c>
      <c r="K100" s="48"/>
      <c r="M100" s="46"/>
      <c r="N100" s="33"/>
      <c r="O100" s="33"/>
      <c r="P100" s="33"/>
      <c r="Q100" s="33"/>
      <c r="R100" s="33"/>
      <c r="S100" s="33"/>
    </row>
    <row r="101" spans="2:19" s="24" customFormat="1" ht="99.75" customHeight="1" thickBot="1" x14ac:dyDescent="0.3">
      <c r="B101" s="91">
        <v>87</v>
      </c>
      <c r="C101" s="92" t="s">
        <v>610</v>
      </c>
      <c r="D101" s="93" t="s">
        <v>610</v>
      </c>
      <c r="E101" s="93" t="s">
        <v>610</v>
      </c>
      <c r="F101" s="93" t="s">
        <v>610</v>
      </c>
      <c r="G101" s="90" t="str">
        <f>+IFERROR(VLOOKUP(C101,Hoja1!$A$1:$K$82,11,0),"")</f>
        <v/>
      </c>
      <c r="H101" s="248" t="str">
        <f>+IFERROR(VLOOKUP(C101,Hoja1!$A$1:$L$82,12,0),"")</f>
        <v/>
      </c>
      <c r="I101" s="28"/>
      <c r="J101" s="49">
        <v>87</v>
      </c>
      <c r="K101" s="48"/>
      <c r="M101" s="46"/>
      <c r="N101" s="33"/>
      <c r="O101" s="33"/>
      <c r="P101" s="33"/>
      <c r="Q101" s="33"/>
      <c r="R101" s="33"/>
      <c r="S101" s="33"/>
    </row>
    <row r="102" spans="2:19" s="24" customFormat="1" ht="99.75" customHeight="1" thickBot="1" x14ac:dyDescent="0.3">
      <c r="B102" s="95">
        <v>88</v>
      </c>
      <c r="C102" s="92" t="s">
        <v>610</v>
      </c>
      <c r="D102" s="93" t="s">
        <v>610</v>
      </c>
      <c r="E102" s="93" t="s">
        <v>610</v>
      </c>
      <c r="F102" s="93" t="s">
        <v>610</v>
      </c>
      <c r="G102" s="90" t="str">
        <f>+IFERROR(VLOOKUP(C102,Hoja1!$A$1:$K$82,11,0),"")</f>
        <v/>
      </c>
      <c r="H102" s="248" t="str">
        <f>+IFERROR(VLOOKUP(C102,Hoja1!$A$1:$L$82,12,0),"")</f>
        <v/>
      </c>
      <c r="I102" s="28"/>
      <c r="J102" s="49">
        <v>88</v>
      </c>
      <c r="K102" s="48"/>
      <c r="M102" s="46"/>
      <c r="N102" s="33"/>
      <c r="O102" s="33"/>
      <c r="P102" s="33"/>
      <c r="Q102" s="33"/>
      <c r="R102" s="33"/>
      <c r="S102" s="33"/>
    </row>
    <row r="103" spans="2:19" s="24" customFormat="1" ht="99.75" customHeight="1" thickBot="1" x14ac:dyDescent="0.3">
      <c r="B103" s="91">
        <v>89</v>
      </c>
      <c r="C103" s="92" t="s">
        <v>610</v>
      </c>
      <c r="D103" s="93" t="s">
        <v>610</v>
      </c>
      <c r="E103" s="93" t="s">
        <v>610</v>
      </c>
      <c r="F103" s="93" t="s">
        <v>610</v>
      </c>
      <c r="G103" s="90" t="str">
        <f>+IFERROR(VLOOKUP(C103,Hoja1!$A$1:$K$82,11,0),"")</f>
        <v/>
      </c>
      <c r="H103" s="248" t="str">
        <f>+IFERROR(VLOOKUP(C103,Hoja1!$A$1:$L$82,12,0),"")</f>
        <v/>
      </c>
      <c r="I103" s="28"/>
      <c r="J103" s="49">
        <v>89</v>
      </c>
      <c r="K103" s="48"/>
      <c r="M103" s="46"/>
      <c r="N103" s="33"/>
      <c r="O103" s="33"/>
      <c r="P103" s="33"/>
      <c r="Q103" s="33"/>
      <c r="R103" s="33"/>
      <c r="S103" s="33"/>
    </row>
    <row r="104" spans="2:19" s="24" customFormat="1" ht="99.75" customHeight="1" thickBot="1" x14ac:dyDescent="0.3">
      <c r="B104" s="95">
        <v>90</v>
      </c>
      <c r="C104" s="92" t="s">
        <v>610</v>
      </c>
      <c r="D104" s="93" t="s">
        <v>610</v>
      </c>
      <c r="E104" s="93" t="s">
        <v>610</v>
      </c>
      <c r="F104" s="93" t="s">
        <v>610</v>
      </c>
      <c r="G104" s="90" t="str">
        <f>+IFERROR(VLOOKUP(C104,Hoja1!$A$1:$K$82,11,0),"")</f>
        <v/>
      </c>
      <c r="H104" s="248" t="str">
        <f>+IFERROR(VLOOKUP(C104,Hoja1!$A$1:$L$82,12,0),"")</f>
        <v/>
      </c>
      <c r="I104" s="28"/>
      <c r="J104" s="49">
        <v>90</v>
      </c>
      <c r="K104" s="48"/>
      <c r="M104" s="46"/>
      <c r="N104" s="33"/>
      <c r="O104" s="33"/>
      <c r="P104" s="33"/>
      <c r="Q104" s="33"/>
      <c r="R104" s="33"/>
      <c r="S104" s="33"/>
    </row>
    <row r="105" spans="2:19" s="24" customFormat="1" ht="99.75" customHeight="1" thickBot="1" x14ac:dyDescent="0.3">
      <c r="B105" s="91">
        <v>91</v>
      </c>
      <c r="C105" s="92" t="s">
        <v>610</v>
      </c>
      <c r="D105" s="93" t="s">
        <v>610</v>
      </c>
      <c r="E105" s="93" t="s">
        <v>610</v>
      </c>
      <c r="F105" s="93" t="s">
        <v>610</v>
      </c>
      <c r="G105" s="90" t="str">
        <f>+IFERROR(VLOOKUP(C105,Hoja1!$A$1:$K$82,11,0),"")</f>
        <v/>
      </c>
      <c r="H105" s="248" t="str">
        <f>+IFERROR(VLOOKUP(C105,Hoja1!$A$1:$L$82,12,0),"")</f>
        <v/>
      </c>
      <c r="I105" s="28"/>
      <c r="J105" s="49">
        <v>91</v>
      </c>
      <c r="K105" s="48"/>
      <c r="M105" s="46"/>
      <c r="N105" s="33"/>
      <c r="O105" s="33"/>
      <c r="P105" s="33"/>
      <c r="Q105" s="33"/>
      <c r="R105" s="33"/>
      <c r="S105" s="33"/>
    </row>
    <row r="106" spans="2:19" s="24" customFormat="1" ht="99.75" customHeight="1" thickBot="1" x14ac:dyDescent="0.3">
      <c r="B106" s="91">
        <v>92</v>
      </c>
      <c r="C106" s="92" t="s">
        <v>610</v>
      </c>
      <c r="D106" s="93" t="s">
        <v>610</v>
      </c>
      <c r="E106" s="93" t="s">
        <v>610</v>
      </c>
      <c r="F106" s="93" t="s">
        <v>610</v>
      </c>
      <c r="G106" s="90" t="str">
        <f>+IFERROR(VLOOKUP(C106,Hoja1!$A$1:$K$82,11,0),"")</f>
        <v/>
      </c>
      <c r="H106" s="248" t="str">
        <f>+IFERROR(VLOOKUP(C106,Hoja1!$A$1:$L$82,12,0),"")</f>
        <v/>
      </c>
      <c r="I106" s="28"/>
      <c r="J106" s="49">
        <v>92</v>
      </c>
      <c r="K106" s="48"/>
      <c r="M106" s="46"/>
      <c r="N106" s="33"/>
      <c r="O106" s="33"/>
      <c r="P106" s="33"/>
      <c r="Q106" s="33"/>
      <c r="R106" s="33"/>
      <c r="S106" s="33"/>
    </row>
    <row r="107" spans="2:19" s="24" customFormat="1" ht="99.75" customHeight="1" thickBot="1" x14ac:dyDescent="0.3">
      <c r="B107" s="91">
        <v>93</v>
      </c>
      <c r="C107" s="92" t="s">
        <v>610</v>
      </c>
      <c r="D107" s="93" t="s">
        <v>610</v>
      </c>
      <c r="E107" s="93" t="s">
        <v>610</v>
      </c>
      <c r="F107" s="93" t="s">
        <v>610</v>
      </c>
      <c r="G107" s="90" t="str">
        <f>+IFERROR(VLOOKUP(C107,Hoja1!$A$1:$K$82,11,0),"")</f>
        <v/>
      </c>
      <c r="H107" s="248" t="str">
        <f>+IFERROR(VLOOKUP(C107,Hoja1!$A$1:$L$82,12,0),"")</f>
        <v/>
      </c>
      <c r="I107" s="28"/>
      <c r="J107" s="49">
        <v>93</v>
      </c>
      <c r="K107" s="48"/>
      <c r="M107" s="46"/>
      <c r="N107" s="33"/>
      <c r="O107" s="33"/>
      <c r="P107" s="33"/>
      <c r="Q107" s="33"/>
      <c r="R107" s="33"/>
      <c r="S107" s="33"/>
    </row>
    <row r="108" spans="2:19" s="24" customFormat="1" ht="99.75" customHeight="1" thickBot="1" x14ac:dyDescent="0.3">
      <c r="B108" s="95">
        <v>94</v>
      </c>
      <c r="C108" s="92" t="s">
        <v>610</v>
      </c>
      <c r="D108" s="93" t="s">
        <v>610</v>
      </c>
      <c r="E108" s="93" t="s">
        <v>610</v>
      </c>
      <c r="F108" s="93" t="s">
        <v>610</v>
      </c>
      <c r="G108" s="90" t="str">
        <f>+IFERROR(VLOOKUP(C108,Hoja1!$A$1:$K$82,11,0),"")</f>
        <v/>
      </c>
      <c r="H108" s="248" t="str">
        <f>+IFERROR(VLOOKUP(C108,Hoja1!$A$1:$L$82,12,0),"")</f>
        <v/>
      </c>
      <c r="I108" s="28"/>
      <c r="J108" s="49">
        <v>94</v>
      </c>
      <c r="K108" s="48"/>
      <c r="M108" s="46"/>
      <c r="N108" s="33"/>
      <c r="O108" s="33"/>
      <c r="P108" s="33"/>
      <c r="Q108" s="33"/>
      <c r="R108" s="33"/>
      <c r="S108" s="33"/>
    </row>
    <row r="109" spans="2:19" s="24" customFormat="1" ht="99.75" customHeight="1" thickBot="1" x14ac:dyDescent="0.3">
      <c r="B109" s="91">
        <v>95</v>
      </c>
      <c r="C109" s="92" t="s">
        <v>610</v>
      </c>
      <c r="D109" s="93" t="s">
        <v>610</v>
      </c>
      <c r="E109" s="93" t="s">
        <v>610</v>
      </c>
      <c r="F109" s="93" t="s">
        <v>610</v>
      </c>
      <c r="G109" s="90" t="str">
        <f>+IFERROR(VLOOKUP(C109,Hoja1!$A$1:$K$82,11,0),"")</f>
        <v/>
      </c>
      <c r="H109" s="248" t="str">
        <f>+IFERROR(VLOOKUP(C109,Hoja1!$A$1:$L$82,12,0),"")</f>
        <v/>
      </c>
      <c r="I109" s="28"/>
      <c r="J109" s="49">
        <v>95</v>
      </c>
      <c r="K109" s="48"/>
      <c r="M109" s="46"/>
      <c r="N109" s="33"/>
      <c r="O109" s="33"/>
      <c r="P109" s="33"/>
      <c r="Q109" s="33"/>
      <c r="R109" s="33"/>
      <c r="S109" s="33"/>
    </row>
    <row r="110" spans="2:19" s="24" customFormat="1" ht="99.75" customHeight="1" thickBot="1" x14ac:dyDescent="0.3">
      <c r="B110" s="95">
        <f t="shared" ref="B110:B143" si="5">+IF(ISTEXT(D110),J110,"")</f>
        <v>96</v>
      </c>
      <c r="C110" s="92" t="str">
        <f>+IFERROR(INDEX(Hoja1!$A$2:$A$82,MATCH(J110,Hoja1!$H$2:$H$82,0)),"")</f>
        <v/>
      </c>
      <c r="D110" s="93" t="str">
        <f>IFERROR(VLOOKUP(C110,Hoja1!$A$2:$H$82,4,0),"")</f>
        <v/>
      </c>
      <c r="E110" s="93" t="str">
        <f>+IFERROR(VLOOKUP(C110,Hoja1!$A$1:$J$82,10,0),"")</f>
        <v/>
      </c>
      <c r="F110" s="93" t="str">
        <f>+IFERROR(VLOOKUP(C110,Hoja1!$A$1:$I$82,3,0),"")</f>
        <v/>
      </c>
      <c r="G110" s="90" t="str">
        <f>+IFERROR(VLOOKUP(C110,Hoja1!$A$1:$K$82,11,0),"")</f>
        <v/>
      </c>
      <c r="H110" s="248" t="str">
        <f>+IFERROR(VLOOKUP(C110,Hoja1!$A$1:$L$82,12,0),"")</f>
        <v/>
      </c>
      <c r="I110" s="28"/>
      <c r="J110" s="49">
        <v>96</v>
      </c>
      <c r="K110" s="48"/>
      <c r="M110" s="46"/>
      <c r="N110" s="33"/>
      <c r="O110" s="33"/>
      <c r="P110" s="33"/>
      <c r="Q110" s="33"/>
      <c r="R110" s="33"/>
      <c r="S110" s="33"/>
    </row>
    <row r="111" spans="2:19" s="24" customFormat="1" ht="99.75" customHeight="1" thickBot="1" x14ac:dyDescent="0.3">
      <c r="B111" s="91">
        <f t="shared" si="5"/>
        <v>97</v>
      </c>
      <c r="C111" s="92" t="str">
        <f>+IFERROR(INDEX(Hoja1!$A$2:$A$82,MATCH(J111,Hoja1!$H$2:$H$82,0)),"")</f>
        <v/>
      </c>
      <c r="D111" s="93" t="str">
        <f>IFERROR(VLOOKUP(C111,Hoja1!$A$2:$H$82,4,0),"")</f>
        <v/>
      </c>
      <c r="E111" s="93" t="str">
        <f>+IFERROR(VLOOKUP(C111,Hoja1!$A$1:$J$82,10,0),"")</f>
        <v/>
      </c>
      <c r="F111" s="93" t="str">
        <f>+IFERROR(VLOOKUP(C111,Hoja1!$A$1:$I$82,3,0),"")</f>
        <v/>
      </c>
      <c r="G111" s="90" t="str">
        <f>+IFERROR(VLOOKUP(C111,Hoja1!$A$1:$K$82,11,0),"")</f>
        <v/>
      </c>
      <c r="H111" s="248" t="str">
        <f>+IFERROR(VLOOKUP(C111,Hoja1!$A$1:$L$82,12,0),"")</f>
        <v/>
      </c>
      <c r="I111" s="28"/>
      <c r="J111" s="49">
        <v>97</v>
      </c>
      <c r="K111" s="48"/>
      <c r="M111" s="46"/>
      <c r="N111" s="33"/>
      <c r="O111" s="33"/>
      <c r="P111" s="33"/>
      <c r="Q111" s="33"/>
      <c r="R111" s="33"/>
      <c r="S111" s="33"/>
    </row>
    <row r="112" spans="2:19" s="24" customFormat="1" ht="99.75" customHeight="1" thickBot="1" x14ac:dyDescent="0.3">
      <c r="B112" s="91">
        <f t="shared" si="5"/>
        <v>98</v>
      </c>
      <c r="C112" s="92" t="str">
        <f>+IFERROR(INDEX(Hoja1!$A$2:$A$82,MATCH(J112,Hoja1!$H$2:$H$82,0)),"")</f>
        <v/>
      </c>
      <c r="D112" s="93" t="str">
        <f>IFERROR(VLOOKUP(C112,Hoja1!$A$2:$H$82,4,0),"")</f>
        <v/>
      </c>
      <c r="E112" s="93" t="str">
        <f>+IFERROR(VLOOKUP(C112,Hoja1!$A$1:$J$82,10,0),"")</f>
        <v/>
      </c>
      <c r="F112" s="93" t="str">
        <f>+IFERROR(VLOOKUP(C112,Hoja1!$A$1:$I$82,3,0),"")</f>
        <v/>
      </c>
      <c r="G112" s="90" t="str">
        <f>+IFERROR(VLOOKUP(C112,Hoja1!$A$1:$K$82,11,0),"")</f>
        <v/>
      </c>
      <c r="H112" s="248" t="str">
        <f>+IFERROR(VLOOKUP(C112,Hoja1!$A$1:$L$82,12,0),"")</f>
        <v/>
      </c>
      <c r="I112" s="28"/>
      <c r="J112" s="49">
        <v>98</v>
      </c>
      <c r="K112" s="48"/>
      <c r="M112" s="46"/>
      <c r="N112" s="33"/>
      <c r="O112" s="33"/>
      <c r="P112" s="33"/>
      <c r="Q112" s="33"/>
      <c r="R112" s="33"/>
      <c r="S112" s="33"/>
    </row>
    <row r="113" spans="2:19" s="24" customFormat="1" ht="99.75" customHeight="1" thickBot="1" x14ac:dyDescent="0.3">
      <c r="B113" s="91">
        <f t="shared" si="5"/>
        <v>99</v>
      </c>
      <c r="C113" s="92" t="str">
        <f>+IFERROR(INDEX(Hoja1!$A$2:$A$82,MATCH(J113,Hoja1!$H$2:$H$82,0)),"")</f>
        <v/>
      </c>
      <c r="D113" s="93" t="str">
        <f>IFERROR(VLOOKUP(C113,Hoja1!$A$2:$H$82,4,0),"")</f>
        <v/>
      </c>
      <c r="E113" s="93" t="str">
        <f>+IFERROR(VLOOKUP(C113,Hoja1!$A$1:$J$82,10,0),"")</f>
        <v/>
      </c>
      <c r="F113" s="93" t="str">
        <f>+IFERROR(VLOOKUP(C113,Hoja1!$A$1:$I$82,3,0),"")</f>
        <v/>
      </c>
      <c r="G113" s="90" t="str">
        <f>+IFERROR(VLOOKUP(C113,Hoja1!$A$1:$K$82,11,0),"")</f>
        <v/>
      </c>
      <c r="H113" s="248" t="str">
        <f>+IFERROR(VLOOKUP(C113,Hoja1!$A$1:$L$82,12,0),"")</f>
        <v/>
      </c>
      <c r="I113" s="28"/>
      <c r="J113" s="49">
        <v>99</v>
      </c>
      <c r="K113" s="48"/>
      <c r="M113" s="46"/>
      <c r="N113" s="33"/>
      <c r="O113" s="33"/>
      <c r="P113" s="33"/>
      <c r="Q113" s="33"/>
      <c r="R113" s="33"/>
      <c r="S113" s="33"/>
    </row>
    <row r="114" spans="2:19" s="24" customFormat="1" ht="99.75" customHeight="1" thickBot="1" x14ac:dyDescent="0.3">
      <c r="B114" s="91">
        <f t="shared" si="5"/>
        <v>100</v>
      </c>
      <c r="C114" s="92" t="str">
        <f>+IFERROR(INDEX(Hoja1!$A$2:$A$82,MATCH(J114,Hoja1!$H$2:$H$82,0)),"")</f>
        <v/>
      </c>
      <c r="D114" s="93" t="str">
        <f>IFERROR(VLOOKUP(C114,Hoja1!$A$2:$H$82,4,0),"")</f>
        <v/>
      </c>
      <c r="E114" s="93" t="str">
        <f>+IFERROR(VLOOKUP(C114,Hoja1!$A$1:$J$82,10,0),"")</f>
        <v/>
      </c>
      <c r="F114" s="93" t="str">
        <f>+IFERROR(VLOOKUP(C114,Hoja1!$A$1:$I$82,3,0),"")</f>
        <v/>
      </c>
      <c r="G114" s="90" t="str">
        <f>+IFERROR(VLOOKUP(C114,Hoja1!$A$1:$K$82,11,0),"")</f>
        <v/>
      </c>
      <c r="H114" s="248" t="str">
        <f>+IFERROR(VLOOKUP(C114,Hoja1!$A$1:$L$82,12,0),"")</f>
        <v/>
      </c>
      <c r="I114" s="28"/>
      <c r="J114" s="49">
        <v>100</v>
      </c>
      <c r="K114" s="48"/>
      <c r="M114" s="46"/>
      <c r="N114" s="33"/>
      <c r="O114" s="33"/>
      <c r="P114" s="33"/>
      <c r="Q114" s="33"/>
      <c r="R114" s="33"/>
      <c r="S114" s="33"/>
    </row>
    <row r="115" spans="2:19" s="24" customFormat="1" ht="99.75" customHeight="1" thickBot="1" x14ac:dyDescent="0.3">
      <c r="B115" s="95">
        <f t="shared" si="5"/>
        <v>101</v>
      </c>
      <c r="C115" s="92" t="str">
        <f>+IFERROR(INDEX(Hoja1!$A$2:$A$82,MATCH(J115,Hoja1!$H$2:$H$82,0)),"")</f>
        <v/>
      </c>
      <c r="D115" s="93" t="str">
        <f>IFERROR(VLOOKUP(C115,Hoja1!$A$2:$H$82,4,0),"")</f>
        <v/>
      </c>
      <c r="E115" s="93" t="str">
        <f>+IFERROR(VLOOKUP(C115,Hoja1!$A$1:$J$82,10,0),"")</f>
        <v/>
      </c>
      <c r="F115" s="93" t="str">
        <f>+IFERROR(VLOOKUP(C115,Hoja1!$A$1:$I$82,3,0),"")</f>
        <v/>
      </c>
      <c r="G115" s="90" t="str">
        <f>+IFERROR(VLOOKUP(C115,Hoja1!$A$1:$K$82,11,0),"")</f>
        <v/>
      </c>
      <c r="H115" s="248" t="str">
        <f>+IFERROR(VLOOKUP(C115,Hoja1!$A$1:$L$82,12,0),"")</f>
        <v/>
      </c>
      <c r="I115" s="28"/>
      <c r="J115" s="49">
        <v>101</v>
      </c>
      <c r="K115" s="48"/>
      <c r="M115" s="46"/>
      <c r="N115" s="33"/>
      <c r="O115" s="33"/>
      <c r="P115" s="33"/>
      <c r="Q115" s="33"/>
      <c r="R115" s="33"/>
      <c r="S115" s="33"/>
    </row>
    <row r="116" spans="2:19" s="24" customFormat="1" ht="99.75" customHeight="1" x14ac:dyDescent="0.25">
      <c r="B116" s="91">
        <f t="shared" si="5"/>
        <v>102</v>
      </c>
      <c r="C116" s="92" t="str">
        <f>+IFERROR(INDEX(Hoja1!$A$2:$A$82,MATCH(J116,Hoja1!$H$2:$H$82,0)),"")</f>
        <v/>
      </c>
      <c r="D116" s="93" t="str">
        <f>IFERROR(VLOOKUP(C116,Hoja1!$A$2:$H$82,4,0),"")</f>
        <v/>
      </c>
      <c r="E116" s="93" t="str">
        <f>+IFERROR(VLOOKUP(C116,Hoja1!$A$1:$J$82,10,0),"")</f>
        <v/>
      </c>
      <c r="F116" s="93" t="str">
        <f>+IFERROR(VLOOKUP(C116,Hoja1!$A$1:$I$82,3,0),"")</f>
        <v/>
      </c>
      <c r="G116" s="90" t="str">
        <f>+IFERROR(VLOOKUP(C116,Hoja1!$A$1:$K$82,11,0),"")</f>
        <v/>
      </c>
      <c r="H116" s="248" t="str">
        <f>+IFERROR(VLOOKUP(C116,Hoja1!$A$1:$L$82,12,0),"")</f>
        <v/>
      </c>
      <c r="I116" s="28"/>
      <c r="J116" s="49">
        <v>102</v>
      </c>
      <c r="K116" s="48"/>
      <c r="M116" s="46"/>
      <c r="N116" s="33"/>
      <c r="O116" s="33"/>
      <c r="P116" s="33"/>
      <c r="Q116" s="33"/>
      <c r="R116" s="33"/>
      <c r="S116" s="33"/>
    </row>
    <row r="117" spans="2:19" s="24" customFormat="1" ht="99.75" customHeight="1" x14ac:dyDescent="0.25">
      <c r="B117" s="91">
        <f t="shared" si="5"/>
        <v>103</v>
      </c>
      <c r="C117" s="92" t="str">
        <f>+IFERROR(INDEX(Hoja1!$A$2:$A$82,MATCH(J117,Hoja1!$H$2:$H$82,0)),"")</f>
        <v/>
      </c>
      <c r="D117" s="93" t="str">
        <f>IFERROR(VLOOKUP(C117,Hoja1!$A$2:$H$82,4,0),"")</f>
        <v/>
      </c>
      <c r="E117" s="93" t="str">
        <f>+IFERROR(VLOOKUP(C117,Hoja1!$A$1:$J$82,10,0),"")</f>
        <v/>
      </c>
      <c r="F117" s="93" t="str">
        <f>+IFERROR(VLOOKUP(C117,Hoja1!$A$1:$I$82,3,0),"")</f>
        <v/>
      </c>
      <c r="G117" s="92" t="str">
        <f>+IFERROR(VLOOKUP(C117,Hoja1!$A$1:$K$82,11,0),"")</f>
        <v/>
      </c>
      <c r="H117" s="94" t="str">
        <f>+IFERROR(VLOOKUP(C117,Hoja1!$A$1:$L$82,12,0),"")</f>
        <v/>
      </c>
      <c r="I117" s="28"/>
      <c r="J117" s="49">
        <v>103</v>
      </c>
      <c r="K117" s="48"/>
      <c r="M117" s="46"/>
      <c r="N117" s="33"/>
      <c r="O117" s="33"/>
      <c r="P117" s="33"/>
      <c r="Q117" s="33"/>
      <c r="R117" s="33"/>
      <c r="S117" s="33"/>
    </row>
    <row r="118" spans="2:19" s="24" customFormat="1" ht="99.75" customHeight="1" x14ac:dyDescent="0.25">
      <c r="B118" s="91">
        <f t="shared" si="5"/>
        <v>104</v>
      </c>
      <c r="C118" s="92" t="str">
        <f>+IFERROR(INDEX(Hoja1!$A$2:$A$82,MATCH(J118,Hoja1!$H$2:$H$82,0)),"")</f>
        <v/>
      </c>
      <c r="D118" s="93" t="str">
        <f>IFERROR(VLOOKUP(C118,Hoja1!$A$2:$H$82,4,0),"")</f>
        <v/>
      </c>
      <c r="E118" s="93" t="str">
        <f>+IFERROR(VLOOKUP(C118,Hoja1!$A$1:$J$82,10,0),"")</f>
        <v/>
      </c>
      <c r="F118" s="93" t="str">
        <f>+IFERROR(VLOOKUP(C118,Hoja1!$A$1:$I$82,3,0),"")</f>
        <v/>
      </c>
      <c r="G118" s="92" t="str">
        <f>+IFERROR(VLOOKUP(C118,Hoja1!$A$1:$K$82,11,0),"")</f>
        <v/>
      </c>
      <c r="H118" s="94" t="str">
        <f>+IFERROR(VLOOKUP(C118,Hoja1!$A$1:$L$82,12,0),"")</f>
        <v/>
      </c>
      <c r="I118" s="28"/>
      <c r="J118" s="49">
        <v>104</v>
      </c>
      <c r="K118" s="48"/>
      <c r="M118" s="46"/>
      <c r="N118" s="33"/>
      <c r="O118" s="33"/>
      <c r="P118" s="33"/>
      <c r="Q118" s="33"/>
      <c r="R118" s="33"/>
      <c r="S118" s="33"/>
    </row>
    <row r="119" spans="2:19" s="24" customFormat="1" ht="99.75" customHeight="1" x14ac:dyDescent="0.25">
      <c r="B119" s="91">
        <f t="shared" si="5"/>
        <v>105</v>
      </c>
      <c r="C119" s="92" t="str">
        <f>+IFERROR(INDEX(Hoja1!$A$2:$A$82,MATCH(J119,Hoja1!$H$2:$H$82,0)),"")</f>
        <v/>
      </c>
      <c r="D119" s="93" t="str">
        <f>IFERROR(VLOOKUP(C119,Hoja1!$A$2:$H$82,4,0),"")</f>
        <v/>
      </c>
      <c r="E119" s="93" t="str">
        <f>+IFERROR(VLOOKUP(C119,Hoja1!$A$1:$J$82,10,0),"")</f>
        <v/>
      </c>
      <c r="F119" s="93" t="str">
        <f>+IFERROR(VLOOKUP(C119,Hoja1!$A$1:$I$82,3,0),"")</f>
        <v/>
      </c>
      <c r="G119" s="92" t="str">
        <f>+IFERROR(VLOOKUP(C119,Hoja1!$A$1:$K$82,11,0),"")</f>
        <v/>
      </c>
      <c r="H119" s="94" t="str">
        <f>+IFERROR(VLOOKUP(C119,Hoja1!$A$1:$L$82,12,0),"")</f>
        <v/>
      </c>
      <c r="I119" s="28"/>
      <c r="J119" s="49">
        <v>105</v>
      </c>
      <c r="K119" s="48"/>
      <c r="M119" s="46"/>
      <c r="N119" s="33"/>
      <c r="O119" s="33"/>
      <c r="P119" s="33"/>
      <c r="Q119" s="33"/>
      <c r="R119" s="33"/>
      <c r="S119" s="33"/>
    </row>
    <row r="120" spans="2:19" s="24" customFormat="1" ht="99.75" customHeight="1" x14ac:dyDescent="0.25">
      <c r="B120" s="95">
        <f t="shared" si="5"/>
        <v>106</v>
      </c>
      <c r="C120" s="92" t="str">
        <f>+IFERROR(INDEX(Hoja1!$A$2:$A$82,MATCH(J120,Hoja1!$H$2:$H$82,0)),"")</f>
        <v/>
      </c>
      <c r="D120" s="93" t="str">
        <f>IFERROR(VLOOKUP(C120,Hoja1!$A$2:$H$82,4,0),"")</f>
        <v/>
      </c>
      <c r="E120" s="93" t="str">
        <f>+IFERROR(VLOOKUP(C120,Hoja1!$A$1:$J$82,10,0),"")</f>
        <v/>
      </c>
      <c r="F120" s="93" t="str">
        <f>+IFERROR(VLOOKUP(C120,Hoja1!$A$1:$I$82,3,0),"")</f>
        <v/>
      </c>
      <c r="G120" s="92" t="str">
        <f>+IFERROR(VLOOKUP(C120,Hoja1!$A$1:$K$82,11,0),"")</f>
        <v/>
      </c>
      <c r="H120" s="94" t="str">
        <f>+IFERROR(VLOOKUP(C120,Hoja1!$A$1:$L$82,12,0),"")</f>
        <v/>
      </c>
      <c r="I120" s="28"/>
      <c r="J120" s="49">
        <v>106</v>
      </c>
      <c r="K120" s="48"/>
      <c r="M120" s="46"/>
      <c r="N120" s="33"/>
      <c r="O120" s="33"/>
      <c r="P120" s="33"/>
      <c r="Q120" s="33"/>
      <c r="R120" s="33"/>
      <c r="S120" s="33"/>
    </row>
    <row r="121" spans="2:19" s="24" customFormat="1" ht="99.75" customHeight="1" x14ac:dyDescent="0.25">
      <c r="B121" s="91">
        <f t="shared" si="5"/>
        <v>107</v>
      </c>
      <c r="C121" s="92" t="str">
        <f>+IFERROR(INDEX(Hoja1!$A$2:$A$82,MATCH(J121,Hoja1!$H$2:$H$82,0)),"")</f>
        <v/>
      </c>
      <c r="D121" s="93" t="str">
        <f>IFERROR(VLOOKUP(C121,Hoja1!$A$2:$H$82,4,0),"")</f>
        <v/>
      </c>
      <c r="E121" s="93" t="str">
        <f>+IFERROR(VLOOKUP(C121,Hoja1!$A$1:$J$82,10,0),"")</f>
        <v/>
      </c>
      <c r="F121" s="93" t="str">
        <f>+IFERROR(VLOOKUP(C121,Hoja1!$A$1:$I$82,3,0),"")</f>
        <v/>
      </c>
      <c r="G121" s="92" t="str">
        <f>+IFERROR(VLOOKUP(C121,Hoja1!$A$1:$K$82,11,0),"")</f>
        <v/>
      </c>
      <c r="H121" s="94" t="str">
        <f>+IFERROR(VLOOKUP(C121,Hoja1!$A$1:$L$82,12,0),"")</f>
        <v/>
      </c>
      <c r="I121" s="28"/>
      <c r="J121" s="49">
        <v>107</v>
      </c>
      <c r="K121" s="48"/>
      <c r="M121" s="46"/>
      <c r="N121" s="33"/>
      <c r="O121" s="33"/>
      <c r="P121" s="33"/>
      <c r="Q121" s="33"/>
      <c r="R121" s="33"/>
      <c r="S121" s="33"/>
    </row>
    <row r="122" spans="2:19" s="24" customFormat="1" ht="99.75" customHeight="1" x14ac:dyDescent="0.25">
      <c r="B122" s="91">
        <f t="shared" si="5"/>
        <v>108</v>
      </c>
      <c r="C122" s="92" t="str">
        <f>+IFERROR(INDEX(Hoja1!$A$2:$A$82,MATCH(J122,Hoja1!$H$2:$H$82,0)),"")</f>
        <v/>
      </c>
      <c r="D122" s="93" t="str">
        <f>IFERROR(VLOOKUP(C122,Hoja1!$A$2:$H$82,4,0),"")</f>
        <v/>
      </c>
      <c r="E122" s="93" t="str">
        <f>+IFERROR(VLOOKUP(C122,Hoja1!$A$1:$J$82,10,0),"")</f>
        <v/>
      </c>
      <c r="F122" s="93" t="str">
        <f>+IFERROR(VLOOKUP(C122,Hoja1!$A$1:$I$82,3,0),"")</f>
        <v/>
      </c>
      <c r="G122" s="92" t="str">
        <f>+IFERROR(VLOOKUP(C122,Hoja1!$A$1:$K$82,11,0),"")</f>
        <v/>
      </c>
      <c r="H122" s="94" t="str">
        <f>+IFERROR(VLOOKUP(C122,Hoja1!$A$1:$L$82,12,0),"")</f>
        <v/>
      </c>
      <c r="I122" s="28"/>
      <c r="J122" s="49">
        <v>108</v>
      </c>
      <c r="K122" s="48"/>
      <c r="M122" s="46"/>
      <c r="N122" s="33"/>
      <c r="O122" s="33"/>
      <c r="P122" s="33"/>
      <c r="Q122" s="33"/>
      <c r="R122" s="33"/>
      <c r="S122" s="33"/>
    </row>
    <row r="123" spans="2:19" s="24" customFormat="1" ht="99.75" customHeight="1" x14ac:dyDescent="0.25">
      <c r="B123" s="91">
        <f t="shared" si="5"/>
        <v>109</v>
      </c>
      <c r="C123" s="92" t="str">
        <f>+IFERROR(INDEX(Hoja1!$A$2:$A$82,MATCH(J123,Hoja1!$H$2:$H$82,0)),"")</f>
        <v/>
      </c>
      <c r="D123" s="93" t="str">
        <f>IFERROR(VLOOKUP(C123,Hoja1!$A$2:$H$82,4,0),"")</f>
        <v/>
      </c>
      <c r="E123" s="93" t="str">
        <f>+IFERROR(VLOOKUP(C123,Hoja1!$A$1:$J$82,10,0),"")</f>
        <v/>
      </c>
      <c r="F123" s="93" t="str">
        <f>+IFERROR(VLOOKUP(C123,Hoja1!$A$1:$I$82,3,0),"")</f>
        <v/>
      </c>
      <c r="G123" s="92" t="str">
        <f>+IFERROR(VLOOKUP(C123,Hoja1!$A$1:$K$82,11,0),"")</f>
        <v/>
      </c>
      <c r="H123" s="94" t="str">
        <f>+IFERROR(VLOOKUP(C123,Hoja1!$A$1:$L$82,12,0),"")</f>
        <v/>
      </c>
      <c r="I123" s="28"/>
      <c r="J123" s="49">
        <v>109</v>
      </c>
      <c r="K123" s="48"/>
      <c r="M123" s="46"/>
      <c r="N123" s="33"/>
      <c r="O123" s="33"/>
      <c r="P123" s="33"/>
      <c r="Q123" s="33"/>
      <c r="R123" s="33"/>
      <c r="S123" s="33"/>
    </row>
    <row r="124" spans="2:19" s="24" customFormat="1" ht="99.75" customHeight="1" x14ac:dyDescent="0.25">
      <c r="B124" s="91">
        <f t="shared" si="5"/>
        <v>110</v>
      </c>
      <c r="C124" s="92" t="str">
        <f>+IFERROR(INDEX(Hoja1!$A$2:$A$82,MATCH(J124,Hoja1!$H$2:$H$82,0)),"")</f>
        <v/>
      </c>
      <c r="D124" s="93" t="str">
        <f>IFERROR(VLOOKUP(C124,Hoja1!$A$2:$H$82,4,0),"")</f>
        <v/>
      </c>
      <c r="E124" s="93" t="str">
        <f>+IFERROR(VLOOKUP(C124,Hoja1!$A$1:$J$82,10,0),"")</f>
        <v/>
      </c>
      <c r="F124" s="93" t="str">
        <f>+IFERROR(VLOOKUP(C124,Hoja1!$A$1:$I$82,3,0),"")</f>
        <v/>
      </c>
      <c r="G124" s="92" t="str">
        <f>+IFERROR(VLOOKUP(C124,Hoja1!$A$1:$K$82,11,0),"")</f>
        <v/>
      </c>
      <c r="H124" s="94" t="str">
        <f>+IFERROR(VLOOKUP(C124,Hoja1!$A$1:$L$82,12,0),"")</f>
        <v/>
      </c>
      <c r="I124" s="28"/>
      <c r="J124" s="49">
        <v>110</v>
      </c>
      <c r="K124" s="48"/>
      <c r="M124" s="46"/>
      <c r="N124" s="33"/>
      <c r="O124" s="33"/>
      <c r="P124" s="33"/>
      <c r="Q124" s="33"/>
      <c r="R124" s="33"/>
      <c r="S124" s="33"/>
    </row>
    <row r="125" spans="2:19" s="24" customFormat="1" ht="99.75" customHeight="1" x14ac:dyDescent="0.25">
      <c r="B125" s="95">
        <f t="shared" si="5"/>
        <v>111</v>
      </c>
      <c r="C125" s="92" t="str">
        <f>+IFERROR(INDEX(Hoja1!$A$2:$A$82,MATCH(J125,Hoja1!$H$2:$H$82,0)),"")</f>
        <v/>
      </c>
      <c r="D125" s="93" t="str">
        <f>IFERROR(VLOOKUP(C125,Hoja1!$A$2:$H$82,4,0),"")</f>
        <v/>
      </c>
      <c r="E125" s="93" t="str">
        <f>+IFERROR(VLOOKUP(C125,Hoja1!$A$1:$J$82,10,0),"")</f>
        <v/>
      </c>
      <c r="F125" s="93" t="str">
        <f>+IFERROR(VLOOKUP(C125,Hoja1!$A$1:$I$82,3,0),"")</f>
        <v/>
      </c>
      <c r="G125" s="92" t="str">
        <f>+IFERROR(VLOOKUP(C125,Hoja1!$A$1:$K$82,11,0),"")</f>
        <v/>
      </c>
      <c r="H125" s="94" t="str">
        <f>+IFERROR(VLOOKUP(C125,Hoja1!$A$1:$L$82,12,0),"")</f>
        <v/>
      </c>
      <c r="I125" s="28"/>
      <c r="J125" s="49">
        <v>111</v>
      </c>
      <c r="K125" s="48"/>
      <c r="M125" s="46"/>
      <c r="N125" s="33"/>
      <c r="O125" s="33"/>
      <c r="P125" s="33"/>
      <c r="Q125" s="33"/>
      <c r="R125" s="33"/>
      <c r="S125" s="33"/>
    </row>
    <row r="126" spans="2:19" s="24" customFormat="1" ht="99.75" customHeight="1" x14ac:dyDescent="0.25">
      <c r="B126" s="91">
        <f t="shared" si="5"/>
        <v>112</v>
      </c>
      <c r="C126" s="92" t="str">
        <f>+IFERROR(INDEX(Hoja1!$A$2:$A$82,MATCH(J126,Hoja1!$H$2:$H$82,0)),"")</f>
        <v/>
      </c>
      <c r="D126" s="93" t="str">
        <f>IFERROR(VLOOKUP(C126,Hoja1!$A$2:$H$82,4,0),"")</f>
        <v/>
      </c>
      <c r="E126" s="93" t="str">
        <f>+IFERROR(VLOOKUP(C126,Hoja1!$A$1:$J$82,10,0),"")</f>
        <v/>
      </c>
      <c r="F126" s="93" t="str">
        <f>+IFERROR(VLOOKUP(C126,Hoja1!$A$1:$I$82,3,0),"")</f>
        <v/>
      </c>
      <c r="G126" s="92" t="str">
        <f>+IFERROR(VLOOKUP(C126,Hoja1!$A$1:$K$82,11,0),"")</f>
        <v/>
      </c>
      <c r="H126" s="94" t="str">
        <f>+IFERROR(VLOOKUP(C126,Hoja1!$A$1:$L$82,12,0),"")</f>
        <v/>
      </c>
      <c r="I126" s="28"/>
      <c r="J126" s="49">
        <v>112</v>
      </c>
      <c r="K126" s="48"/>
      <c r="M126" s="46"/>
      <c r="N126" s="33"/>
      <c r="O126" s="33"/>
      <c r="P126" s="33"/>
      <c r="Q126" s="33"/>
      <c r="R126" s="33"/>
      <c r="S126" s="33"/>
    </row>
    <row r="127" spans="2:19" s="24" customFormat="1" ht="99.75" customHeight="1" x14ac:dyDescent="0.25">
      <c r="B127" s="91">
        <f t="shared" si="5"/>
        <v>113</v>
      </c>
      <c r="C127" s="92" t="str">
        <f>+IFERROR(INDEX(Hoja1!$A$2:$A$82,MATCH(J127,Hoja1!$H$2:$H$82,0)),"")</f>
        <v/>
      </c>
      <c r="D127" s="93" t="str">
        <f>IFERROR(VLOOKUP(C127,Hoja1!$A$2:$H$82,4,0),"")</f>
        <v/>
      </c>
      <c r="E127" s="93" t="str">
        <f>+IFERROR(VLOOKUP(C127,Hoja1!$A$1:$J$82,10,0),"")</f>
        <v/>
      </c>
      <c r="F127" s="93" t="str">
        <f>+IFERROR(VLOOKUP(C127,Hoja1!$A$1:$I$82,3,0),"")</f>
        <v/>
      </c>
      <c r="G127" s="92" t="str">
        <f>+IFERROR(VLOOKUP(C127,Hoja1!$A$1:$K$82,11,0),"")</f>
        <v/>
      </c>
      <c r="H127" s="94" t="str">
        <f>+IFERROR(VLOOKUP(C127,Hoja1!$A$1:$L$82,12,0),"")</f>
        <v/>
      </c>
      <c r="I127" s="28"/>
      <c r="J127" s="49">
        <v>113</v>
      </c>
      <c r="K127" s="48"/>
      <c r="M127" s="46"/>
      <c r="N127" s="33"/>
      <c r="O127" s="33"/>
      <c r="P127" s="33"/>
      <c r="Q127" s="33"/>
      <c r="R127" s="33"/>
      <c r="S127" s="33"/>
    </row>
    <row r="128" spans="2:19" s="24" customFormat="1" ht="99.75" customHeight="1" x14ac:dyDescent="0.25">
      <c r="B128" s="91">
        <f t="shared" si="5"/>
        <v>114</v>
      </c>
      <c r="C128" s="92" t="str">
        <f>+IFERROR(INDEX(Hoja1!$A$2:$A$82,MATCH(J128,Hoja1!$H$2:$H$82,0)),"")</f>
        <v/>
      </c>
      <c r="D128" s="93" t="str">
        <f>IFERROR(VLOOKUP(C128,Hoja1!$A$2:$H$82,4,0),"")</f>
        <v/>
      </c>
      <c r="E128" s="93" t="str">
        <f>+IFERROR(VLOOKUP(C128,Hoja1!$A$1:$J$82,10,0),"")</f>
        <v/>
      </c>
      <c r="F128" s="93" t="str">
        <f>+IFERROR(VLOOKUP(C128,Hoja1!$A$1:$I$82,3,0),"")</f>
        <v/>
      </c>
      <c r="G128" s="92" t="str">
        <f>+IFERROR(VLOOKUP(C128,Hoja1!$A$1:$K$82,11,0),"")</f>
        <v/>
      </c>
      <c r="H128" s="94" t="str">
        <f>+IFERROR(VLOOKUP(C128,Hoja1!$A$1:$L$82,12,0),"")</f>
        <v/>
      </c>
      <c r="I128" s="28"/>
      <c r="J128" s="49">
        <v>114</v>
      </c>
      <c r="K128" s="48"/>
      <c r="M128" s="46"/>
      <c r="N128" s="33"/>
      <c r="O128" s="33"/>
      <c r="P128" s="33"/>
      <c r="Q128" s="33"/>
      <c r="R128" s="33"/>
      <c r="S128" s="33"/>
    </row>
    <row r="129" spans="2:19" s="24" customFormat="1" ht="99.75" customHeight="1" x14ac:dyDescent="0.25">
      <c r="B129" s="91">
        <f t="shared" si="5"/>
        <v>115</v>
      </c>
      <c r="C129" s="92" t="str">
        <f>+IFERROR(INDEX(Hoja1!$A$2:$A$82,MATCH(J129,Hoja1!$H$2:$H$82,0)),"")</f>
        <v/>
      </c>
      <c r="D129" s="93" t="str">
        <f>IFERROR(VLOOKUP(C129,Hoja1!$A$2:$H$82,4,0),"")</f>
        <v/>
      </c>
      <c r="E129" s="93" t="str">
        <f>+IFERROR(VLOOKUP(C129,Hoja1!$A$1:$J$82,10,0),"")</f>
        <v/>
      </c>
      <c r="F129" s="93" t="str">
        <f>+IFERROR(VLOOKUP(C129,Hoja1!$A$1:$I$82,3,0),"")</f>
        <v/>
      </c>
      <c r="G129" s="92" t="str">
        <f>+IFERROR(VLOOKUP(C129,Hoja1!$A$1:$K$82,11,0),"")</f>
        <v/>
      </c>
      <c r="H129" s="94" t="str">
        <f>+IFERROR(VLOOKUP(C129,Hoja1!$A$1:$L$82,12,0),"")</f>
        <v/>
      </c>
      <c r="I129" s="28"/>
      <c r="J129" s="49">
        <v>115</v>
      </c>
      <c r="K129" s="48"/>
      <c r="M129" s="46"/>
      <c r="N129" s="33"/>
      <c r="O129" s="33"/>
      <c r="P129" s="33"/>
      <c r="Q129" s="33"/>
      <c r="R129" s="33"/>
      <c r="S129" s="33"/>
    </row>
    <row r="130" spans="2:19" s="24" customFormat="1" ht="99.75" customHeight="1" x14ac:dyDescent="0.25">
      <c r="B130" s="95">
        <f t="shared" si="5"/>
        <v>116</v>
      </c>
      <c r="C130" s="92" t="str">
        <f>+IFERROR(INDEX(Hoja1!$A$2:$A$82,MATCH(J130,Hoja1!$H$2:$H$82,0)),"")</f>
        <v/>
      </c>
      <c r="D130" s="93" t="str">
        <f>IFERROR(VLOOKUP(C130,Hoja1!$A$2:$H$82,4,0),"")</f>
        <v/>
      </c>
      <c r="E130" s="93" t="str">
        <f>+IFERROR(VLOOKUP(C130,Hoja1!$A$1:$J$82,10,0),"")</f>
        <v/>
      </c>
      <c r="F130" s="93" t="str">
        <f>+IFERROR(VLOOKUP(C130,Hoja1!$A$1:$I$82,3,0),"")</f>
        <v/>
      </c>
      <c r="G130" s="92" t="str">
        <f>+IFERROR(VLOOKUP(C130,Hoja1!$A$1:$K$82,11,0),"")</f>
        <v/>
      </c>
      <c r="H130" s="94" t="str">
        <f>+IFERROR(VLOOKUP(C130,Hoja1!$A$1:$L$82,12,0),"")</f>
        <v/>
      </c>
      <c r="I130" s="28"/>
      <c r="J130" s="49">
        <v>116</v>
      </c>
      <c r="K130" s="48"/>
      <c r="M130" s="46"/>
      <c r="N130" s="33"/>
      <c r="O130" s="33"/>
      <c r="P130" s="33"/>
      <c r="Q130" s="33"/>
      <c r="R130" s="33"/>
      <c r="S130" s="33"/>
    </row>
    <row r="131" spans="2:19" s="24" customFormat="1" ht="99.75" customHeight="1" x14ac:dyDescent="0.25">
      <c r="B131" s="91">
        <f t="shared" si="5"/>
        <v>117</v>
      </c>
      <c r="C131" s="92" t="str">
        <f>+IFERROR(INDEX(Hoja1!$A$2:$A$82,MATCH(J131,Hoja1!$H$2:$H$82,0)),"")</f>
        <v/>
      </c>
      <c r="D131" s="93" t="str">
        <f>IFERROR(VLOOKUP(C131,Hoja1!$A$2:$H$82,4,0),"")</f>
        <v/>
      </c>
      <c r="E131" s="93" t="str">
        <f>+IFERROR(VLOOKUP(C131,Hoja1!$A$1:$J$82,10,0),"")</f>
        <v/>
      </c>
      <c r="F131" s="93" t="str">
        <f>+IFERROR(VLOOKUP(C131,Hoja1!$A$1:$I$82,3,0),"")</f>
        <v/>
      </c>
      <c r="G131" s="92" t="str">
        <f>+IFERROR(VLOOKUP(C131,Hoja1!$A$1:$K$82,11,0),"")</f>
        <v/>
      </c>
      <c r="H131" s="94" t="str">
        <f>+IFERROR(VLOOKUP(C131,Hoja1!$A$1:$L$82,12,0),"")</f>
        <v/>
      </c>
      <c r="I131" s="28"/>
      <c r="J131" s="49">
        <v>117</v>
      </c>
      <c r="K131" s="48"/>
      <c r="M131" s="46"/>
      <c r="N131" s="33"/>
      <c r="O131" s="33"/>
      <c r="P131" s="33"/>
      <c r="Q131" s="33"/>
      <c r="R131" s="33"/>
      <c r="S131" s="33"/>
    </row>
    <row r="132" spans="2:19" s="24" customFormat="1" ht="99.75" customHeight="1" x14ac:dyDescent="0.25">
      <c r="B132" s="91">
        <f t="shared" si="5"/>
        <v>118</v>
      </c>
      <c r="C132" s="92" t="str">
        <f>+IFERROR(INDEX(Hoja1!$A$2:$A$82,MATCH(J132,Hoja1!$H$2:$H$82,0)),"")</f>
        <v/>
      </c>
      <c r="D132" s="93" t="str">
        <f>IFERROR(VLOOKUP(C132,Hoja1!$A$2:$H$82,4,0),"")</f>
        <v/>
      </c>
      <c r="E132" s="93" t="str">
        <f>+IFERROR(VLOOKUP(C132,Hoja1!$A$1:$J$82,10,0),"")</f>
        <v/>
      </c>
      <c r="F132" s="93" t="str">
        <f>+IFERROR(VLOOKUP(C132,Hoja1!$A$1:$I$82,3,0),"")</f>
        <v/>
      </c>
      <c r="G132" s="92" t="str">
        <f>+IFERROR(VLOOKUP(C132,Hoja1!$A$1:$K$82,11,0),"")</f>
        <v/>
      </c>
      <c r="H132" s="94" t="str">
        <f>+IFERROR(VLOOKUP(C132,Hoja1!$A$1:$L$82,12,0),"")</f>
        <v/>
      </c>
      <c r="I132" s="28"/>
      <c r="J132" s="49">
        <v>118</v>
      </c>
      <c r="K132" s="48"/>
      <c r="M132" s="46"/>
      <c r="N132" s="33"/>
      <c r="O132" s="33"/>
      <c r="P132" s="33"/>
      <c r="Q132" s="33"/>
      <c r="R132" s="33"/>
      <c r="S132" s="33"/>
    </row>
    <row r="133" spans="2:19" s="24" customFormat="1" ht="99.75" customHeight="1" x14ac:dyDescent="0.25">
      <c r="B133" s="91">
        <f t="shared" si="5"/>
        <v>119</v>
      </c>
      <c r="C133" s="92" t="str">
        <f>+IFERROR(INDEX(Hoja1!$A$2:$A$82,MATCH(J133,Hoja1!$H$2:$H$82,0)),"")</f>
        <v/>
      </c>
      <c r="D133" s="93" t="str">
        <f>IFERROR(VLOOKUP(C133,Hoja1!$A$2:$H$82,4,0),"")</f>
        <v/>
      </c>
      <c r="E133" s="93" t="str">
        <f>+IFERROR(VLOOKUP(C133,Hoja1!$A$1:$J$82,10,0),"")</f>
        <v/>
      </c>
      <c r="F133" s="93" t="str">
        <f>+IFERROR(VLOOKUP(C133,Hoja1!$A$1:$I$82,3,0),"")</f>
        <v/>
      </c>
      <c r="G133" s="92" t="str">
        <f>+IFERROR(VLOOKUP(C133,Hoja1!$A$1:$K$82,11,0),"")</f>
        <v/>
      </c>
      <c r="H133" s="94" t="str">
        <f>+IFERROR(VLOOKUP(C133,Hoja1!$A$1:$L$82,12,0),"")</f>
        <v/>
      </c>
      <c r="I133" s="28"/>
      <c r="J133" s="49">
        <v>119</v>
      </c>
      <c r="K133" s="48"/>
      <c r="M133" s="46"/>
      <c r="N133" s="33"/>
      <c r="O133" s="33"/>
      <c r="P133" s="33"/>
      <c r="Q133" s="33"/>
      <c r="R133" s="33"/>
      <c r="S133" s="33"/>
    </row>
    <row r="134" spans="2:19" s="24" customFormat="1" ht="99.75" customHeight="1" x14ac:dyDescent="0.25">
      <c r="B134" s="91">
        <f t="shared" si="5"/>
        <v>120</v>
      </c>
      <c r="C134" s="92" t="str">
        <f>+IFERROR(INDEX(Hoja1!$A$2:$A$82,MATCH(J134,Hoja1!$H$2:$H$82,0)),"")</f>
        <v/>
      </c>
      <c r="D134" s="93" t="str">
        <f>IFERROR(VLOOKUP(C134,Hoja1!$A$2:$H$82,4,0),"")</f>
        <v/>
      </c>
      <c r="E134" s="93" t="str">
        <f>+IFERROR(VLOOKUP(C134,Hoja1!$A$1:$J$82,10,0),"")</f>
        <v/>
      </c>
      <c r="F134" s="93" t="str">
        <f>+IFERROR(VLOOKUP(C134,Hoja1!$A$1:$I$82,3,0),"")</f>
        <v/>
      </c>
      <c r="G134" s="92" t="str">
        <f>+IFERROR(VLOOKUP(C134,Hoja1!$A$1:$K$82,11,0),"")</f>
        <v/>
      </c>
      <c r="H134" s="94" t="str">
        <f>+IFERROR(VLOOKUP(C134,Hoja1!$A$1:$L$82,12,0),"")</f>
        <v/>
      </c>
      <c r="I134" s="28"/>
      <c r="J134" s="49">
        <v>120</v>
      </c>
      <c r="K134" s="48"/>
      <c r="M134" s="46"/>
      <c r="N134" s="33"/>
      <c r="O134" s="33"/>
      <c r="P134" s="33"/>
      <c r="Q134" s="33"/>
      <c r="R134" s="33"/>
      <c r="S134" s="33"/>
    </row>
    <row r="135" spans="2:19" s="24" customFormat="1" ht="99.75" customHeight="1" x14ac:dyDescent="0.25">
      <c r="B135" s="95">
        <f t="shared" si="5"/>
        <v>121</v>
      </c>
      <c r="C135" s="92" t="str">
        <f>+IFERROR(INDEX(Hoja1!$A$2:$A$82,MATCH(J135,Hoja1!$H$2:$H$82,0)),"")</f>
        <v/>
      </c>
      <c r="D135" s="93" t="str">
        <f>IFERROR(VLOOKUP(C135,Hoja1!$A$2:$H$82,4,0),"")</f>
        <v/>
      </c>
      <c r="E135" s="93" t="str">
        <f>+IFERROR(VLOOKUP(C135,Hoja1!$A$1:$J$82,10,0),"")</f>
        <v/>
      </c>
      <c r="F135" s="93" t="str">
        <f>+IFERROR(VLOOKUP(C135,Hoja1!$A$1:$I$82,3,0),"")</f>
        <v/>
      </c>
      <c r="G135" s="92" t="str">
        <f>+IFERROR(VLOOKUP(C135,Hoja1!$A$1:$K$82,11,0),"")</f>
        <v/>
      </c>
      <c r="H135" s="94" t="str">
        <f>+IFERROR(VLOOKUP(C135,Hoja1!$A$1:$L$82,12,0),"")</f>
        <v/>
      </c>
      <c r="I135" s="28"/>
      <c r="J135" s="49">
        <v>121</v>
      </c>
      <c r="K135" s="48"/>
      <c r="M135" s="46"/>
      <c r="N135" s="33"/>
      <c r="O135" s="33"/>
      <c r="P135" s="33"/>
      <c r="Q135" s="33"/>
      <c r="R135" s="33"/>
      <c r="S135" s="33"/>
    </row>
    <row r="136" spans="2:19" s="24" customFormat="1" ht="99.75" customHeight="1" x14ac:dyDescent="0.25">
      <c r="B136" s="91">
        <f t="shared" si="5"/>
        <v>122</v>
      </c>
      <c r="C136" s="92" t="str">
        <f>+IFERROR(INDEX(Hoja1!$A$2:$A$82,MATCH(J136,Hoja1!$H$2:$H$82,0)),"")</f>
        <v/>
      </c>
      <c r="D136" s="93" t="str">
        <f>IFERROR(VLOOKUP(C136,Hoja1!$A$2:$H$82,4,0),"")</f>
        <v/>
      </c>
      <c r="E136" s="93" t="str">
        <f>+IFERROR(VLOOKUP(C136,Hoja1!$A$1:$J$82,10,0),"")</f>
        <v/>
      </c>
      <c r="F136" s="93" t="str">
        <f>+IFERROR(VLOOKUP(C136,Hoja1!$A$1:$I$82,3,0),"")</f>
        <v/>
      </c>
      <c r="G136" s="92" t="str">
        <f>+IFERROR(VLOOKUP(C136,Hoja1!$A$1:$K$82,11,0),"")</f>
        <v/>
      </c>
      <c r="H136" s="94" t="str">
        <f>+IFERROR(VLOOKUP(C136,Hoja1!$A$1:$L$82,12,0),"")</f>
        <v/>
      </c>
      <c r="I136" s="28"/>
      <c r="J136" s="49">
        <v>122</v>
      </c>
      <c r="K136" s="48"/>
      <c r="M136" s="46"/>
      <c r="N136" s="33"/>
      <c r="O136" s="33"/>
      <c r="P136" s="33"/>
      <c r="Q136" s="33"/>
      <c r="R136" s="33"/>
      <c r="S136" s="33"/>
    </row>
    <row r="137" spans="2:19" s="24" customFormat="1" ht="99.75" customHeight="1" x14ac:dyDescent="0.25">
      <c r="B137" s="91">
        <f t="shared" si="5"/>
        <v>123</v>
      </c>
      <c r="C137" s="92" t="str">
        <f>+IFERROR(INDEX(Hoja1!$A$2:$A$82,MATCH(J137,Hoja1!$H$2:$H$82,0)),"")</f>
        <v/>
      </c>
      <c r="D137" s="93" t="str">
        <f>IFERROR(VLOOKUP(C137,Hoja1!$A$2:$H$82,4,0),"")</f>
        <v/>
      </c>
      <c r="E137" s="93" t="str">
        <f>+IFERROR(VLOOKUP(C137,Hoja1!$A$1:$J$82,10,0),"")</f>
        <v/>
      </c>
      <c r="F137" s="93" t="str">
        <f>+IFERROR(VLOOKUP(C137,Hoja1!$A$1:$I$82,3,0),"")</f>
        <v/>
      </c>
      <c r="G137" s="92" t="str">
        <f>+IFERROR(VLOOKUP(C137,Hoja1!$A$1:$K$82,11,0),"")</f>
        <v/>
      </c>
      <c r="H137" s="94" t="str">
        <f>+IFERROR(VLOOKUP(C137,Hoja1!$A$1:$L$82,12,0),"")</f>
        <v/>
      </c>
      <c r="I137" s="28"/>
      <c r="J137" s="49">
        <v>123</v>
      </c>
      <c r="K137" s="48"/>
      <c r="M137" s="46"/>
      <c r="N137" s="33"/>
      <c r="O137" s="33"/>
      <c r="P137" s="33"/>
      <c r="Q137" s="33"/>
      <c r="R137" s="33"/>
      <c r="S137" s="33"/>
    </row>
    <row r="138" spans="2:19" s="24" customFormat="1" ht="99.75" customHeight="1" x14ac:dyDescent="0.25">
      <c r="B138" s="91">
        <f t="shared" si="5"/>
        <v>124</v>
      </c>
      <c r="C138" s="92" t="str">
        <f>+IFERROR(INDEX(Hoja1!$A$2:$A$82,MATCH(J138,Hoja1!$H$2:$H$82,0)),"")</f>
        <v/>
      </c>
      <c r="D138" s="93" t="str">
        <f>IFERROR(VLOOKUP(C138,Hoja1!$A$2:$H$82,4,0),"")</f>
        <v/>
      </c>
      <c r="E138" s="93" t="str">
        <f>+IFERROR(VLOOKUP(C138,Hoja1!$A$1:$J$82,10,0),"")</f>
        <v/>
      </c>
      <c r="F138" s="93" t="str">
        <f>+IFERROR(VLOOKUP(C138,Hoja1!$A$1:$I$82,3,0),"")</f>
        <v/>
      </c>
      <c r="G138" s="92" t="str">
        <f>+IFERROR(VLOOKUP(C138,Hoja1!$A$1:$K$82,11,0),"")</f>
        <v/>
      </c>
      <c r="H138" s="94" t="str">
        <f>+IFERROR(VLOOKUP(C138,Hoja1!$A$1:$L$82,12,0),"")</f>
        <v/>
      </c>
      <c r="I138" s="28"/>
      <c r="J138" s="49">
        <v>124</v>
      </c>
      <c r="K138" s="48"/>
      <c r="M138" s="46"/>
      <c r="N138" s="33"/>
      <c r="O138" s="33"/>
      <c r="P138" s="33"/>
      <c r="Q138" s="33"/>
      <c r="R138" s="33"/>
      <c r="S138" s="33"/>
    </row>
    <row r="139" spans="2:19" s="24" customFormat="1" ht="99.75" customHeight="1" x14ac:dyDescent="0.25">
      <c r="B139" s="91">
        <f t="shared" si="5"/>
        <v>125</v>
      </c>
      <c r="C139" s="92" t="str">
        <f>+IFERROR(INDEX(Hoja1!$A$2:$A$82,MATCH(J139,Hoja1!$H$2:$H$82,0)),"")</f>
        <v/>
      </c>
      <c r="D139" s="93" t="str">
        <f>IFERROR(VLOOKUP(C139,Hoja1!$A$2:$H$82,4,0),"")</f>
        <v/>
      </c>
      <c r="E139" s="93" t="str">
        <f>+IFERROR(VLOOKUP(C139,Hoja1!$A$1:$J$82,10,0),"")</f>
        <v/>
      </c>
      <c r="F139" s="93" t="str">
        <f>+IFERROR(VLOOKUP(C139,Hoja1!$A$1:$I$82,3,0),"")</f>
        <v/>
      </c>
      <c r="G139" s="92" t="str">
        <f>+IFERROR(VLOOKUP(C139,Hoja1!$A$1:$K$82,11,0),"")</f>
        <v/>
      </c>
      <c r="H139" s="94" t="str">
        <f>+IFERROR(VLOOKUP(C139,Hoja1!$A$1:$L$82,12,0),"")</f>
        <v/>
      </c>
      <c r="I139" s="28"/>
      <c r="J139" s="49">
        <v>125</v>
      </c>
      <c r="K139" s="48"/>
      <c r="M139" s="46"/>
      <c r="N139" s="33"/>
      <c r="O139" s="33"/>
      <c r="P139" s="33"/>
      <c r="Q139" s="33"/>
      <c r="R139" s="33"/>
      <c r="S139" s="33"/>
    </row>
    <row r="140" spans="2:19" s="24" customFormat="1" ht="99.75" customHeight="1" x14ac:dyDescent="0.25">
      <c r="B140" s="95">
        <f t="shared" si="5"/>
        <v>126</v>
      </c>
      <c r="C140" s="92" t="str">
        <f>+IFERROR(INDEX(Hoja1!$A$2:$A$82,MATCH(J140,Hoja1!$H$2:$H$82,0)),"")</f>
        <v/>
      </c>
      <c r="D140" s="93" t="str">
        <f>IFERROR(VLOOKUP(C140,Hoja1!$A$2:$H$82,4,0),"")</f>
        <v/>
      </c>
      <c r="E140" s="93" t="str">
        <f>+IFERROR(VLOOKUP(C140,Hoja1!$A$1:$J$82,10,0),"")</f>
        <v/>
      </c>
      <c r="F140" s="93" t="str">
        <f>+IFERROR(VLOOKUP(C140,Hoja1!$A$1:$I$82,3,0),"")</f>
        <v/>
      </c>
      <c r="G140" s="92" t="str">
        <f>+IFERROR(VLOOKUP(C140,Hoja1!$A$1:$K$82,11,0),"")</f>
        <v/>
      </c>
      <c r="H140" s="94" t="str">
        <f>+IFERROR(VLOOKUP(C140,Hoja1!$A$1:$L$82,12,0),"")</f>
        <v/>
      </c>
      <c r="I140" s="28"/>
      <c r="J140" s="49">
        <v>126</v>
      </c>
      <c r="K140" s="48"/>
      <c r="M140" s="46"/>
      <c r="N140" s="33"/>
      <c r="O140" s="33"/>
      <c r="P140" s="33"/>
      <c r="Q140" s="33"/>
      <c r="R140" s="33"/>
      <c r="S140" s="33"/>
    </row>
    <row r="141" spans="2:19" s="24" customFormat="1" ht="99.75" customHeight="1" x14ac:dyDescent="0.25">
      <c r="B141" s="91">
        <f t="shared" si="5"/>
        <v>127</v>
      </c>
      <c r="C141" s="92" t="str">
        <f>+IFERROR(INDEX(Hoja1!$A$2:$A$82,MATCH(J141,Hoja1!$H$2:$H$82,0)),"")</f>
        <v/>
      </c>
      <c r="D141" s="93" t="str">
        <f>IFERROR(VLOOKUP(C141,Hoja1!$A$2:$H$82,4,0),"")</f>
        <v/>
      </c>
      <c r="E141" s="93" t="str">
        <f>+IFERROR(VLOOKUP(C141,Hoja1!$A$1:$J$82,10,0),"")</f>
        <v/>
      </c>
      <c r="F141" s="93" t="str">
        <f>+IFERROR(VLOOKUP(C141,Hoja1!$A$1:$I$82,3,0),"")</f>
        <v/>
      </c>
      <c r="G141" s="92" t="str">
        <f>+IFERROR(VLOOKUP(C141,Hoja1!$A$1:$K$82,11,0),"")</f>
        <v/>
      </c>
      <c r="H141" s="94" t="str">
        <f>+IFERROR(VLOOKUP(C141,Hoja1!$A$1:$L$82,12,0),"")</f>
        <v/>
      </c>
      <c r="I141" s="28"/>
      <c r="J141" s="49">
        <v>127</v>
      </c>
      <c r="K141" s="48"/>
      <c r="M141" s="46"/>
      <c r="N141" s="33"/>
      <c r="O141" s="33"/>
      <c r="P141" s="33"/>
      <c r="Q141" s="33"/>
      <c r="R141" s="33"/>
      <c r="S141" s="33"/>
    </row>
    <row r="142" spans="2:19" s="24" customFormat="1" ht="99.75" customHeight="1" x14ac:dyDescent="0.25">
      <c r="B142" s="91">
        <f t="shared" si="5"/>
        <v>128</v>
      </c>
      <c r="C142" s="92" t="str">
        <f>+IFERROR(INDEX(Hoja1!$A$2:$A$82,MATCH(J142,Hoja1!$H$2:$H$82,0)),"")</f>
        <v/>
      </c>
      <c r="D142" s="93" t="str">
        <f>IFERROR(VLOOKUP(C142,Hoja1!$A$2:$H$82,4,0),"")</f>
        <v/>
      </c>
      <c r="E142" s="93" t="str">
        <f>+IFERROR(VLOOKUP(C142,Hoja1!$A$1:$J$82,10,0),"")</f>
        <v/>
      </c>
      <c r="F142" s="93" t="str">
        <f>+IFERROR(VLOOKUP(C142,Hoja1!$A$1:$I$82,3,0),"")</f>
        <v/>
      </c>
      <c r="G142" s="92" t="str">
        <f>+IFERROR(VLOOKUP(C142,Hoja1!$A$1:$K$82,11,0),"")</f>
        <v/>
      </c>
      <c r="H142" s="94" t="str">
        <f>+IFERROR(VLOOKUP(C142,Hoja1!$A$1:$L$82,12,0),"")</f>
        <v/>
      </c>
      <c r="I142" s="28"/>
      <c r="J142" s="49">
        <v>128</v>
      </c>
      <c r="K142" s="48"/>
      <c r="M142" s="46"/>
      <c r="N142" s="33"/>
      <c r="O142" s="33"/>
      <c r="P142" s="33"/>
      <c r="Q142" s="33"/>
      <c r="R142" s="33"/>
      <c r="S142" s="33"/>
    </row>
    <row r="143" spans="2:19" s="24" customFormat="1" ht="99.75" customHeight="1" x14ac:dyDescent="0.25">
      <c r="B143" s="91">
        <f t="shared" si="5"/>
        <v>129</v>
      </c>
      <c r="C143" s="92" t="str">
        <f>+IFERROR(INDEX(Hoja1!$A$2:$A$82,MATCH(J143,Hoja1!$H$2:$H$82,0)),"")</f>
        <v/>
      </c>
      <c r="D143" s="93" t="str">
        <f>IFERROR(VLOOKUP(C143,Hoja1!$A$2:$H$82,4,0),"")</f>
        <v/>
      </c>
      <c r="E143" s="93" t="str">
        <f>+IFERROR(VLOOKUP(C143,Hoja1!$A$1:$J$82,10,0),"")</f>
        <v/>
      </c>
      <c r="F143" s="93" t="str">
        <f>+IFERROR(VLOOKUP(C143,Hoja1!$A$1:$I$82,3,0),"")</f>
        <v/>
      </c>
      <c r="G143" s="92" t="str">
        <f>+IFERROR(VLOOKUP(C143,Hoja1!$A$1:$K$82,11,0),"")</f>
        <v/>
      </c>
      <c r="H143" s="94" t="str">
        <f>+IFERROR(VLOOKUP(C143,Hoja1!$A$1:$L$82,12,0),"")</f>
        <v/>
      </c>
      <c r="I143" s="28"/>
      <c r="J143" s="49">
        <v>129</v>
      </c>
      <c r="K143" s="48"/>
      <c r="M143" s="46"/>
      <c r="N143" s="33"/>
      <c r="O143" s="33"/>
      <c r="P143" s="33"/>
      <c r="Q143" s="33"/>
      <c r="R143" s="33"/>
      <c r="S143" s="33"/>
    </row>
    <row r="144" spans="2:19" s="24" customFormat="1" ht="99.75" customHeight="1" x14ac:dyDescent="0.25">
      <c r="B144" s="91">
        <f t="shared" ref="B144:B164" si="6">+IF(ISTEXT(D144),J144,"")</f>
        <v>130</v>
      </c>
      <c r="C144" s="92" t="str">
        <f>+IFERROR(INDEX(Hoja1!$A$2:$A$82,MATCH(J144,Hoja1!$H$2:$H$82,0)),"")</f>
        <v/>
      </c>
      <c r="D144" s="93" t="str">
        <f>IFERROR(VLOOKUP(C144,Hoja1!$A$2:$H$82,4,0),"")</f>
        <v/>
      </c>
      <c r="E144" s="93" t="str">
        <f>+IFERROR(VLOOKUP(C144,Hoja1!$A$1:$J$82,10,0),"")</f>
        <v/>
      </c>
      <c r="F144" s="93" t="str">
        <f>+IFERROR(VLOOKUP(C144,Hoja1!$A$1:$I$82,3,0),"")</f>
        <v/>
      </c>
      <c r="G144" s="92" t="str">
        <f>+IFERROR(VLOOKUP(C144,Hoja1!$A$1:$K$82,11,0),"")</f>
        <v/>
      </c>
      <c r="H144" s="94" t="str">
        <f>+IFERROR(VLOOKUP(C144,Hoja1!$A$1:$L$82,12,0),"")</f>
        <v/>
      </c>
      <c r="I144" s="28"/>
      <c r="J144" s="49">
        <v>130</v>
      </c>
      <c r="K144" s="48"/>
      <c r="M144" s="46"/>
      <c r="N144" s="33"/>
      <c r="O144" s="33"/>
      <c r="P144" s="33"/>
      <c r="Q144" s="33"/>
      <c r="R144" s="33"/>
      <c r="S144" s="33"/>
    </row>
    <row r="145" spans="2:19" s="24" customFormat="1" ht="99.75" customHeight="1" x14ac:dyDescent="0.25">
      <c r="B145" s="95">
        <f t="shared" si="6"/>
        <v>131</v>
      </c>
      <c r="C145" s="92" t="str">
        <f>+IFERROR(INDEX(Hoja1!$A$2:$A$82,MATCH(J145,Hoja1!$H$2:$H$82,0)),"")</f>
        <v/>
      </c>
      <c r="D145" s="93" t="str">
        <f>IFERROR(VLOOKUP(C145,Hoja1!$A$2:$H$82,4,0),"")</f>
        <v/>
      </c>
      <c r="E145" s="93" t="str">
        <f>+IFERROR(VLOOKUP(C145,Hoja1!$A$1:$J$82,10,0),"")</f>
        <v/>
      </c>
      <c r="F145" s="93" t="str">
        <f>+IFERROR(VLOOKUP(C145,Hoja1!$A$1:$I$82,3,0),"")</f>
        <v/>
      </c>
      <c r="G145" s="92" t="str">
        <f>+IFERROR(VLOOKUP(C145,Hoja1!$A$1:$K$82,11,0),"")</f>
        <v/>
      </c>
      <c r="H145" s="94" t="str">
        <f>+IFERROR(VLOOKUP(C145,Hoja1!$A$1:$L$82,12,0),"")</f>
        <v/>
      </c>
      <c r="I145" s="28"/>
      <c r="J145" s="49">
        <v>131</v>
      </c>
      <c r="K145" s="48"/>
      <c r="M145" s="46"/>
      <c r="N145" s="33"/>
      <c r="O145" s="33"/>
      <c r="P145" s="33"/>
      <c r="Q145" s="33"/>
      <c r="R145" s="33"/>
      <c r="S145" s="33"/>
    </row>
    <row r="146" spans="2:19" s="24" customFormat="1" ht="99.75" customHeight="1" x14ac:dyDescent="0.25">
      <c r="B146" s="91">
        <f t="shared" si="6"/>
        <v>132</v>
      </c>
      <c r="C146" s="92" t="str">
        <f>+IFERROR(INDEX(Hoja1!$A$2:$A$82,MATCH(J146,Hoja1!$H$2:$H$82,0)),"")</f>
        <v/>
      </c>
      <c r="D146" s="93" t="str">
        <f>IFERROR(VLOOKUP(C146,Hoja1!$A$2:$H$82,4,0),"")</f>
        <v/>
      </c>
      <c r="E146" s="93" t="str">
        <f>+IFERROR(VLOOKUP(C146,Hoja1!$A$1:$J$82,10,0),"")</f>
        <v/>
      </c>
      <c r="F146" s="93" t="str">
        <f>+IFERROR(VLOOKUP(C146,Hoja1!$A$1:$I$82,3,0),"")</f>
        <v/>
      </c>
      <c r="G146" s="92" t="str">
        <f>+IFERROR(VLOOKUP(C146,Hoja1!$A$1:$K$82,11,0),"")</f>
        <v/>
      </c>
      <c r="H146" s="94" t="str">
        <f>+IFERROR(VLOOKUP(C146,Hoja1!$A$1:$L$82,12,0),"")</f>
        <v/>
      </c>
      <c r="I146" s="28"/>
      <c r="J146" s="49">
        <v>132</v>
      </c>
      <c r="K146" s="48"/>
      <c r="M146" s="46"/>
      <c r="N146" s="33"/>
      <c r="O146" s="33"/>
      <c r="P146" s="33"/>
      <c r="Q146" s="33"/>
      <c r="R146" s="33"/>
      <c r="S146" s="33"/>
    </row>
    <row r="147" spans="2:19" s="24" customFormat="1" ht="99.75" customHeight="1" x14ac:dyDescent="0.25">
      <c r="B147" s="91">
        <f t="shared" si="6"/>
        <v>133</v>
      </c>
      <c r="C147" s="92" t="str">
        <f>+IFERROR(INDEX(Hoja1!$A$2:$A$82,MATCH(J147,Hoja1!$H$2:$H$82,0)),"")</f>
        <v/>
      </c>
      <c r="D147" s="93" t="str">
        <f>IFERROR(VLOOKUP(C147,Hoja1!$A$2:$H$82,4,0),"")</f>
        <v/>
      </c>
      <c r="E147" s="93" t="str">
        <f>+IFERROR(VLOOKUP(C147,Hoja1!$A$1:$J$82,10,0),"")</f>
        <v/>
      </c>
      <c r="F147" s="93" t="str">
        <f>+IFERROR(VLOOKUP(C147,Hoja1!$A$1:$I$82,3,0),"")</f>
        <v/>
      </c>
      <c r="G147" s="92" t="str">
        <f>+IFERROR(VLOOKUP(C147,Hoja1!$A$1:$K$82,11,0),"")</f>
        <v/>
      </c>
      <c r="H147" s="94" t="str">
        <f>+IFERROR(VLOOKUP(C147,Hoja1!$A$1:$L$82,12,0),"")</f>
        <v/>
      </c>
      <c r="I147" s="28"/>
      <c r="J147" s="49">
        <v>133</v>
      </c>
      <c r="K147" s="48"/>
      <c r="M147" s="46"/>
      <c r="N147" s="33"/>
      <c r="O147" s="33"/>
      <c r="P147" s="33"/>
      <c r="Q147" s="33"/>
      <c r="R147" s="33"/>
      <c r="S147" s="33"/>
    </row>
    <row r="148" spans="2:19" s="24" customFormat="1" ht="99.75" customHeight="1" x14ac:dyDescent="0.25">
      <c r="B148" s="91">
        <f t="shared" si="6"/>
        <v>134</v>
      </c>
      <c r="C148" s="92" t="str">
        <f>+IFERROR(INDEX(Hoja1!$A$2:$A$82,MATCH(J148,Hoja1!$H$2:$H$82,0)),"")</f>
        <v/>
      </c>
      <c r="D148" s="93" t="str">
        <f>IFERROR(VLOOKUP(C148,Hoja1!$A$2:$H$82,4,0),"")</f>
        <v/>
      </c>
      <c r="E148" s="93" t="str">
        <f>+IFERROR(VLOOKUP(C148,Hoja1!$A$1:$J$82,10,0),"")</f>
        <v/>
      </c>
      <c r="F148" s="93" t="str">
        <f>+IFERROR(VLOOKUP(C148,Hoja1!$A$1:$I$82,3,0),"")</f>
        <v/>
      </c>
      <c r="G148" s="92" t="str">
        <f>+IFERROR(VLOOKUP(C148,Hoja1!$A$1:$K$82,11,0),"")</f>
        <v/>
      </c>
      <c r="H148" s="94" t="str">
        <f>+IFERROR(VLOOKUP(C148,Hoja1!$A$1:$L$82,12,0),"")</f>
        <v/>
      </c>
      <c r="I148" s="28"/>
      <c r="J148" s="49">
        <v>134</v>
      </c>
      <c r="K148" s="48"/>
      <c r="M148" s="46"/>
      <c r="N148" s="33"/>
      <c r="O148" s="33"/>
      <c r="P148" s="33"/>
      <c r="Q148" s="33"/>
      <c r="R148" s="33"/>
      <c r="S148" s="33"/>
    </row>
    <row r="149" spans="2:19" s="24" customFormat="1" ht="99.75" customHeight="1" x14ac:dyDescent="0.25">
      <c r="B149" s="91">
        <f t="shared" si="6"/>
        <v>135</v>
      </c>
      <c r="C149" s="92" t="str">
        <f>+IFERROR(INDEX(Hoja1!$A$2:$A$82,MATCH(J149,Hoja1!$H$2:$H$82,0)),"")</f>
        <v/>
      </c>
      <c r="D149" s="93" t="str">
        <f>IFERROR(VLOOKUP(C149,Hoja1!$A$2:$H$82,4,0),"")</f>
        <v/>
      </c>
      <c r="E149" s="93" t="str">
        <f>+IFERROR(VLOOKUP(C149,Hoja1!$A$1:$J$82,10,0),"")</f>
        <v/>
      </c>
      <c r="F149" s="93" t="str">
        <f>+IFERROR(VLOOKUP(C149,Hoja1!$A$1:$I$82,3,0),"")</f>
        <v/>
      </c>
      <c r="G149" s="92" t="str">
        <f>+IFERROR(VLOOKUP(C149,Hoja1!$A$1:$K$82,11,0),"")</f>
        <v/>
      </c>
      <c r="H149" s="94" t="str">
        <f>+IFERROR(VLOOKUP(C149,Hoja1!$A$1:$L$82,12,0),"")</f>
        <v/>
      </c>
      <c r="I149" s="28"/>
      <c r="J149" s="49">
        <v>135</v>
      </c>
      <c r="K149" s="48"/>
      <c r="M149" s="46"/>
      <c r="N149" s="33"/>
      <c r="O149" s="33"/>
      <c r="P149" s="33"/>
      <c r="Q149" s="33"/>
      <c r="R149" s="33"/>
      <c r="S149" s="33"/>
    </row>
    <row r="150" spans="2:19" s="24" customFormat="1" ht="99.75" customHeight="1" x14ac:dyDescent="0.25">
      <c r="B150" s="95">
        <f t="shared" si="6"/>
        <v>136</v>
      </c>
      <c r="C150" s="92" t="str">
        <f>+IFERROR(INDEX(Hoja1!$A$2:$A$82,MATCH(J150,Hoja1!$H$2:$H$82,0)),"")</f>
        <v/>
      </c>
      <c r="D150" s="93" t="str">
        <f>IFERROR(VLOOKUP(C150,Hoja1!$A$2:$H$82,4,0),"")</f>
        <v/>
      </c>
      <c r="E150" s="93" t="str">
        <f>+IFERROR(VLOOKUP(C150,Hoja1!$A$1:$J$82,10,0),"")</f>
        <v/>
      </c>
      <c r="F150" s="93" t="str">
        <f>+IFERROR(VLOOKUP(C150,Hoja1!$A$1:$I$82,3,0),"")</f>
        <v/>
      </c>
      <c r="G150" s="92" t="str">
        <f>+IFERROR(VLOOKUP(C150,Hoja1!$A$1:$K$82,11,0),"")</f>
        <v/>
      </c>
      <c r="H150" s="94" t="str">
        <f>+IFERROR(VLOOKUP(C150,Hoja1!$A$1:$L$82,12,0),"")</f>
        <v/>
      </c>
      <c r="I150" s="28"/>
      <c r="J150" s="49">
        <v>136</v>
      </c>
      <c r="K150" s="48"/>
      <c r="M150" s="46"/>
      <c r="N150" s="33"/>
      <c r="O150" s="33"/>
      <c r="P150" s="33"/>
      <c r="Q150" s="33"/>
      <c r="R150" s="33"/>
      <c r="S150" s="33"/>
    </row>
    <row r="151" spans="2:19" s="24" customFormat="1" ht="99.75" customHeight="1" x14ac:dyDescent="0.25">
      <c r="B151" s="91">
        <f t="shared" si="6"/>
        <v>137</v>
      </c>
      <c r="C151" s="92" t="str">
        <f>+IFERROR(INDEX(Hoja1!$A$2:$A$82,MATCH(J151,Hoja1!$H$2:$H$82,0)),"")</f>
        <v/>
      </c>
      <c r="D151" s="93" t="str">
        <f>IFERROR(VLOOKUP(C151,Hoja1!$A$2:$H$82,4,0),"")</f>
        <v/>
      </c>
      <c r="E151" s="93" t="str">
        <f>+IFERROR(VLOOKUP(C151,Hoja1!$A$1:$J$82,10,0),"")</f>
        <v/>
      </c>
      <c r="F151" s="93" t="str">
        <f>+IFERROR(VLOOKUP(C151,Hoja1!$A$1:$I$82,3,0),"")</f>
        <v/>
      </c>
      <c r="G151" s="92" t="str">
        <f>+IFERROR(VLOOKUP(C151,Hoja1!$A$1:$K$82,11,0),"")</f>
        <v/>
      </c>
      <c r="H151" s="94" t="str">
        <f>+IFERROR(VLOOKUP(C151,Hoja1!$A$1:$L$82,12,0),"")</f>
        <v/>
      </c>
      <c r="I151" s="28"/>
      <c r="J151" s="49">
        <v>137</v>
      </c>
      <c r="K151" s="48"/>
      <c r="M151" s="46"/>
      <c r="N151" s="33"/>
      <c r="O151" s="33"/>
      <c r="P151" s="33"/>
      <c r="Q151" s="33"/>
      <c r="R151" s="33"/>
      <c r="S151" s="33"/>
    </row>
    <row r="152" spans="2:19" s="24" customFormat="1" ht="99.75" customHeight="1" x14ac:dyDescent="0.25">
      <c r="B152" s="91">
        <f t="shared" si="6"/>
        <v>138</v>
      </c>
      <c r="C152" s="92" t="str">
        <f>+IFERROR(INDEX(Hoja1!$A$2:$A$82,MATCH(J152,Hoja1!$H$2:$H$82,0)),"")</f>
        <v/>
      </c>
      <c r="D152" s="93" t="str">
        <f>IFERROR(VLOOKUP(C152,Hoja1!$A$2:$H$82,4,0),"")</f>
        <v/>
      </c>
      <c r="E152" s="93" t="str">
        <f>+IFERROR(VLOOKUP(C152,Hoja1!$A$1:$J$82,10,0),"")</f>
        <v/>
      </c>
      <c r="F152" s="93" t="str">
        <f>+IFERROR(VLOOKUP(C152,Hoja1!$A$1:$I$82,3,0),"")</f>
        <v/>
      </c>
      <c r="G152" s="92" t="str">
        <f>+IFERROR(VLOOKUP(C152,Hoja1!$A$1:$K$82,11,0),"")</f>
        <v/>
      </c>
      <c r="H152" s="94" t="str">
        <f>+IFERROR(VLOOKUP(C152,Hoja1!$A$1:$L$82,12,0),"")</f>
        <v/>
      </c>
      <c r="I152" s="28"/>
      <c r="J152" s="49">
        <v>138</v>
      </c>
      <c r="K152" s="48"/>
      <c r="M152" s="46"/>
      <c r="N152" s="33"/>
      <c r="O152" s="33"/>
      <c r="P152" s="33"/>
      <c r="Q152" s="33"/>
      <c r="R152" s="33"/>
      <c r="S152" s="33"/>
    </row>
    <row r="153" spans="2:19" s="24" customFormat="1" ht="99.75" customHeight="1" x14ac:dyDescent="0.25">
      <c r="B153" s="91">
        <f t="shared" si="6"/>
        <v>139</v>
      </c>
      <c r="C153" s="92" t="str">
        <f>+IFERROR(INDEX(Hoja1!$A$2:$A$82,MATCH(J153,Hoja1!$H$2:$H$82,0)),"")</f>
        <v/>
      </c>
      <c r="D153" s="93" t="str">
        <f>IFERROR(VLOOKUP(C153,Hoja1!$A$2:$H$82,4,0),"")</f>
        <v/>
      </c>
      <c r="E153" s="93" t="str">
        <f>+IFERROR(VLOOKUP(C153,Hoja1!$A$1:$J$82,10,0),"")</f>
        <v/>
      </c>
      <c r="F153" s="93" t="str">
        <f>+IFERROR(VLOOKUP(C153,Hoja1!$A$1:$I$82,3,0),"")</f>
        <v/>
      </c>
      <c r="G153" s="92" t="str">
        <f>+IFERROR(VLOOKUP(C153,Hoja1!$A$1:$K$82,11,0),"")</f>
        <v/>
      </c>
      <c r="H153" s="94" t="str">
        <f>+IFERROR(VLOOKUP(C153,Hoja1!$A$1:$L$82,12,0),"")</f>
        <v/>
      </c>
      <c r="I153" s="28"/>
      <c r="J153" s="49">
        <v>139</v>
      </c>
      <c r="K153" s="48"/>
      <c r="M153" s="46"/>
      <c r="N153" s="33"/>
      <c r="O153" s="33"/>
      <c r="P153" s="33"/>
      <c r="Q153" s="33"/>
      <c r="R153" s="33"/>
      <c r="S153" s="33"/>
    </row>
    <row r="154" spans="2:19" s="24" customFormat="1" ht="99.75" customHeight="1" x14ac:dyDescent="0.25">
      <c r="B154" s="91">
        <f t="shared" si="6"/>
        <v>140</v>
      </c>
      <c r="C154" s="92" t="str">
        <f>+IFERROR(INDEX(Hoja1!$A$2:$A$82,MATCH(J154,Hoja1!$H$2:$H$82,0)),"")</f>
        <v/>
      </c>
      <c r="D154" s="93" t="str">
        <f>IFERROR(VLOOKUP(C154,Hoja1!$A$2:$H$82,4,0),"")</f>
        <v/>
      </c>
      <c r="E154" s="93" t="str">
        <f>+IFERROR(VLOOKUP(C154,Hoja1!$A$1:$J$82,10,0),"")</f>
        <v/>
      </c>
      <c r="F154" s="93" t="str">
        <f>+IFERROR(VLOOKUP(C154,Hoja1!$A$1:$I$82,3,0),"")</f>
        <v/>
      </c>
      <c r="G154" s="92" t="str">
        <f>+IFERROR(VLOOKUP(C154,Hoja1!$A$1:$K$82,11,0),"")</f>
        <v/>
      </c>
      <c r="H154" s="94" t="str">
        <f>+IFERROR(VLOOKUP(C154,Hoja1!$A$1:$L$82,12,0),"")</f>
        <v/>
      </c>
      <c r="I154" s="28"/>
      <c r="J154" s="49">
        <v>140</v>
      </c>
      <c r="K154" s="48"/>
      <c r="M154" s="46"/>
      <c r="N154" s="33"/>
      <c r="O154" s="33"/>
      <c r="P154" s="33"/>
      <c r="Q154" s="33"/>
      <c r="R154" s="33"/>
      <c r="S154" s="33"/>
    </row>
    <row r="155" spans="2:19" s="24" customFormat="1" ht="99.75" customHeight="1" x14ac:dyDescent="0.25">
      <c r="B155" s="95">
        <f t="shared" si="6"/>
        <v>141</v>
      </c>
      <c r="C155" s="92" t="str">
        <f>+IFERROR(INDEX(Hoja1!$A$2:$A$82,MATCH(J155,Hoja1!$H$2:$H$82,0)),"")</f>
        <v/>
      </c>
      <c r="D155" s="93" t="str">
        <f>IFERROR(VLOOKUP(C155,Hoja1!$A$2:$H$82,4,0),"")</f>
        <v/>
      </c>
      <c r="E155" s="93" t="str">
        <f>+IFERROR(VLOOKUP(C155,Hoja1!$A$1:$J$82,10,0),"")</f>
        <v/>
      </c>
      <c r="F155" s="93" t="str">
        <f>+IFERROR(VLOOKUP(C155,Hoja1!$A$1:$I$82,3,0),"")</f>
        <v/>
      </c>
      <c r="G155" s="92" t="str">
        <f>+IFERROR(VLOOKUP(C155,Hoja1!$A$1:$K$82,11,0),"")</f>
        <v/>
      </c>
      <c r="H155" s="94" t="str">
        <f>+IFERROR(VLOOKUP(C155,Hoja1!$A$1:$L$82,12,0),"")</f>
        <v/>
      </c>
      <c r="I155" s="28"/>
      <c r="J155" s="49">
        <v>141</v>
      </c>
      <c r="K155" s="48"/>
      <c r="M155" s="46"/>
      <c r="N155" s="33"/>
      <c r="O155" s="33"/>
      <c r="P155" s="33"/>
      <c r="Q155" s="33"/>
      <c r="R155" s="33"/>
      <c r="S155" s="33"/>
    </row>
    <row r="156" spans="2:19" s="24" customFormat="1" ht="99.75" customHeight="1" x14ac:dyDescent="0.25">
      <c r="B156" s="91">
        <f t="shared" si="6"/>
        <v>142</v>
      </c>
      <c r="C156" s="92" t="str">
        <f>+IFERROR(INDEX(Hoja1!$A$2:$A$82,MATCH(J156,Hoja1!$H$2:$H$82,0)),"")</f>
        <v/>
      </c>
      <c r="D156" s="93" t="str">
        <f>IFERROR(VLOOKUP(C156,Hoja1!$A$2:$H$82,4,0),"")</f>
        <v/>
      </c>
      <c r="E156" s="93" t="str">
        <f>+IFERROR(VLOOKUP(C156,Hoja1!$A$1:$J$82,10,0),"")</f>
        <v/>
      </c>
      <c r="F156" s="93" t="str">
        <f>+IFERROR(VLOOKUP(C156,Hoja1!$A$1:$I$82,3,0),"")</f>
        <v/>
      </c>
      <c r="G156" s="92" t="str">
        <f>+IFERROR(VLOOKUP(C156,Hoja1!$A$1:$K$82,11,0),"")</f>
        <v/>
      </c>
      <c r="H156" s="94" t="str">
        <f>+IFERROR(VLOOKUP(C156,Hoja1!$A$1:$L$82,12,0),"")</f>
        <v/>
      </c>
      <c r="I156" s="28"/>
      <c r="J156" s="49">
        <v>142</v>
      </c>
      <c r="K156" s="48"/>
      <c r="M156" s="46"/>
      <c r="N156" s="33"/>
      <c r="O156" s="33"/>
      <c r="P156" s="33"/>
      <c r="Q156" s="33"/>
      <c r="R156" s="33"/>
      <c r="S156" s="33"/>
    </row>
    <row r="157" spans="2:19" s="24" customFormat="1" ht="99.75" customHeight="1" x14ac:dyDescent="0.25">
      <c r="B157" s="91">
        <f t="shared" si="6"/>
        <v>143</v>
      </c>
      <c r="C157" s="92" t="str">
        <f>+IFERROR(INDEX(Hoja1!$A$2:$A$82,MATCH(J157,Hoja1!$H$2:$H$82,0)),"")</f>
        <v/>
      </c>
      <c r="D157" s="93" t="str">
        <f>IFERROR(VLOOKUP(C157,Hoja1!$A$2:$H$82,4,0),"")</f>
        <v/>
      </c>
      <c r="E157" s="93" t="str">
        <f>+IFERROR(VLOOKUP(C157,Hoja1!$A$1:$J$82,10,0),"")</f>
        <v/>
      </c>
      <c r="F157" s="93" t="str">
        <f>+IFERROR(VLOOKUP(C157,Hoja1!$A$1:$I$82,3,0),"")</f>
        <v/>
      </c>
      <c r="G157" s="92" t="str">
        <f>+IFERROR(VLOOKUP(C157,Hoja1!$A$1:$K$82,11,0),"")</f>
        <v/>
      </c>
      <c r="H157" s="94" t="str">
        <f>+IFERROR(VLOOKUP(C157,Hoja1!$A$1:$L$82,12,0),"")</f>
        <v/>
      </c>
      <c r="I157" s="28"/>
      <c r="J157" s="49">
        <v>143</v>
      </c>
      <c r="K157" s="48"/>
      <c r="M157" s="46"/>
      <c r="N157" s="33"/>
      <c r="O157" s="33"/>
      <c r="P157" s="33"/>
      <c r="Q157" s="33"/>
      <c r="R157" s="33"/>
      <c r="S157" s="33"/>
    </row>
    <row r="158" spans="2:19" s="24" customFormat="1" ht="99.75" customHeight="1" x14ac:dyDescent="0.25">
      <c r="B158" s="91">
        <f t="shared" si="6"/>
        <v>144</v>
      </c>
      <c r="C158" s="92" t="str">
        <f>+IFERROR(INDEX(Hoja1!$A$2:$A$82,MATCH(J158,Hoja1!$H$2:$H$82,0)),"")</f>
        <v/>
      </c>
      <c r="D158" s="93" t="str">
        <f>IFERROR(VLOOKUP(C158,Hoja1!$A$2:$H$82,4,0),"")</f>
        <v/>
      </c>
      <c r="E158" s="93" t="str">
        <f>+IFERROR(VLOOKUP(C158,Hoja1!$A$1:$J$82,10,0),"")</f>
        <v/>
      </c>
      <c r="F158" s="93" t="str">
        <f>+IFERROR(VLOOKUP(C158,Hoja1!$A$1:$I$82,3,0),"")</f>
        <v/>
      </c>
      <c r="G158" s="92" t="str">
        <f>+IFERROR(VLOOKUP(C158,Hoja1!$A$1:$K$82,11,0),"")</f>
        <v/>
      </c>
      <c r="H158" s="94" t="str">
        <f>+IFERROR(VLOOKUP(C158,Hoja1!$A$1:$L$82,12,0),"")</f>
        <v/>
      </c>
      <c r="I158" s="28"/>
      <c r="J158" s="49">
        <v>144</v>
      </c>
      <c r="K158" s="48"/>
      <c r="M158" s="46"/>
      <c r="N158" s="33"/>
      <c r="O158" s="33"/>
      <c r="P158" s="33"/>
      <c r="Q158" s="33"/>
      <c r="R158" s="33"/>
      <c r="S158" s="33"/>
    </row>
    <row r="159" spans="2:19" s="24" customFormat="1" ht="99.75" customHeight="1" x14ac:dyDescent="0.25">
      <c r="B159" s="91">
        <f t="shared" si="6"/>
        <v>145</v>
      </c>
      <c r="C159" s="92" t="str">
        <f>+IFERROR(INDEX(Hoja1!$A$2:$A$82,MATCH(J159,Hoja1!$H$2:$H$82,0)),"")</f>
        <v/>
      </c>
      <c r="D159" s="93" t="str">
        <f>IFERROR(VLOOKUP(C159,Hoja1!$A$2:$H$82,4,0),"")</f>
        <v/>
      </c>
      <c r="E159" s="93" t="str">
        <f>+IFERROR(VLOOKUP(C159,Hoja1!$A$1:$J$82,10,0),"")</f>
        <v/>
      </c>
      <c r="F159" s="93" t="str">
        <f>+IFERROR(VLOOKUP(C159,Hoja1!$A$1:$I$82,3,0),"")</f>
        <v/>
      </c>
      <c r="G159" s="92" t="str">
        <f>+IFERROR(VLOOKUP(C159,Hoja1!$A$1:$K$82,11,0),"")</f>
        <v/>
      </c>
      <c r="H159" s="94" t="str">
        <f>+IFERROR(VLOOKUP(C159,Hoja1!$A$1:$L$82,12,0),"")</f>
        <v/>
      </c>
      <c r="I159" s="28"/>
      <c r="J159" s="49">
        <v>145</v>
      </c>
      <c r="K159" s="48"/>
      <c r="M159" s="46"/>
      <c r="N159" s="33"/>
      <c r="O159" s="33"/>
      <c r="P159" s="33"/>
      <c r="Q159" s="33"/>
      <c r="R159" s="33"/>
      <c r="S159" s="33"/>
    </row>
    <row r="160" spans="2:19" s="24" customFormat="1" ht="99.75" customHeight="1" x14ac:dyDescent="0.25">
      <c r="B160" s="95">
        <f t="shared" si="6"/>
        <v>146</v>
      </c>
      <c r="C160" s="92" t="str">
        <f>+IFERROR(INDEX(Hoja1!$A$2:$A$82,MATCH(J160,Hoja1!$H$2:$H$82,0)),"")</f>
        <v/>
      </c>
      <c r="D160" s="93" t="str">
        <f>IFERROR(VLOOKUP(C160,Hoja1!$A$2:$H$82,4,0),"")</f>
        <v/>
      </c>
      <c r="E160" s="93" t="str">
        <f>+IFERROR(VLOOKUP(C160,Hoja1!$A$1:$J$82,10,0),"")</f>
        <v/>
      </c>
      <c r="F160" s="93" t="str">
        <f>+IFERROR(VLOOKUP(C160,Hoja1!$A$1:$I$82,3,0),"")</f>
        <v/>
      </c>
      <c r="G160" s="92" t="str">
        <f>+IFERROR(VLOOKUP(C160,Hoja1!$A$1:$K$82,11,0),"")</f>
        <v/>
      </c>
      <c r="H160" s="94" t="str">
        <f>+IFERROR(VLOOKUP(C160,Hoja1!$A$1:$L$82,12,0),"")</f>
        <v/>
      </c>
      <c r="I160" s="28"/>
      <c r="J160" s="49">
        <v>146</v>
      </c>
      <c r="K160" s="48"/>
      <c r="M160" s="46"/>
      <c r="N160" s="33"/>
      <c r="O160" s="33"/>
      <c r="P160" s="33"/>
      <c r="Q160" s="33"/>
      <c r="R160" s="33"/>
      <c r="S160" s="33"/>
    </row>
    <row r="161" spans="2:19" s="24" customFormat="1" ht="99.75" customHeight="1" x14ac:dyDescent="0.25">
      <c r="B161" s="91">
        <f t="shared" si="6"/>
        <v>147</v>
      </c>
      <c r="C161" s="92" t="str">
        <f>+IFERROR(INDEX(Hoja1!$A$2:$A$82,MATCH(J161,Hoja1!$H$2:$H$82,0)),"")</f>
        <v/>
      </c>
      <c r="D161" s="93" t="str">
        <f>IFERROR(VLOOKUP(C161,Hoja1!$A$2:$H$82,4,0),"")</f>
        <v/>
      </c>
      <c r="E161" s="93" t="str">
        <f>+IFERROR(VLOOKUP(C161,Hoja1!$A$1:$J$82,10,0),"")</f>
        <v/>
      </c>
      <c r="F161" s="93" t="str">
        <f>+IFERROR(VLOOKUP(C161,Hoja1!$A$1:$I$82,3,0),"")</f>
        <v/>
      </c>
      <c r="G161" s="92" t="str">
        <f>+IFERROR(VLOOKUP(C161,Hoja1!$A$1:$K$82,11,0),"")</f>
        <v/>
      </c>
      <c r="H161" s="94" t="str">
        <f>+IFERROR(VLOOKUP(C161,Hoja1!$A$1:$L$82,12,0),"")</f>
        <v/>
      </c>
      <c r="I161" s="28"/>
      <c r="J161" s="49">
        <v>147</v>
      </c>
      <c r="K161" s="48"/>
      <c r="M161" s="46"/>
      <c r="N161" s="33"/>
      <c r="O161" s="33"/>
      <c r="P161" s="33"/>
      <c r="Q161" s="33"/>
      <c r="R161" s="33"/>
      <c r="S161" s="33"/>
    </row>
    <row r="162" spans="2:19" s="24" customFormat="1" ht="99.75" customHeight="1" x14ac:dyDescent="0.25">
      <c r="B162" s="91">
        <f t="shared" si="6"/>
        <v>148</v>
      </c>
      <c r="C162" s="92" t="str">
        <f>+IFERROR(INDEX(Hoja1!$A$2:$A$82,MATCH(J162,Hoja1!$H$2:$H$82,0)),"")</f>
        <v/>
      </c>
      <c r="D162" s="93" t="str">
        <f>IFERROR(VLOOKUP(C162,Hoja1!$A$2:$H$82,4,0),"")</f>
        <v/>
      </c>
      <c r="E162" s="93" t="str">
        <f>+IFERROR(VLOOKUP(C162,Hoja1!$A$1:$J$82,10,0),"")</f>
        <v/>
      </c>
      <c r="F162" s="93" t="str">
        <f>+IFERROR(VLOOKUP(C162,Hoja1!$A$1:$I$82,3,0),"")</f>
        <v/>
      </c>
      <c r="G162" s="92" t="str">
        <f>+IFERROR(VLOOKUP(C162,Hoja1!$A$1:$K$82,11,0),"")</f>
        <v/>
      </c>
      <c r="H162" s="94" t="str">
        <f>+IFERROR(VLOOKUP(C162,Hoja1!$A$1:$L$82,12,0),"")</f>
        <v/>
      </c>
      <c r="I162" s="28"/>
      <c r="J162" s="49">
        <v>148</v>
      </c>
      <c r="K162" s="48"/>
      <c r="M162" s="46"/>
      <c r="N162" s="33"/>
      <c r="O162" s="33"/>
      <c r="P162" s="33"/>
      <c r="Q162" s="33"/>
      <c r="R162" s="33"/>
      <c r="S162" s="33"/>
    </row>
    <row r="163" spans="2:19" s="24" customFormat="1" ht="99.75" customHeight="1" x14ac:dyDescent="0.25">
      <c r="B163" s="91">
        <f t="shared" si="6"/>
        <v>149</v>
      </c>
      <c r="C163" s="92" t="str">
        <f>+IFERROR(INDEX(Hoja1!$A$2:$A$82,MATCH(J163,Hoja1!$H$2:$H$82,0)),"")</f>
        <v/>
      </c>
      <c r="D163" s="93" t="str">
        <f>IFERROR(VLOOKUP(C163,Hoja1!$A$2:$H$82,4,0),"")</f>
        <v/>
      </c>
      <c r="E163" s="93" t="str">
        <f>+IFERROR(VLOOKUP(C163,Hoja1!$A$1:$J$82,10,0),"")</f>
        <v/>
      </c>
      <c r="F163" s="93" t="str">
        <f>+IFERROR(VLOOKUP(C163,Hoja1!$A$1:$I$82,3,0),"")</f>
        <v/>
      </c>
      <c r="G163" s="92" t="str">
        <f>+IFERROR(VLOOKUP(C163,Hoja1!$A$1:$K$82,11,0),"")</f>
        <v/>
      </c>
      <c r="H163" s="94" t="str">
        <f>+IFERROR(VLOOKUP(C163,Hoja1!$A$1:$L$82,12,0),"")</f>
        <v/>
      </c>
      <c r="I163" s="28"/>
      <c r="J163" s="49">
        <v>149</v>
      </c>
      <c r="K163" s="48"/>
      <c r="M163" s="46"/>
      <c r="N163" s="33"/>
      <c r="O163" s="33"/>
      <c r="P163" s="33"/>
      <c r="Q163" s="33"/>
      <c r="R163" s="33"/>
      <c r="S163" s="33"/>
    </row>
    <row r="164" spans="2:19" s="24" customFormat="1" ht="99.75" customHeight="1" thickBot="1" x14ac:dyDescent="0.3">
      <c r="B164" s="96">
        <f t="shared" si="6"/>
        <v>150</v>
      </c>
      <c r="C164" s="97" t="str">
        <f>+IFERROR(INDEX(Hoja1!$A$2:$A$82,MATCH(J164,Hoja1!$H$2:$H$82,0)),"")</f>
        <v/>
      </c>
      <c r="D164" s="98" t="str">
        <f>IFERROR(VLOOKUP(C164,Hoja1!$A$2:$H$82,4,0),"")</f>
        <v/>
      </c>
      <c r="E164" s="98" t="str">
        <f>+IFERROR(VLOOKUP(C164,Hoja1!$A$1:$J$82,10,0),"")</f>
        <v/>
      </c>
      <c r="F164" s="98" t="str">
        <f>+IFERROR(VLOOKUP(C164,Hoja1!$A$1:$I$82,3,0),"")</f>
        <v/>
      </c>
      <c r="G164" s="97" t="str">
        <f>+IFERROR(VLOOKUP(C164,Hoja1!$A$1:$K$82,11,0),"")</f>
        <v/>
      </c>
      <c r="H164" s="99" t="str">
        <f>+IFERROR(VLOOKUP(C164,Hoja1!$A$1:$L$82,12,0),"")</f>
        <v/>
      </c>
      <c r="I164" s="29"/>
      <c r="J164" s="49">
        <v>150</v>
      </c>
      <c r="K164" s="48"/>
      <c r="M164" s="46"/>
      <c r="N164" s="33"/>
      <c r="O164" s="33"/>
      <c r="P164" s="33"/>
      <c r="Q164" s="33"/>
      <c r="R164" s="33"/>
      <c r="S164" s="33"/>
    </row>
  </sheetData>
  <mergeCells count="31">
    <mergeCell ref="L39:L58"/>
    <mergeCell ref="L59:L70"/>
    <mergeCell ref="L71:L83"/>
    <mergeCell ref="L84:L98"/>
    <mergeCell ref="N13:S13"/>
    <mergeCell ref="M13:M14"/>
    <mergeCell ref="L15:L38"/>
    <mergeCell ref="B8:C8"/>
    <mergeCell ref="D8:E8"/>
    <mergeCell ref="B4:L4"/>
    <mergeCell ref="B6:C6"/>
    <mergeCell ref="D6:E6"/>
    <mergeCell ref="B7:C7"/>
    <mergeCell ref="D7:E7"/>
    <mergeCell ref="F6:G6"/>
    <mergeCell ref="F7:G7"/>
    <mergeCell ref="F8:G8"/>
    <mergeCell ref="D9:E9"/>
    <mergeCell ref="B10:C10"/>
    <mergeCell ref="D10:E10"/>
    <mergeCell ref="L13:L14"/>
    <mergeCell ref="K13:K14"/>
    <mergeCell ref="B9:C9"/>
    <mergeCell ref="H13:H14"/>
    <mergeCell ref="F10:G10"/>
    <mergeCell ref="F9:G9"/>
    <mergeCell ref="B11:I11"/>
    <mergeCell ref="B13:B14"/>
    <mergeCell ref="C13:F13"/>
    <mergeCell ref="G13:G14"/>
    <mergeCell ref="I13:I14"/>
  </mergeCells>
  <conditionalFormatting sqref="C15">
    <cfRule type="cellIs" dxfId="79" priority="5" operator="equal">
      <formula>$I$15</formula>
    </cfRule>
    <cfRule type="cellIs" dxfId="78" priority="6" operator="equal">
      <formula>$I$15</formula>
    </cfRule>
  </conditionalFormatting>
  <conditionalFormatting sqref="K15:K98">
    <cfRule type="cellIs" dxfId="68" priority="15" operator="between">
      <formula>0</formula>
      <formula>$I$10</formula>
    </cfRule>
    <cfRule type="cellIs" dxfId="67" priority="22" operator="equal">
      <formula>$I$9</formula>
    </cfRule>
    <cfRule type="cellIs" dxfId="66" priority="23" operator="equal">
      <formula>$I$8</formula>
    </cfRule>
    <cfRule type="cellIs" dxfId="65" priority="24" operator="equal">
      <formula>$I$7</formula>
    </cfRule>
  </conditionalFormatting>
  <conditionalFormatting sqref="K19">
    <cfRule type="cellIs" dxfId="64" priority="12" operator="equal">
      <formula>$I$7</formula>
    </cfRule>
    <cfRule type="cellIs" dxfId="63" priority="13" operator="equal">
      <formula>$I$8</formula>
    </cfRule>
    <cfRule type="cellIs" dxfId="62" priority="14" operator="equal">
      <formula>$I$9</formula>
    </cfRule>
  </conditionalFormatting>
  <conditionalFormatting sqref="L15 L39 L59 L71">
    <cfRule type="cellIs" dxfId="61" priority="17" operator="between">
      <formula>0</formula>
      <formula>0.25</formula>
    </cfRule>
    <cfRule type="cellIs" dxfId="60" priority="18" operator="between">
      <formula>0.26</formula>
      <formula>0.5</formula>
    </cfRule>
    <cfRule type="cellIs" dxfId="59" priority="19" operator="between">
      <formula>0.51</formula>
      <formula>0.75</formula>
    </cfRule>
    <cfRule type="cellIs" dxfId="58" priority="20" operator="between">
      <formula>0.76</formula>
      <formula>1</formula>
    </cfRule>
  </conditionalFormatting>
  <conditionalFormatting sqref="L84">
    <cfRule type="cellIs" dxfId="57" priority="1" operator="between">
      <formula>0</formula>
      <formula>0.25</formula>
    </cfRule>
    <cfRule type="cellIs" dxfId="56" priority="2" operator="between">
      <formula>0.26</formula>
      <formula>0.5</formula>
    </cfRule>
    <cfRule type="cellIs" dxfId="55" priority="3" operator="between">
      <formula>0.51</formula>
      <formula>0.75</formula>
    </cfRule>
    <cfRule type="cellIs" dxfId="54" priority="4" operator="between">
      <formula>0.76</formula>
      <formula>1</formula>
    </cfRule>
  </conditionalFormatting>
  <dataValidations count="1">
    <dataValidation allowBlank="1" showInputMessage="1" showErrorMessage="1" error="Por favor seleccione el id de requerimiento de la lista desplegable." sqref="C15:C164" xr:uid="{00000000-0002-0000-0700-000000000000}"/>
  </dataValidations>
  <pageMargins left="0.7" right="0.7" top="0.75" bottom="0.75" header="0.3" footer="0.3"/>
  <pageSetup orientation="portrait" r:id="rId1"/>
  <ignoredErrors>
    <ignoredError sqref="K90:K91 K92:K94 L15 L12:L14 L16:L38 G117:H164 K29:K89" unlockedFormula="1"/>
  </ignoredErrors>
  <extLst>
    <ext xmlns:x14="http://schemas.microsoft.com/office/spreadsheetml/2009/9/main" uri="{78C0D931-6437-407d-A8EE-F0AAD7539E65}">
      <x14:conditionalFormattings>
        <x14:conditionalFormatting xmlns:xm="http://schemas.microsoft.com/office/excel/2006/main">
          <x14:cfRule type="containsText" priority="11" operator="containsText" id="{7DA7A300-9B44-4BC6-94BC-36DA27F2A712}">
            <xm:f>NOT(ISERROR(SEARCH($F$10,I15)))</xm:f>
            <xm:f>$F$10</xm:f>
            <x14:dxf>
              <fill>
                <patternFill>
                  <bgColor rgb="FFFF0000"/>
                </patternFill>
              </fill>
            </x14:dxf>
          </x14:cfRule>
          <x14:cfRule type="containsText" priority="26" operator="containsText" id="{215E472A-A6A2-4EBF-8638-7BDC96BE2008}">
            <xm:f>NOT(ISERROR(SEARCH($F$9,I15)))</xm:f>
            <xm:f>$F$9</xm:f>
            <x14:dxf>
              <fill>
                <patternFill>
                  <bgColor rgb="FFFFFF00"/>
                </patternFill>
              </fill>
            </x14:dxf>
          </x14:cfRule>
          <x14:cfRule type="containsText" priority="27" operator="containsText" id="{077240E8-1242-49B0-BCCF-AD22F1916974}">
            <xm:f>NOT(ISERROR(SEARCH($F$8,I15)))</xm:f>
            <xm:f>$F$8</xm:f>
            <x14:dxf>
              <fill>
                <patternFill>
                  <bgColor rgb="FF00B0F0"/>
                </patternFill>
              </fill>
            </x14:dxf>
          </x14:cfRule>
          <x14:cfRule type="containsText" priority="28" operator="containsText" id="{1EA3B81B-C2BD-426B-AF6B-CF842692D879}">
            <xm:f>NOT(ISERROR(SEARCH($F$7,I15)))</xm:f>
            <xm:f>$F$7</xm:f>
            <x14:dxf>
              <fill>
                <patternFill>
                  <bgColor rgb="FF00B050"/>
                </patternFill>
              </fill>
            </x14:dxf>
          </x14:cfRule>
          <x14:cfRule type="containsText" priority="29" operator="containsText" id="{0A1DB04A-AD39-44DA-8ECB-5226B6527C5D}">
            <xm:f>NOT(ISERROR(SEARCH($H$8,I15)))</xm:f>
            <xm:f>$H$8</xm:f>
            <x14:dxf>
              <fill>
                <patternFill>
                  <bgColor rgb="FF92D050"/>
                </patternFill>
              </fill>
            </x14:dxf>
          </x14:cfRule>
          <xm:sqref>I15:I98</xm:sqref>
        </x14:conditionalFormatting>
        <x14:conditionalFormatting xmlns:xm="http://schemas.microsoft.com/office/excel/2006/main">
          <x14:cfRule type="containsText" priority="7" operator="containsText" id="{6CCC6CD2-FA79-449F-BD79-A0D90DCA2C37}">
            <xm:f>NOT(ISERROR(SEARCH($H$8,I19)))</xm:f>
            <xm:f>$H$8</xm:f>
            <x14:dxf>
              <fill>
                <patternFill>
                  <bgColor rgb="FF92D050"/>
                </patternFill>
              </fill>
            </x14:dxf>
          </x14:cfRule>
          <x14:cfRule type="containsText" priority="8" operator="containsText" id="{775233EC-0F24-455A-817E-A57C152ED10B}">
            <xm:f>NOT(ISERROR(SEARCH($F$7,I19)))</xm:f>
            <xm:f>$F$7</xm:f>
            <x14:dxf>
              <fill>
                <patternFill>
                  <bgColor rgb="FF00B050"/>
                </patternFill>
              </fill>
            </x14:dxf>
          </x14:cfRule>
          <x14:cfRule type="containsText" priority="9" operator="containsText" id="{CB65E2D8-18C2-4F83-B662-1FA379C31374}">
            <xm:f>NOT(ISERROR(SEARCH($F$8,I19)))</xm:f>
            <xm:f>$F$8</xm:f>
            <x14:dxf>
              <fill>
                <patternFill>
                  <bgColor rgb="FF00B0F0"/>
                </patternFill>
              </fill>
            </x14:dxf>
          </x14:cfRule>
          <x14:cfRule type="containsText" priority="10" operator="containsText" id="{FF3F4423-256E-4C2A-90CD-B13AB10F2751}">
            <xm:f>NOT(ISERROR(SEARCH($F$9,I19)))</xm:f>
            <xm:f>$F$9</xm:f>
            <x14:dxf>
              <fill>
                <patternFill>
                  <bgColor rgb="FFFFFF00"/>
                </patternFill>
              </fill>
            </x14:dxf>
          </x14:cfRule>
          <xm:sqref>I19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P37"/>
  <sheetViews>
    <sheetView tabSelected="1" zoomScale="50" zoomScaleNormal="50" workbookViewId="0">
      <selection activeCell="M7" sqref="M7"/>
    </sheetView>
  </sheetViews>
  <sheetFormatPr baseColWidth="10" defaultColWidth="11.44140625" defaultRowHeight="13.2" x14ac:dyDescent="0.25"/>
  <cols>
    <col min="1" max="1" width="3.109375" style="20" customWidth="1"/>
    <col min="2" max="2" width="3.44140625" style="20" customWidth="1"/>
    <col min="3" max="3" width="29" style="20" customWidth="1"/>
    <col min="4" max="4" width="2.44140625" style="20" customWidth="1"/>
    <col min="5" max="5" width="11.5546875" style="20" customWidth="1"/>
    <col min="6" max="6" width="3.44140625" style="20" customWidth="1"/>
    <col min="7" max="7" width="15.88671875" style="20" customWidth="1"/>
    <col min="8" max="8" width="4.88671875" style="20" customWidth="1"/>
    <col min="9" max="9" width="137.33203125" style="20" customWidth="1"/>
    <col min="10" max="10" width="5.88671875" style="20" customWidth="1"/>
    <col min="11" max="11" width="28.5546875" style="20" customWidth="1"/>
    <col min="12" max="12" width="4.33203125" style="20" customWidth="1"/>
    <col min="13" max="13" width="91.88671875" style="20" customWidth="1"/>
    <col min="14" max="14" width="5.88671875" style="20" customWidth="1"/>
    <col min="15" max="15" width="24.88671875" style="20" customWidth="1"/>
    <col min="16" max="16" width="7" style="20" customWidth="1"/>
    <col min="17" max="16384" width="11.44140625" style="20"/>
  </cols>
  <sheetData>
    <row r="2" spans="2:16" ht="18" customHeight="1" x14ac:dyDescent="0.25">
      <c r="B2" s="165"/>
      <c r="C2" s="166"/>
      <c r="D2" s="166"/>
      <c r="E2" s="166"/>
      <c r="F2" s="166"/>
      <c r="G2" s="166"/>
      <c r="H2" s="166"/>
      <c r="I2" s="166"/>
      <c r="J2" s="166"/>
      <c r="K2" s="166"/>
      <c r="L2" s="166"/>
      <c r="M2" s="166"/>
      <c r="N2" s="166"/>
      <c r="O2" s="166"/>
      <c r="P2" s="167"/>
    </row>
    <row r="3" spans="2:16" ht="30.75" customHeight="1" x14ac:dyDescent="0.25">
      <c r="B3" s="168"/>
      <c r="C3" s="312" t="s">
        <v>611</v>
      </c>
      <c r="D3" s="312"/>
      <c r="E3" s="313"/>
      <c r="F3" s="304" t="s">
        <v>612</v>
      </c>
      <c r="G3" s="304"/>
      <c r="H3" s="304"/>
      <c r="I3" s="304"/>
      <c r="J3" s="304"/>
      <c r="K3" s="304"/>
      <c r="L3" s="304"/>
      <c r="M3" s="304"/>
      <c r="N3" s="159"/>
      <c r="O3" s="159"/>
      <c r="P3" s="169"/>
    </row>
    <row r="4" spans="2:16" ht="30.75" customHeight="1" x14ac:dyDescent="0.25">
      <c r="B4" s="168"/>
      <c r="C4" s="312"/>
      <c r="D4" s="312"/>
      <c r="E4" s="313"/>
      <c r="F4" s="304"/>
      <c r="G4" s="304"/>
      <c r="H4" s="304"/>
      <c r="I4" s="304"/>
      <c r="J4" s="304"/>
      <c r="K4" s="304"/>
      <c r="L4" s="304"/>
      <c r="M4" s="304"/>
      <c r="N4" s="159"/>
      <c r="O4" s="159"/>
      <c r="P4" s="169"/>
    </row>
    <row r="5" spans="2:16" ht="59.25" customHeight="1" x14ac:dyDescent="0.25">
      <c r="B5" s="168"/>
      <c r="C5" s="312" t="s">
        <v>613</v>
      </c>
      <c r="D5" s="312"/>
      <c r="E5" s="313"/>
      <c r="F5" s="305" t="s">
        <v>1135</v>
      </c>
      <c r="G5" s="306"/>
      <c r="H5" s="306"/>
      <c r="I5" s="306"/>
      <c r="J5" s="306"/>
      <c r="K5" s="306"/>
      <c r="L5" s="306"/>
      <c r="M5" s="307"/>
      <c r="N5" s="160"/>
      <c r="O5" s="160"/>
      <c r="P5" s="169"/>
    </row>
    <row r="6" spans="2:16" ht="18" customHeight="1" thickBot="1" x14ac:dyDescent="0.3">
      <c r="B6" s="168"/>
      <c r="E6" s="161"/>
      <c r="F6" s="160"/>
      <c r="G6" s="160"/>
      <c r="H6" s="160"/>
      <c r="I6" s="160"/>
      <c r="J6" s="160"/>
      <c r="K6" s="160"/>
      <c r="L6" s="160"/>
      <c r="P6" s="169"/>
    </row>
    <row r="7" spans="2:16" ht="93" customHeight="1" thickBot="1" x14ac:dyDescent="0.3">
      <c r="B7" s="168"/>
      <c r="I7" s="309" t="s">
        <v>614</v>
      </c>
      <c r="J7" s="310"/>
      <c r="K7" s="311"/>
      <c r="M7" s="109">
        <f>+AVERAGE(G25,G27,G29,G31,G33)</f>
        <v>0.94573529411764701</v>
      </c>
      <c r="N7" s="170"/>
      <c r="O7" s="170"/>
      <c r="P7" s="169"/>
    </row>
    <row r="8" spans="2:16" ht="18" customHeight="1" x14ac:dyDescent="0.3">
      <c r="B8" s="168"/>
      <c r="M8" s="171"/>
      <c r="N8" s="171"/>
      <c r="O8" s="171"/>
      <c r="P8" s="169"/>
    </row>
    <row r="9" spans="2:16" ht="18" customHeight="1" x14ac:dyDescent="0.25">
      <c r="B9" s="168"/>
      <c r="P9" s="169"/>
    </row>
    <row r="10" spans="2:16" x14ac:dyDescent="0.25">
      <c r="B10" s="168"/>
      <c r="P10" s="169"/>
    </row>
    <row r="11" spans="2:16" x14ac:dyDescent="0.25">
      <c r="B11" s="168"/>
      <c r="P11" s="169"/>
    </row>
    <row r="12" spans="2:16" x14ac:dyDescent="0.25">
      <c r="B12" s="168"/>
      <c r="P12" s="169"/>
    </row>
    <row r="13" spans="2:16" x14ac:dyDescent="0.25">
      <c r="B13" s="168"/>
      <c r="P13" s="169"/>
    </row>
    <row r="14" spans="2:16" x14ac:dyDescent="0.25">
      <c r="B14" s="168"/>
      <c r="P14" s="169"/>
    </row>
    <row r="15" spans="2:16" x14ac:dyDescent="0.25">
      <c r="B15" s="168"/>
      <c r="P15" s="169"/>
    </row>
    <row r="16" spans="2:16" x14ac:dyDescent="0.25">
      <c r="B16" s="168"/>
      <c r="P16" s="169"/>
    </row>
    <row r="17" spans="2:16" ht="22.8" x14ac:dyDescent="0.25">
      <c r="B17" s="168"/>
      <c r="C17" s="314" t="s">
        <v>615</v>
      </c>
      <c r="D17" s="315"/>
      <c r="E17" s="315"/>
      <c r="F17" s="315"/>
      <c r="G17" s="315"/>
      <c r="H17" s="315"/>
      <c r="I17" s="315"/>
      <c r="J17" s="315"/>
      <c r="K17" s="315"/>
      <c r="L17" s="315"/>
      <c r="M17" s="316"/>
      <c r="N17" s="172"/>
      <c r="O17" s="172"/>
      <c r="P17" s="169"/>
    </row>
    <row r="18" spans="2:16" ht="15.75" customHeight="1" x14ac:dyDescent="0.25">
      <c r="B18" s="168"/>
      <c r="C18" s="21"/>
      <c r="D18" s="21"/>
      <c r="E18" s="21"/>
      <c r="F18" s="21"/>
      <c r="G18" s="21"/>
      <c r="H18" s="21"/>
      <c r="I18" s="21"/>
      <c r="J18" s="21"/>
      <c r="K18" s="21"/>
      <c r="L18" s="21"/>
      <c r="M18" s="21"/>
      <c r="N18" s="173"/>
      <c r="O18" s="173"/>
      <c r="P18" s="169"/>
    </row>
    <row r="19" spans="2:16" ht="157.5" customHeight="1" x14ac:dyDescent="0.25">
      <c r="B19" s="168"/>
      <c r="C19" s="308" t="s">
        <v>616</v>
      </c>
      <c r="D19" s="308"/>
      <c r="E19" s="164" t="s">
        <v>617</v>
      </c>
      <c r="F19" s="317" t="s">
        <v>1141</v>
      </c>
      <c r="G19" s="318"/>
      <c r="H19" s="318"/>
      <c r="I19" s="318"/>
      <c r="J19" s="318"/>
      <c r="K19" s="318"/>
      <c r="L19" s="318"/>
      <c r="M19" s="318"/>
      <c r="N19" s="174"/>
      <c r="O19" s="174"/>
      <c r="P19" s="175"/>
    </row>
    <row r="20" spans="2:16" ht="93.75" customHeight="1" x14ac:dyDescent="0.25">
      <c r="B20" s="168"/>
      <c r="C20" s="308" t="s">
        <v>619</v>
      </c>
      <c r="D20" s="308"/>
      <c r="E20" s="164" t="s">
        <v>617</v>
      </c>
      <c r="F20" s="317" t="s">
        <v>1142</v>
      </c>
      <c r="G20" s="318"/>
      <c r="H20" s="318"/>
      <c r="I20" s="318"/>
      <c r="J20" s="318"/>
      <c r="K20" s="318"/>
      <c r="L20" s="318"/>
      <c r="M20" s="318"/>
      <c r="N20" s="163"/>
      <c r="O20" s="163"/>
      <c r="P20" s="176"/>
    </row>
    <row r="21" spans="2:16" ht="146.25" customHeight="1" x14ac:dyDescent="0.25">
      <c r="B21" s="168"/>
      <c r="C21" s="308" t="s">
        <v>621</v>
      </c>
      <c r="D21" s="308"/>
      <c r="E21" s="164" t="s">
        <v>617</v>
      </c>
      <c r="F21" s="317" t="s">
        <v>1143</v>
      </c>
      <c r="G21" s="318"/>
      <c r="H21" s="318"/>
      <c r="I21" s="318"/>
      <c r="J21" s="318"/>
      <c r="K21" s="318"/>
      <c r="L21" s="318"/>
      <c r="M21" s="318"/>
      <c r="N21" s="163"/>
      <c r="O21" s="163"/>
      <c r="P21" s="176"/>
    </row>
    <row r="22" spans="2:16" ht="66" customHeight="1" thickBot="1" x14ac:dyDescent="0.3">
      <c r="B22" s="168"/>
      <c r="G22" s="177"/>
      <c r="P22" s="169"/>
    </row>
    <row r="23" spans="2:16" ht="102.75" customHeight="1" thickBot="1" x14ac:dyDescent="0.3">
      <c r="B23" s="168"/>
      <c r="C23" s="71" t="s">
        <v>50</v>
      </c>
      <c r="D23" s="178"/>
      <c r="E23" s="37" t="s">
        <v>622</v>
      </c>
      <c r="F23" s="178"/>
      <c r="G23" s="37" t="s">
        <v>623</v>
      </c>
      <c r="H23" s="178"/>
      <c r="I23" s="68" t="s">
        <v>624</v>
      </c>
      <c r="J23" s="179"/>
      <c r="K23" s="69" t="s">
        <v>625</v>
      </c>
      <c r="L23" s="179"/>
      <c r="M23" s="70" t="s">
        <v>626</v>
      </c>
      <c r="N23" s="179"/>
      <c r="O23" s="180" t="s">
        <v>627</v>
      </c>
      <c r="P23" s="169"/>
    </row>
    <row r="24" spans="2:16" ht="6.75" customHeight="1" x14ac:dyDescent="0.4">
      <c r="B24" s="168"/>
      <c r="C24" s="181"/>
      <c r="D24"/>
      <c r="E24"/>
      <c r="F24"/>
      <c r="G24"/>
      <c r="H24"/>
      <c r="I24" s="35"/>
      <c r="J24"/>
      <c r="K24" s="35"/>
      <c r="L24"/>
      <c r="M24"/>
      <c r="N24"/>
      <c r="O24"/>
      <c r="P24" s="169"/>
    </row>
    <row r="25" spans="2:16" ht="409.5" customHeight="1" x14ac:dyDescent="0.25">
      <c r="B25" s="168"/>
      <c r="C25" s="72" t="s">
        <v>44</v>
      </c>
      <c r="D25" s="182"/>
      <c r="E25" s="111" t="str">
        <f>+IF(Hoja1!$N$2&gt;=0.5,"Si","No")</f>
        <v>Si</v>
      </c>
      <c r="F25" s="183"/>
      <c r="G25" s="110">
        <f>+Hoja1!N2</f>
        <v>0.97916666666666663</v>
      </c>
      <c r="H25" s="183"/>
      <c r="I25" s="300" t="s">
        <v>1136</v>
      </c>
      <c r="J25" s="184"/>
      <c r="K25" s="112">
        <v>0.98</v>
      </c>
      <c r="L25" s="31"/>
      <c r="M25" s="297" t="s">
        <v>628</v>
      </c>
      <c r="N25" s="185"/>
      <c r="O25" s="113">
        <f>+K25-G25</f>
        <v>8.3333333333335258E-4</v>
      </c>
      <c r="P25" s="186"/>
    </row>
    <row r="26" spans="2:16" ht="23.25" customHeight="1" x14ac:dyDescent="0.4">
      <c r="B26" s="168"/>
      <c r="C26" s="181"/>
      <c r="D26"/>
      <c r="E26" s="187"/>
      <c r="F26"/>
      <c r="G26" s="30"/>
      <c r="H26"/>
      <c r="I26" s="36"/>
      <c r="J26"/>
      <c r="K26" s="35"/>
      <c r="L26"/>
      <c r="M26" s="188"/>
      <c r="N26" s="188"/>
      <c r="O26" s="38"/>
      <c r="P26" s="169"/>
    </row>
    <row r="27" spans="2:16" ht="293.25" customHeight="1" x14ac:dyDescent="0.25">
      <c r="B27" s="168"/>
      <c r="C27" s="73" t="s">
        <v>488</v>
      </c>
      <c r="D27" s="182"/>
      <c r="E27" s="111" t="str">
        <f>+IF(Hoja1!$N$26&gt;=0.5,"Si","No")</f>
        <v>Si</v>
      </c>
      <c r="F27"/>
      <c r="G27" s="110">
        <f>+Hoja1!N26</f>
        <v>0.94117647058823528</v>
      </c>
      <c r="H27"/>
      <c r="I27" s="299" t="s">
        <v>1137</v>
      </c>
      <c r="J27"/>
      <c r="K27" s="112">
        <v>1</v>
      </c>
      <c r="L27" s="32"/>
      <c r="M27" s="298" t="s">
        <v>629</v>
      </c>
      <c r="N27" s="185"/>
      <c r="O27" s="113">
        <f>G27-K27</f>
        <v>-5.8823529411764719E-2</v>
      </c>
      <c r="P27" s="169"/>
    </row>
    <row r="28" spans="2:16" ht="6.75" customHeight="1" x14ac:dyDescent="0.4">
      <c r="B28" s="168"/>
      <c r="C28" s="181"/>
      <c r="D28"/>
      <c r="E28" s="187"/>
      <c r="F28"/>
      <c r="G28" s="30"/>
      <c r="H28"/>
      <c r="I28" s="36"/>
      <c r="J28"/>
      <c r="K28" s="35"/>
      <c r="L28"/>
      <c r="M28" s="188"/>
      <c r="N28" s="188"/>
      <c r="O28" s="38"/>
      <c r="P28" s="169"/>
    </row>
    <row r="29" spans="2:16" ht="344.25" customHeight="1" x14ac:dyDescent="0.25">
      <c r="B29" s="168"/>
      <c r="C29" s="74" t="s">
        <v>527</v>
      </c>
      <c r="D29" s="182"/>
      <c r="E29" s="111" t="str">
        <f>+IF(Hoja1!$N$43&gt;=0.5,"Si","No")</f>
        <v>Si</v>
      </c>
      <c r="F29"/>
      <c r="G29" s="110">
        <f>+Hoja1!N43</f>
        <v>0.95833333333333337</v>
      </c>
      <c r="H29"/>
      <c r="I29" s="300" t="s">
        <v>1138</v>
      </c>
      <c r="J29"/>
      <c r="K29" s="112">
        <v>0.96</v>
      </c>
      <c r="L29" s="32"/>
      <c r="M29" s="260" t="s">
        <v>630</v>
      </c>
      <c r="N29" s="185"/>
      <c r="O29" s="113">
        <f>G29-K29</f>
        <v>-1.6666666666665941E-3</v>
      </c>
      <c r="P29" s="169"/>
    </row>
    <row r="30" spans="2:16" ht="6.75" customHeight="1" x14ac:dyDescent="0.4">
      <c r="B30" s="168"/>
      <c r="C30" s="181"/>
      <c r="D30"/>
      <c r="E30" s="187"/>
      <c r="F30"/>
      <c r="G30" s="30"/>
      <c r="H30"/>
      <c r="I30" s="36"/>
      <c r="J30"/>
      <c r="K30" s="35"/>
      <c r="L30"/>
      <c r="M30" s="188"/>
      <c r="N30" s="188"/>
      <c r="O30" s="38"/>
      <c r="P30" s="169"/>
    </row>
    <row r="31" spans="2:16" ht="409.6" customHeight="1" x14ac:dyDescent="0.25">
      <c r="B31" s="168"/>
      <c r="C31" s="75" t="s">
        <v>631</v>
      </c>
      <c r="D31" s="182"/>
      <c r="E31" s="111" t="str">
        <f>+IF(Hoja1!$N$55&gt;=0.5,"Si","No")</f>
        <v>Si</v>
      </c>
      <c r="F31"/>
      <c r="G31" s="110">
        <v>0.88</v>
      </c>
      <c r="H31"/>
      <c r="I31" s="299" t="s">
        <v>1139</v>
      </c>
      <c r="J31"/>
      <c r="K31" s="112">
        <v>0.82</v>
      </c>
      <c r="L31" s="32"/>
      <c r="M31" s="261" t="s">
        <v>632</v>
      </c>
      <c r="N31" s="185"/>
      <c r="O31" s="113">
        <f>G31-K31</f>
        <v>6.0000000000000053E-2</v>
      </c>
      <c r="P31" s="169"/>
    </row>
    <row r="32" spans="2:16" ht="6.75" customHeight="1" x14ac:dyDescent="0.4">
      <c r="B32" s="168"/>
      <c r="C32" s="181"/>
      <c r="D32"/>
      <c r="E32" s="187"/>
      <c r="F32"/>
      <c r="G32" s="30"/>
      <c r="H32"/>
      <c r="I32" s="36"/>
      <c r="J32"/>
      <c r="K32" s="35"/>
      <c r="L32"/>
      <c r="M32" s="188"/>
      <c r="N32" s="188"/>
      <c r="O32" s="38"/>
      <c r="P32" s="169"/>
    </row>
    <row r="33" spans="2:16" ht="394.5" customHeight="1" x14ac:dyDescent="0.25">
      <c r="B33" s="168"/>
      <c r="C33" s="76" t="s">
        <v>633</v>
      </c>
      <c r="D33" s="182"/>
      <c r="E33" s="111" t="str">
        <f>+IF(Hoja1!$N$69&gt;=0.5,"Si","No")</f>
        <v>Si</v>
      </c>
      <c r="F33"/>
      <c r="G33" s="110">
        <v>0.97</v>
      </c>
      <c r="H33"/>
      <c r="I33" s="299" t="s">
        <v>1140</v>
      </c>
      <c r="J33"/>
      <c r="K33" s="112">
        <v>0.96</v>
      </c>
      <c r="L33" s="32"/>
      <c r="M33" s="261" t="s">
        <v>634</v>
      </c>
      <c r="N33" s="185"/>
      <c r="O33" s="113">
        <f>G33-K33</f>
        <v>1.0000000000000009E-2</v>
      </c>
      <c r="P33" s="169"/>
    </row>
    <row r="34" spans="2:16" ht="15.6" x14ac:dyDescent="0.25">
      <c r="B34" s="168"/>
      <c r="C34" s="189"/>
      <c r="D34" s="189"/>
      <c r="E34" s="173"/>
      <c r="M34" s="190"/>
      <c r="N34" s="190"/>
      <c r="O34" s="190"/>
      <c r="P34" s="169"/>
    </row>
    <row r="35" spans="2:16" ht="15.6" x14ac:dyDescent="0.25">
      <c r="B35" s="168"/>
      <c r="C35" s="191"/>
      <c r="D35" s="189"/>
      <c r="E35" s="173"/>
      <c r="M35" s="190"/>
      <c r="N35" s="190"/>
      <c r="O35" s="190"/>
      <c r="P35" s="169"/>
    </row>
    <row r="36" spans="2:16" x14ac:dyDescent="0.25">
      <c r="B36" s="168"/>
      <c r="C36" s="192"/>
      <c r="P36" s="169"/>
    </row>
    <row r="37" spans="2:16" ht="13.8" thickBot="1" x14ac:dyDescent="0.3">
      <c r="B37" s="193"/>
      <c r="C37" s="194"/>
      <c r="D37" s="194"/>
      <c r="E37" s="194"/>
      <c r="F37" s="194"/>
      <c r="G37" s="194"/>
      <c r="H37" s="194"/>
      <c r="I37" s="194"/>
      <c r="J37" s="194"/>
      <c r="K37" s="194"/>
      <c r="L37" s="194"/>
      <c r="M37" s="194"/>
      <c r="N37" s="194"/>
      <c r="O37" s="194"/>
      <c r="P37" s="195"/>
    </row>
  </sheetData>
  <mergeCells count="12">
    <mergeCell ref="C21:D21"/>
    <mergeCell ref="C17:M17"/>
    <mergeCell ref="C19:D19"/>
    <mergeCell ref="F19:M19"/>
    <mergeCell ref="F20:M20"/>
    <mergeCell ref="F21:M21"/>
    <mergeCell ref="F3:M4"/>
    <mergeCell ref="F5:M5"/>
    <mergeCell ref="C20:D20"/>
    <mergeCell ref="I7:K7"/>
    <mergeCell ref="C3:E4"/>
    <mergeCell ref="C5:E5"/>
  </mergeCells>
  <conditionalFormatting sqref="G25 G27 G29 G31 G33">
    <cfRule type="cellIs" dxfId="53" priority="25" operator="between">
      <formula>0.76</formula>
      <formula>1</formula>
    </cfRule>
    <cfRule type="cellIs" dxfId="52" priority="26" operator="between">
      <formula>0.51</formula>
      <formula>0.75</formula>
    </cfRule>
    <cfRule type="cellIs" dxfId="51" priority="27" operator="between">
      <formula>0.26</formula>
      <formula>0.5</formula>
    </cfRule>
  </conditionalFormatting>
  <conditionalFormatting sqref="K25">
    <cfRule type="cellIs" dxfId="49" priority="17" operator="between">
      <formula>0.76</formula>
      <formula>1</formula>
    </cfRule>
    <cfRule type="cellIs" dxfId="48" priority="18" operator="between">
      <formula>0.51</formula>
      <formula>0.75</formula>
    </cfRule>
    <cfRule type="cellIs" dxfId="47" priority="19" operator="between">
      <formula>0.26</formula>
      <formula>0.5</formula>
    </cfRule>
  </conditionalFormatting>
  <conditionalFormatting sqref="K27">
    <cfRule type="cellIs" dxfId="45" priority="13" operator="between">
      <formula>0.76</formula>
      <formula>1</formula>
    </cfRule>
    <cfRule type="cellIs" dxfId="44" priority="14" operator="between">
      <formula>0.51</formula>
      <formula>0.75</formula>
    </cfRule>
    <cfRule type="cellIs" dxfId="43" priority="15" operator="between">
      <formula>0.26</formula>
      <formula>0.5</formula>
    </cfRule>
  </conditionalFormatting>
  <conditionalFormatting sqref="K29">
    <cfRule type="cellIs" dxfId="41" priority="9" operator="between">
      <formula>0.76</formula>
      <formula>1</formula>
    </cfRule>
    <cfRule type="cellIs" dxfId="40" priority="10" operator="between">
      <formula>0.51</formula>
      <formula>0.75</formula>
    </cfRule>
    <cfRule type="cellIs" dxfId="39" priority="11" operator="between">
      <formula>0.26</formula>
      <formula>0.5</formula>
    </cfRule>
  </conditionalFormatting>
  <conditionalFormatting sqref="K31">
    <cfRule type="cellIs" dxfId="37" priority="5" operator="between">
      <formula>0.76</formula>
      <formula>1</formula>
    </cfRule>
    <cfRule type="cellIs" dxfId="36" priority="6" operator="between">
      <formula>0.51</formula>
      <formula>0.75</formula>
    </cfRule>
    <cfRule type="cellIs" dxfId="35" priority="7" operator="between">
      <formula>0.26</formula>
      <formula>0.5</formula>
    </cfRule>
  </conditionalFormatting>
  <conditionalFormatting sqref="K33">
    <cfRule type="cellIs" dxfId="33" priority="1" operator="between">
      <formula>0.76</formula>
      <formula>1</formula>
    </cfRule>
    <cfRule type="cellIs" dxfId="32" priority="2" operator="between">
      <formula>0.51</formula>
      <formula>0.75</formula>
    </cfRule>
    <cfRule type="cellIs" dxfId="31" priority="3" operator="between">
      <formula>0.26</formula>
      <formula>0.5</formula>
    </cfRule>
  </conditionalFormatting>
  <conditionalFormatting sqref="M7">
    <cfRule type="cellIs" priority="21" operator="between">
      <formula>0.76</formula>
      <formula>1</formula>
    </cfRule>
    <cfRule type="cellIs" dxfId="29" priority="22" operator="between">
      <formula>0.51</formula>
      <formula>0.75</formula>
    </cfRule>
    <cfRule type="cellIs" dxfId="28" priority="23" operator="between">
      <formula>0.26</formula>
      <formula>0.5</formula>
    </cfRule>
    <cfRule type="cellIs" dxfId="27" priority="24" operator="between">
      <formula>0</formula>
      <formula>0.25</formula>
    </cfRule>
  </conditionalFormatting>
  <dataValidations count="4">
    <dataValidation allowBlank="1" showInputMessage="1" showErrorMessage="1" prompt="Celda formulada, información proveniente de la pestaña de deficiencias." sqref="E23" xr:uid="{00000000-0002-0000-0800-000000000000}"/>
    <dataValidation type="list" allowBlank="1" showInputMessage="1" showErrorMessage="1" sqref="N19:O19" xr:uid="{00000000-0002-0000-0800-000001000000}">
      <formula1>"Si,No"</formula1>
    </dataValidation>
    <dataValidation type="list" allowBlank="1" showInputMessage="1" showErrorMessage="1" sqref="E20:E21" xr:uid="{00000000-0002-0000-0800-000002000000}">
      <formula1>"Si, No"</formula1>
    </dataValidation>
    <dataValidation type="list" allowBlank="1" showInputMessage="1" showErrorMessage="1" sqref="E19" xr:uid="{00000000-0002-0000-0800-000003000000}">
      <formula1>"Si,No,En proceso"</formula1>
    </dataValidation>
  </dataValidations>
  <pageMargins left="0.39370078740157483" right="0.39370078740157483" top="0.39370078740157483" bottom="0.39370078740157483" header="0.31496062992125984" footer="0.31496062992125984"/>
  <pageSetup scale="65" orientation="landscape" verticalDpi="300" r:id="rId1"/>
  <ignoredErrors>
    <ignoredError sqref="O27 O29 O31 O33" unlockedFormula="1"/>
  </ignoredErrors>
  <drawing r:id="rId2"/>
  <extLst>
    <ext xmlns:x14="http://schemas.microsoft.com/office/spreadsheetml/2009/9/main" uri="{78C0D931-6437-407d-A8EE-F0AAD7539E65}">
      <x14:conditionalFormattings>
        <x14:conditionalFormatting xmlns:xm="http://schemas.microsoft.com/office/excel/2006/main">
          <x14:cfRule type="cellIs" priority="28" operator="between" id="{AC1FC42B-E47F-4E28-8390-539A6FAE60AB}">
            <xm:f>0</xm:f>
            <xm:f>'Analisis de Resultados'!$I$10</xm:f>
            <x14:dxf>
              <fill>
                <patternFill>
                  <bgColor rgb="FFFF0000"/>
                </patternFill>
              </fill>
            </x14:dxf>
          </x14:cfRule>
          <xm:sqref>G25 G27 G29 G31 G33</xm:sqref>
        </x14:conditionalFormatting>
        <x14:conditionalFormatting xmlns:xm="http://schemas.microsoft.com/office/excel/2006/main">
          <x14:cfRule type="cellIs" priority="20" operator="between" id="{89B62F38-33F9-4807-A37E-FBE5EDA20BAD}">
            <xm:f>0</xm:f>
            <xm:f>'Analisis de Resultados'!$I$10</xm:f>
            <x14:dxf>
              <fill>
                <patternFill>
                  <bgColor rgb="FFFF0000"/>
                </patternFill>
              </fill>
            </x14:dxf>
          </x14:cfRule>
          <xm:sqref>K25</xm:sqref>
        </x14:conditionalFormatting>
        <x14:conditionalFormatting xmlns:xm="http://schemas.microsoft.com/office/excel/2006/main">
          <x14:cfRule type="cellIs" priority="16" operator="between" id="{74414D1A-6CA0-411B-BC54-8950C1BC70EC}">
            <xm:f>0</xm:f>
            <xm:f>'Analisis de Resultados'!$I$10</xm:f>
            <x14:dxf>
              <fill>
                <patternFill>
                  <bgColor rgb="FFFF0000"/>
                </patternFill>
              </fill>
            </x14:dxf>
          </x14:cfRule>
          <xm:sqref>K27</xm:sqref>
        </x14:conditionalFormatting>
        <x14:conditionalFormatting xmlns:xm="http://schemas.microsoft.com/office/excel/2006/main">
          <x14:cfRule type="cellIs" priority="12" operator="between" id="{23BFD082-B5A8-477C-BAD4-23E9934FFB34}">
            <xm:f>0</xm:f>
            <xm:f>'Analisis de Resultados'!$I$10</xm:f>
            <x14:dxf>
              <fill>
                <patternFill>
                  <bgColor rgb="FFFF0000"/>
                </patternFill>
              </fill>
            </x14:dxf>
          </x14:cfRule>
          <xm:sqref>K29</xm:sqref>
        </x14:conditionalFormatting>
        <x14:conditionalFormatting xmlns:xm="http://schemas.microsoft.com/office/excel/2006/main">
          <x14:cfRule type="cellIs" priority="8" operator="between" id="{E4CB7794-8664-4CFE-B341-1D3ADC132036}">
            <xm:f>0</xm:f>
            <xm:f>'Analisis de Resultados'!$I$10</xm:f>
            <x14:dxf>
              <fill>
                <patternFill>
                  <bgColor rgb="FFFF0000"/>
                </patternFill>
              </fill>
            </x14:dxf>
          </x14:cfRule>
          <xm:sqref>K31</xm:sqref>
        </x14:conditionalFormatting>
        <x14:conditionalFormatting xmlns:xm="http://schemas.microsoft.com/office/excel/2006/main">
          <x14:cfRule type="cellIs" priority="4" operator="between" id="{0B82901D-DF36-435F-9E16-6E092395D406}">
            <xm:f>0</xm:f>
            <xm:f>'Analisis de Resultados'!$I$10</xm:f>
            <x14:dxf>
              <fill>
                <patternFill>
                  <bgColor rgb="FFFF0000"/>
                </patternFill>
              </fill>
            </x14:dxf>
          </x14:cfRule>
          <xm:sqref>K33</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5768D-2A68-400B-98F4-7C146792894B}">
  <dimension ref="B1:P37"/>
  <sheetViews>
    <sheetView topLeftCell="A21" zoomScale="70" zoomScaleNormal="70" workbookViewId="0">
      <selection activeCell="A27" sqref="A27"/>
    </sheetView>
  </sheetViews>
  <sheetFormatPr baseColWidth="10" defaultColWidth="11.44140625" defaultRowHeight="13.2" x14ac:dyDescent="0.25"/>
  <cols>
    <col min="1" max="1" width="3.109375" style="20" customWidth="1"/>
    <col min="2" max="2" width="3.44140625" style="20" customWidth="1"/>
    <col min="3" max="3" width="23.6640625" style="20" customWidth="1"/>
    <col min="4" max="4" width="2.33203125" style="20" customWidth="1"/>
    <col min="5" max="5" width="17.44140625" style="20" customWidth="1"/>
    <col min="6" max="6" width="1.88671875" style="20" customWidth="1"/>
    <col min="7" max="7" width="15.88671875" style="20" customWidth="1"/>
    <col min="8" max="8" width="7.44140625" style="20" hidden="1" customWidth="1"/>
    <col min="9" max="9" width="255.5546875" style="20" hidden="1" customWidth="1"/>
    <col min="10" max="10" width="2.5546875" style="20" customWidth="1"/>
    <col min="11" max="11" width="16.6640625" style="20" customWidth="1"/>
    <col min="12" max="12" width="4.33203125" style="20" hidden="1" customWidth="1"/>
    <col min="13" max="13" width="210.109375" style="20" hidden="1" customWidth="1"/>
    <col min="14" max="14" width="2" style="20" customWidth="1"/>
    <col min="15" max="15" width="13.6640625" style="20" customWidth="1"/>
    <col min="16" max="16" width="7" style="20" customWidth="1"/>
    <col min="17" max="16384" width="11.44140625" style="20"/>
  </cols>
  <sheetData>
    <row r="1" spans="2:16" ht="13.8" thickBot="1" x14ac:dyDescent="0.3"/>
    <row r="2" spans="2:16" ht="18" customHeight="1" x14ac:dyDescent="0.25">
      <c r="B2" s="165"/>
      <c r="C2" s="166"/>
      <c r="D2" s="166"/>
      <c r="E2" s="166"/>
      <c r="F2" s="166"/>
      <c r="G2" s="166"/>
      <c r="H2" s="166"/>
      <c r="I2" s="166"/>
      <c r="J2" s="166"/>
      <c r="K2" s="166"/>
      <c r="L2" s="166"/>
      <c r="M2" s="166"/>
      <c r="N2" s="166"/>
      <c r="O2" s="166"/>
      <c r="P2" s="167"/>
    </row>
    <row r="3" spans="2:16" ht="30.75" customHeight="1" x14ac:dyDescent="0.25">
      <c r="B3" s="168"/>
      <c r="E3" s="858" t="s">
        <v>611</v>
      </c>
      <c r="F3" s="860" t="s">
        <v>612</v>
      </c>
      <c r="G3" s="861"/>
      <c r="H3" s="861"/>
      <c r="I3" s="861"/>
      <c r="J3" s="861"/>
      <c r="K3" s="861"/>
      <c r="L3" s="861"/>
      <c r="M3" s="861"/>
      <c r="N3" s="159"/>
      <c r="O3" s="159"/>
      <c r="P3" s="169"/>
    </row>
    <row r="4" spans="2:16" ht="30.75" customHeight="1" x14ac:dyDescent="0.25">
      <c r="B4" s="168"/>
      <c r="E4" s="859"/>
      <c r="F4" s="861"/>
      <c r="G4" s="861"/>
      <c r="H4" s="861"/>
      <c r="I4" s="861"/>
      <c r="J4" s="861"/>
      <c r="K4" s="861"/>
      <c r="L4" s="861"/>
      <c r="M4" s="861"/>
      <c r="N4" s="159"/>
      <c r="O4" s="159"/>
      <c r="P4" s="169"/>
    </row>
    <row r="5" spans="2:16" ht="59.25" customHeight="1" x14ac:dyDescent="0.45">
      <c r="B5" s="168"/>
      <c r="E5" s="162" t="s">
        <v>613</v>
      </c>
      <c r="F5" s="862" t="s">
        <v>635</v>
      </c>
      <c r="G5" s="863"/>
      <c r="H5" s="863"/>
      <c r="I5" s="863"/>
      <c r="J5" s="863"/>
      <c r="K5" s="863"/>
      <c r="L5" s="863"/>
      <c r="M5" s="864"/>
      <c r="N5" s="160"/>
      <c r="O5" s="160"/>
      <c r="P5" s="169"/>
    </row>
    <row r="6" spans="2:16" ht="18" customHeight="1" thickBot="1" x14ac:dyDescent="0.3">
      <c r="B6" s="168"/>
      <c r="E6" s="161"/>
      <c r="F6" s="160"/>
      <c r="G6" s="160"/>
      <c r="H6" s="160"/>
      <c r="I6" s="160"/>
      <c r="J6" s="160"/>
      <c r="K6" s="160"/>
      <c r="L6" s="160"/>
      <c r="P6" s="169"/>
    </row>
    <row r="7" spans="2:16" ht="93" customHeight="1" thickBot="1" x14ac:dyDescent="0.3">
      <c r="B7" s="168"/>
      <c r="I7" s="309" t="s">
        <v>614</v>
      </c>
      <c r="J7" s="310"/>
      <c r="K7" s="311"/>
      <c r="M7" s="109">
        <f>+AVERAGE(G25,G27,G29,G31,G33)</f>
        <v>0.94830672268907568</v>
      </c>
      <c r="N7" s="170"/>
      <c r="O7" s="170"/>
      <c r="P7" s="169"/>
    </row>
    <row r="8" spans="2:16" ht="18" customHeight="1" x14ac:dyDescent="0.3">
      <c r="B8" s="168"/>
      <c r="M8" s="171"/>
      <c r="N8" s="171"/>
      <c r="O8" s="171"/>
      <c r="P8" s="169"/>
    </row>
    <row r="9" spans="2:16" ht="18" customHeight="1" x14ac:dyDescent="0.25">
      <c r="B9" s="168"/>
      <c r="P9" s="169"/>
    </row>
    <row r="10" spans="2:16" x14ac:dyDescent="0.25">
      <c r="B10" s="168"/>
      <c r="P10" s="169"/>
    </row>
    <row r="11" spans="2:16" x14ac:dyDescent="0.25">
      <c r="B11" s="168"/>
      <c r="P11" s="169"/>
    </row>
    <row r="12" spans="2:16" x14ac:dyDescent="0.25">
      <c r="B12" s="168"/>
      <c r="P12" s="169"/>
    </row>
    <row r="13" spans="2:16" x14ac:dyDescent="0.25">
      <c r="B13" s="168"/>
      <c r="P13" s="169"/>
    </row>
    <row r="14" spans="2:16" x14ac:dyDescent="0.25">
      <c r="B14" s="168"/>
      <c r="P14" s="169"/>
    </row>
    <row r="15" spans="2:16" x14ac:dyDescent="0.25">
      <c r="B15" s="168"/>
      <c r="P15" s="169"/>
    </row>
    <row r="16" spans="2:16" x14ac:dyDescent="0.25">
      <c r="B16" s="168"/>
      <c r="P16" s="169"/>
    </row>
    <row r="17" spans="2:16" ht="22.8" x14ac:dyDescent="0.25">
      <c r="B17" s="168"/>
      <c r="C17" s="314" t="s">
        <v>615</v>
      </c>
      <c r="D17" s="315"/>
      <c r="E17" s="315"/>
      <c r="F17" s="315"/>
      <c r="G17" s="315"/>
      <c r="H17" s="315"/>
      <c r="I17" s="315"/>
      <c r="J17" s="315"/>
      <c r="K17" s="315"/>
      <c r="L17" s="315"/>
      <c r="M17" s="316"/>
      <c r="N17" s="172"/>
      <c r="O17" s="172"/>
      <c r="P17" s="169"/>
    </row>
    <row r="18" spans="2:16" ht="15.75" customHeight="1" x14ac:dyDescent="0.25">
      <c r="B18" s="168"/>
      <c r="C18" s="21"/>
      <c r="D18" s="21"/>
      <c r="E18" s="21"/>
      <c r="F18" s="21"/>
      <c r="G18" s="21"/>
      <c r="H18" s="21"/>
      <c r="I18" s="21"/>
      <c r="J18" s="21"/>
      <c r="K18" s="21"/>
      <c r="L18" s="21"/>
      <c r="M18" s="21"/>
      <c r="N18" s="173"/>
      <c r="O18" s="173"/>
      <c r="P18" s="169"/>
    </row>
    <row r="19" spans="2:16" ht="231.75" customHeight="1" x14ac:dyDescent="0.25">
      <c r="B19" s="168"/>
      <c r="C19" s="855" t="s">
        <v>616</v>
      </c>
      <c r="D19" s="855"/>
      <c r="E19" s="164" t="s">
        <v>617</v>
      </c>
      <c r="F19" s="856" t="s">
        <v>618</v>
      </c>
      <c r="G19" s="857"/>
      <c r="H19" s="857"/>
      <c r="I19" s="857"/>
      <c r="J19" s="857"/>
      <c r="K19" s="857"/>
      <c r="L19" s="857"/>
      <c r="M19" s="857"/>
      <c r="N19" s="174"/>
      <c r="O19" s="174"/>
      <c r="P19" s="175"/>
    </row>
    <row r="20" spans="2:16" ht="110.1" customHeight="1" x14ac:dyDescent="0.25">
      <c r="B20" s="168"/>
      <c r="C20" s="855" t="s">
        <v>619</v>
      </c>
      <c r="D20" s="855"/>
      <c r="E20" s="164" t="s">
        <v>617</v>
      </c>
      <c r="F20" s="856" t="s">
        <v>620</v>
      </c>
      <c r="G20" s="857"/>
      <c r="H20" s="857"/>
      <c r="I20" s="857"/>
      <c r="J20" s="857"/>
      <c r="K20" s="857"/>
      <c r="L20" s="857"/>
      <c r="M20" s="857"/>
      <c r="N20" s="163"/>
      <c r="O20" s="163"/>
      <c r="P20" s="176"/>
    </row>
    <row r="21" spans="2:16" ht="177.75" customHeight="1" x14ac:dyDescent="0.25">
      <c r="B21" s="168"/>
      <c r="C21" s="855" t="s">
        <v>621</v>
      </c>
      <c r="D21" s="855"/>
      <c r="E21" s="164" t="s">
        <v>617</v>
      </c>
      <c r="F21" s="856" t="s">
        <v>636</v>
      </c>
      <c r="G21" s="857"/>
      <c r="H21" s="857"/>
      <c r="I21" s="857"/>
      <c r="J21" s="857"/>
      <c r="K21" s="857"/>
      <c r="L21" s="857"/>
      <c r="M21" s="857"/>
      <c r="N21" s="163"/>
      <c r="O21" s="163"/>
      <c r="P21" s="176"/>
    </row>
    <row r="22" spans="2:16" ht="66" customHeight="1" thickBot="1" x14ac:dyDescent="0.3">
      <c r="B22" s="168"/>
      <c r="G22" s="177"/>
      <c r="P22" s="169"/>
    </row>
    <row r="23" spans="2:16" ht="102.75" customHeight="1" thickBot="1" x14ac:dyDescent="0.3">
      <c r="B23" s="168"/>
      <c r="C23" s="251" t="s">
        <v>50</v>
      </c>
      <c r="D23" s="178"/>
      <c r="E23" s="252" t="s">
        <v>622</v>
      </c>
      <c r="F23" s="178"/>
      <c r="G23" s="252" t="s">
        <v>623</v>
      </c>
      <c r="H23" s="178"/>
      <c r="I23" s="68" t="s">
        <v>624</v>
      </c>
      <c r="J23" s="179"/>
      <c r="K23" s="253" t="s">
        <v>625</v>
      </c>
      <c r="L23" s="179"/>
      <c r="M23" s="70" t="s">
        <v>626</v>
      </c>
      <c r="N23" s="179"/>
      <c r="O23" s="253" t="s">
        <v>627</v>
      </c>
      <c r="P23" s="169"/>
    </row>
    <row r="24" spans="2:16" ht="6.75" customHeight="1" x14ac:dyDescent="0.4">
      <c r="B24" s="168"/>
      <c r="C24" s="181"/>
      <c r="D24"/>
      <c r="E24"/>
      <c r="F24"/>
      <c r="G24"/>
      <c r="H24"/>
      <c r="I24" s="35"/>
      <c r="J24"/>
      <c r="K24" s="35"/>
      <c r="L24"/>
      <c r="M24"/>
      <c r="N24"/>
      <c r="O24"/>
      <c r="P24" s="169"/>
    </row>
    <row r="25" spans="2:16" ht="63.6" customHeight="1" x14ac:dyDescent="0.25">
      <c r="B25" s="168"/>
      <c r="C25" s="254" t="s">
        <v>44</v>
      </c>
      <c r="D25" s="182"/>
      <c r="E25" s="255" t="str">
        <f>+IF(Hoja1!$N$2&gt;=0.5,"Si","No")</f>
        <v>Si</v>
      </c>
      <c r="F25" s="183"/>
      <c r="G25" s="257">
        <f>+Hoja1!N2</f>
        <v>0.97916666666666663</v>
      </c>
      <c r="H25" s="183"/>
      <c r="I25" s="208" t="s">
        <v>637</v>
      </c>
      <c r="J25" s="184"/>
      <c r="K25" s="256">
        <v>0.94</v>
      </c>
      <c r="L25" s="31"/>
      <c r="M25" s="158" t="s">
        <v>638</v>
      </c>
      <c r="N25" s="185"/>
      <c r="O25" s="157">
        <f>G25-K25</f>
        <v>3.9166666666666683E-2</v>
      </c>
      <c r="P25" s="186"/>
    </row>
    <row r="26" spans="2:16" ht="6.75" customHeight="1" x14ac:dyDescent="0.4">
      <c r="B26" s="168"/>
      <c r="C26" s="181"/>
      <c r="D26"/>
      <c r="E26" s="187"/>
      <c r="F26"/>
      <c r="G26" s="259"/>
      <c r="H26"/>
      <c r="I26" s="36"/>
      <c r="J26"/>
      <c r="K26" s="259"/>
      <c r="L26"/>
      <c r="M26" s="188"/>
      <c r="N26" s="188"/>
      <c r="O26" s="259"/>
      <c r="P26" s="169"/>
    </row>
    <row r="27" spans="2:16" ht="64.95" customHeight="1" x14ac:dyDescent="0.25">
      <c r="B27" s="168"/>
      <c r="C27" s="73" t="s">
        <v>488</v>
      </c>
      <c r="D27" s="182"/>
      <c r="E27" s="111" t="str">
        <f>+IF(Hoja1!$N$26&gt;=0.5,"Si","No")</f>
        <v>Si</v>
      </c>
      <c r="F27"/>
      <c r="G27" s="258">
        <f>+Hoja1!N26</f>
        <v>0.94117647058823528</v>
      </c>
      <c r="H27"/>
      <c r="I27" s="201" t="s">
        <v>639</v>
      </c>
      <c r="J27"/>
      <c r="K27" s="112">
        <v>1</v>
      </c>
      <c r="L27" s="32"/>
      <c r="M27" s="158" t="s">
        <v>640</v>
      </c>
      <c r="N27" s="185"/>
      <c r="O27" s="113">
        <f>G27-K27</f>
        <v>-5.8823529411764719E-2</v>
      </c>
      <c r="P27" s="169"/>
    </row>
    <row r="28" spans="2:16" ht="6.75" customHeight="1" x14ac:dyDescent="0.4">
      <c r="B28" s="168"/>
      <c r="C28" s="181"/>
      <c r="D28"/>
      <c r="E28" s="187"/>
      <c r="F28"/>
      <c r="G28" s="259"/>
      <c r="H28"/>
      <c r="I28" s="36"/>
      <c r="J28"/>
      <c r="K28" s="259"/>
      <c r="L28"/>
      <c r="M28" s="188"/>
      <c r="N28" s="188"/>
      <c r="O28" s="259"/>
      <c r="P28" s="169"/>
    </row>
    <row r="29" spans="2:16" ht="64.95" customHeight="1" x14ac:dyDescent="0.25">
      <c r="B29" s="168"/>
      <c r="C29" s="74" t="s">
        <v>527</v>
      </c>
      <c r="D29" s="182"/>
      <c r="E29" s="255" t="str">
        <f>+IF(Hoja1!$N$43&gt;=0.5,"Si","No")</f>
        <v>Si</v>
      </c>
      <c r="F29"/>
      <c r="G29" s="110">
        <f>+Hoja1!N43</f>
        <v>0.95833333333333337</v>
      </c>
      <c r="H29"/>
      <c r="I29" s="202" t="s">
        <v>641</v>
      </c>
      <c r="J29"/>
      <c r="K29" s="112">
        <v>0.96</v>
      </c>
      <c r="L29" s="32"/>
      <c r="M29" s="158" t="s">
        <v>642</v>
      </c>
      <c r="N29" s="185"/>
      <c r="O29" s="113">
        <f>G29-K29</f>
        <v>-1.6666666666665941E-3</v>
      </c>
      <c r="P29" s="169"/>
    </row>
    <row r="30" spans="2:16" ht="6.75" customHeight="1" x14ac:dyDescent="0.4">
      <c r="B30" s="168"/>
      <c r="C30" s="181"/>
      <c r="D30"/>
      <c r="E30" s="187"/>
      <c r="F30"/>
      <c r="G30" s="259"/>
      <c r="H30"/>
      <c r="I30" s="36"/>
      <c r="J30"/>
      <c r="K30" s="259"/>
      <c r="L30"/>
      <c r="M30" s="188"/>
      <c r="N30" s="188"/>
      <c r="O30" s="259"/>
      <c r="P30" s="169"/>
    </row>
    <row r="31" spans="2:16" ht="64.2" customHeight="1" x14ac:dyDescent="0.25">
      <c r="B31" s="168"/>
      <c r="C31" s="75" t="s">
        <v>631</v>
      </c>
      <c r="D31" s="182"/>
      <c r="E31" s="111" t="str">
        <f>+IF(Hoja1!$N$55&gt;=0.5,"Si","No")</f>
        <v>Si</v>
      </c>
      <c r="F31"/>
      <c r="G31" s="110">
        <f>+Hoja1!N55</f>
        <v>0.8928571428571429</v>
      </c>
      <c r="H31"/>
      <c r="I31" s="201" t="s">
        <v>643</v>
      </c>
      <c r="J31"/>
      <c r="K31" s="112">
        <v>0.82</v>
      </c>
      <c r="L31" s="32"/>
      <c r="M31" s="158" t="s">
        <v>644</v>
      </c>
      <c r="N31" s="185"/>
      <c r="O31" s="113">
        <f>G31-K31</f>
        <v>7.2857142857142954E-2</v>
      </c>
      <c r="P31" s="169"/>
    </row>
    <row r="32" spans="2:16" ht="6.75" customHeight="1" x14ac:dyDescent="0.4">
      <c r="B32" s="168"/>
      <c r="C32" s="181"/>
      <c r="D32"/>
      <c r="E32" s="187"/>
      <c r="F32"/>
      <c r="G32" s="259"/>
      <c r="H32"/>
      <c r="I32" s="36"/>
      <c r="J32"/>
      <c r="K32" s="259"/>
      <c r="L32"/>
      <c r="M32" s="188"/>
      <c r="N32" s="188"/>
      <c r="O32" s="259"/>
      <c r="P32" s="169"/>
    </row>
    <row r="33" spans="2:16" ht="63.6" customHeight="1" x14ac:dyDescent="0.25">
      <c r="B33" s="168"/>
      <c r="C33" s="76" t="s">
        <v>633</v>
      </c>
      <c r="D33" s="182"/>
      <c r="E33" s="111" t="str">
        <f>+IF(Hoja1!$N$69&gt;=0.5,"Si","No")</f>
        <v>Si</v>
      </c>
      <c r="F33"/>
      <c r="G33" s="110">
        <v>0.97</v>
      </c>
      <c r="H33"/>
      <c r="I33" s="201" t="s">
        <v>645</v>
      </c>
      <c r="J33"/>
      <c r="K33" s="112">
        <v>0.96</v>
      </c>
      <c r="L33" s="32"/>
      <c r="M33" s="158" t="s">
        <v>646</v>
      </c>
      <c r="N33" s="185"/>
      <c r="O33" s="113">
        <f>G33-K33</f>
        <v>1.0000000000000009E-2</v>
      </c>
      <c r="P33" s="169"/>
    </row>
    <row r="34" spans="2:16" ht="15.6" x14ac:dyDescent="0.25">
      <c r="B34" s="168"/>
      <c r="C34" s="189"/>
      <c r="D34" s="189"/>
      <c r="E34" s="173"/>
      <c r="M34" s="190"/>
      <c r="N34" s="190"/>
      <c r="O34" s="190"/>
      <c r="P34" s="169"/>
    </row>
    <row r="35" spans="2:16" ht="15.6" x14ac:dyDescent="0.25">
      <c r="B35" s="168"/>
      <c r="C35" s="191"/>
      <c r="D35" s="189"/>
      <c r="E35" s="173"/>
      <c r="M35" s="190"/>
      <c r="N35" s="190"/>
      <c r="O35" s="190"/>
      <c r="P35" s="169"/>
    </row>
    <row r="36" spans="2:16" x14ac:dyDescent="0.25">
      <c r="B36" s="168"/>
      <c r="C36" s="192"/>
      <c r="P36" s="169"/>
    </row>
    <row r="37" spans="2:16" ht="13.8" thickBot="1" x14ac:dyDescent="0.3">
      <c r="B37" s="193"/>
      <c r="C37" s="194"/>
      <c r="D37" s="194"/>
      <c r="E37" s="194"/>
      <c r="F37" s="194"/>
      <c r="G37" s="194"/>
      <c r="H37" s="194"/>
      <c r="I37" s="194"/>
      <c r="J37" s="194"/>
      <c r="K37" s="194"/>
      <c r="L37" s="194"/>
      <c r="M37" s="194"/>
      <c r="N37" s="194"/>
      <c r="O37" s="194"/>
      <c r="P37" s="195"/>
    </row>
  </sheetData>
  <mergeCells count="11">
    <mergeCell ref="C20:D20"/>
    <mergeCell ref="F20:M20"/>
    <mergeCell ref="C21:D21"/>
    <mergeCell ref="F21:M21"/>
    <mergeCell ref="E3:E4"/>
    <mergeCell ref="F3:M4"/>
    <mergeCell ref="F5:M5"/>
    <mergeCell ref="I7:K7"/>
    <mergeCell ref="C17:M17"/>
    <mergeCell ref="C19:D19"/>
    <mergeCell ref="F19:M19"/>
  </mergeCells>
  <conditionalFormatting sqref="G25 G27 G29 G31 G33">
    <cfRule type="cellIs" dxfId="26" priority="25" operator="between">
      <formula>0.76</formula>
      <formula>1</formula>
    </cfRule>
    <cfRule type="cellIs" dxfId="25" priority="26" operator="between">
      <formula>0.51</formula>
      <formula>0.75</formula>
    </cfRule>
    <cfRule type="cellIs" dxfId="24" priority="27" operator="between">
      <formula>0.26</formula>
      <formula>0.5</formula>
    </cfRule>
  </conditionalFormatting>
  <conditionalFormatting sqref="K25">
    <cfRule type="cellIs" dxfId="22" priority="17" operator="between">
      <formula>0.76</formula>
      <formula>1</formula>
    </cfRule>
    <cfRule type="cellIs" dxfId="21" priority="18" operator="between">
      <formula>0.51</formula>
      <formula>0.75</formula>
    </cfRule>
    <cfRule type="cellIs" dxfId="20" priority="19" operator="between">
      <formula>0.26</formula>
      <formula>0.5</formula>
    </cfRule>
  </conditionalFormatting>
  <conditionalFormatting sqref="K27">
    <cfRule type="cellIs" dxfId="18" priority="13" operator="between">
      <formula>0.76</formula>
      <formula>1</formula>
    </cfRule>
    <cfRule type="cellIs" dxfId="17" priority="14" operator="between">
      <formula>0.51</formula>
      <formula>0.75</formula>
    </cfRule>
    <cfRule type="cellIs" dxfId="16" priority="15" operator="between">
      <formula>0.26</formula>
      <formula>0.5</formula>
    </cfRule>
  </conditionalFormatting>
  <conditionalFormatting sqref="K29">
    <cfRule type="cellIs" dxfId="14" priority="9" operator="between">
      <formula>0.76</formula>
      <formula>1</formula>
    </cfRule>
    <cfRule type="cellIs" dxfId="13" priority="10" operator="between">
      <formula>0.51</formula>
      <formula>0.75</formula>
    </cfRule>
    <cfRule type="cellIs" dxfId="12" priority="11" operator="between">
      <formula>0.26</formula>
      <formula>0.5</formula>
    </cfRule>
  </conditionalFormatting>
  <conditionalFormatting sqref="K31">
    <cfRule type="cellIs" dxfId="10" priority="5" operator="between">
      <formula>0.76</formula>
      <formula>1</formula>
    </cfRule>
    <cfRule type="cellIs" dxfId="9" priority="6" operator="between">
      <formula>0.51</formula>
      <formula>0.75</formula>
    </cfRule>
    <cfRule type="cellIs" dxfId="8" priority="7" operator="between">
      <formula>0.26</formula>
      <formula>0.5</formula>
    </cfRule>
  </conditionalFormatting>
  <conditionalFormatting sqref="K33">
    <cfRule type="cellIs" dxfId="6" priority="1" operator="between">
      <formula>0.76</formula>
      <formula>1</formula>
    </cfRule>
    <cfRule type="cellIs" dxfId="5" priority="2" operator="between">
      <formula>0.51</formula>
      <formula>0.75</formula>
    </cfRule>
    <cfRule type="cellIs" dxfId="4" priority="3" operator="between">
      <formula>0.26</formula>
      <formula>0.5</formula>
    </cfRule>
  </conditionalFormatting>
  <conditionalFormatting sqref="M7">
    <cfRule type="cellIs" priority="21" operator="between">
      <formula>0.76</formula>
      <formula>1</formula>
    </cfRule>
    <cfRule type="cellIs" dxfId="2" priority="22" operator="between">
      <formula>0.51</formula>
      <formula>0.75</formula>
    </cfRule>
    <cfRule type="cellIs" dxfId="1" priority="23" operator="between">
      <formula>0.26</formula>
      <formula>0.5</formula>
    </cfRule>
    <cfRule type="cellIs" dxfId="0" priority="24" operator="between">
      <formula>0</formula>
      <formula>0.25</formula>
    </cfRule>
  </conditionalFormatting>
  <dataValidations disablePrompts="1" count="4">
    <dataValidation type="list" allowBlank="1" showInputMessage="1" showErrorMessage="1" sqref="E19" xr:uid="{2F87B59D-1FAB-4A13-AAEB-8DC32BCC07D6}">
      <formula1>"Si,No,En proceso"</formula1>
    </dataValidation>
    <dataValidation type="list" allowBlank="1" showInputMessage="1" showErrorMessage="1" sqref="E20:E21" xr:uid="{54C463F6-90F5-4400-8654-2D01E110C78E}">
      <formula1>"Si, No"</formula1>
    </dataValidation>
    <dataValidation type="list" allowBlank="1" showInputMessage="1" showErrorMessage="1" sqref="N19:O19" xr:uid="{8FE3BF93-AD46-4583-A9DE-69D6CDF1E341}">
      <formula1>"Si,No"</formula1>
    </dataValidation>
    <dataValidation allowBlank="1" showInputMessage="1" showErrorMessage="1" prompt="Celda formulada, información proveniente de la pestaña de deficiencias." sqref="E23" xr:uid="{0907FB37-7F8A-41B1-8F14-4B8075583574}"/>
  </dataValidations>
  <pageMargins left="0.39370078740157483" right="0.39370078740157483" top="0.39370078740157483" bottom="0.39370078740157483" header="0.31496062992125984" footer="0.31496062992125984"/>
  <pageSetup scale="65" orientation="landscape" verticalDpi="300" r:id="rId1"/>
  <drawing r:id="rId2"/>
  <extLst>
    <ext xmlns:x14="http://schemas.microsoft.com/office/spreadsheetml/2009/9/main" uri="{78C0D931-6437-407d-A8EE-F0AAD7539E65}">
      <x14:conditionalFormattings>
        <x14:conditionalFormatting xmlns:xm="http://schemas.microsoft.com/office/excel/2006/main">
          <x14:cfRule type="cellIs" priority="28" operator="between" id="{A54219C1-8E0D-486E-8D07-E73AC67918C8}">
            <xm:f>0</xm:f>
            <xm:f>'Analisis de Resultados'!$I$10</xm:f>
            <x14:dxf>
              <fill>
                <patternFill>
                  <bgColor rgb="FFFF0000"/>
                </patternFill>
              </fill>
            </x14:dxf>
          </x14:cfRule>
          <xm:sqref>G25 G27 G29 G31 G33</xm:sqref>
        </x14:conditionalFormatting>
        <x14:conditionalFormatting xmlns:xm="http://schemas.microsoft.com/office/excel/2006/main">
          <x14:cfRule type="cellIs" priority="20" operator="between" id="{749E60DE-0A0D-4FBE-A7F2-86BD7EB44450}">
            <xm:f>0</xm:f>
            <xm:f>'Analisis de Resultados'!$I$10</xm:f>
            <x14:dxf>
              <fill>
                <patternFill>
                  <bgColor rgb="FFFF0000"/>
                </patternFill>
              </fill>
            </x14:dxf>
          </x14:cfRule>
          <xm:sqref>K25</xm:sqref>
        </x14:conditionalFormatting>
        <x14:conditionalFormatting xmlns:xm="http://schemas.microsoft.com/office/excel/2006/main">
          <x14:cfRule type="cellIs" priority="16" operator="between" id="{9BD84DDE-15B0-481B-9E57-9A8F7FA716A7}">
            <xm:f>0</xm:f>
            <xm:f>'Analisis de Resultados'!$I$10</xm:f>
            <x14:dxf>
              <fill>
                <patternFill>
                  <bgColor rgb="FFFF0000"/>
                </patternFill>
              </fill>
            </x14:dxf>
          </x14:cfRule>
          <xm:sqref>K27</xm:sqref>
        </x14:conditionalFormatting>
        <x14:conditionalFormatting xmlns:xm="http://schemas.microsoft.com/office/excel/2006/main">
          <x14:cfRule type="cellIs" priority="12" operator="between" id="{481239AB-2C4D-443E-AF87-EB311EA2625E}">
            <xm:f>0</xm:f>
            <xm:f>'Analisis de Resultados'!$I$10</xm:f>
            <x14:dxf>
              <fill>
                <patternFill>
                  <bgColor rgb="FFFF0000"/>
                </patternFill>
              </fill>
            </x14:dxf>
          </x14:cfRule>
          <xm:sqref>K29</xm:sqref>
        </x14:conditionalFormatting>
        <x14:conditionalFormatting xmlns:xm="http://schemas.microsoft.com/office/excel/2006/main">
          <x14:cfRule type="cellIs" priority="8" operator="between" id="{58E70B65-43B2-472C-A567-4F0E7EB74A29}">
            <xm:f>0</xm:f>
            <xm:f>'Analisis de Resultados'!$I$10</xm:f>
            <x14:dxf>
              <fill>
                <patternFill>
                  <bgColor rgb="FFFF0000"/>
                </patternFill>
              </fill>
            </x14:dxf>
          </x14:cfRule>
          <xm:sqref>K31</xm:sqref>
        </x14:conditionalFormatting>
        <x14:conditionalFormatting xmlns:xm="http://schemas.microsoft.com/office/excel/2006/main">
          <x14:cfRule type="cellIs" priority="4" operator="between" id="{F8D63D02-E6CD-4659-BC9D-29906B46883A}">
            <xm:f>0</xm:f>
            <xm:f>'Analisis de Resultados'!$I$10</xm:f>
            <x14:dxf>
              <fill>
                <patternFill>
                  <bgColor rgb="FFFF0000"/>
                </patternFill>
              </fill>
            </x14:dxf>
          </x14:cfRule>
          <xm:sqref>K33</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2FD38-3C33-4764-BAA4-952AB8D2C5BC}">
  <dimension ref="A1:B16"/>
  <sheetViews>
    <sheetView workbookViewId="0">
      <selection activeCell="C10" sqref="C10"/>
    </sheetView>
  </sheetViews>
  <sheetFormatPr baseColWidth="10" defaultColWidth="11.44140625" defaultRowHeight="13.2" x14ac:dyDescent="0.25"/>
  <cols>
    <col min="1" max="1" width="42.6640625" customWidth="1"/>
  </cols>
  <sheetData>
    <row r="1" spans="1:2" x14ac:dyDescent="0.25">
      <c r="A1" t="s">
        <v>283</v>
      </c>
      <c r="B1" t="s">
        <v>289</v>
      </c>
    </row>
    <row r="2" spans="1:2" x14ac:dyDescent="0.25">
      <c r="A2" t="s">
        <v>330</v>
      </c>
      <c r="B2" t="s">
        <v>282</v>
      </c>
    </row>
    <row r="3" spans="1:2" x14ac:dyDescent="0.25">
      <c r="A3" t="s">
        <v>297</v>
      </c>
      <c r="B3" t="s">
        <v>277</v>
      </c>
    </row>
    <row r="4" spans="1:2" x14ac:dyDescent="0.25">
      <c r="A4" t="s">
        <v>647</v>
      </c>
    </row>
    <row r="5" spans="1:2" x14ac:dyDescent="0.25">
      <c r="A5" t="s">
        <v>648</v>
      </c>
    </row>
    <row r="6" spans="1:2" x14ac:dyDescent="0.25">
      <c r="A6" t="s">
        <v>649</v>
      </c>
    </row>
    <row r="7" spans="1:2" x14ac:dyDescent="0.25">
      <c r="A7" t="s">
        <v>650</v>
      </c>
    </row>
    <row r="8" spans="1:2" x14ac:dyDescent="0.25">
      <c r="A8" t="s">
        <v>651</v>
      </c>
    </row>
    <row r="9" spans="1:2" x14ac:dyDescent="0.25">
      <c r="A9" t="s">
        <v>652</v>
      </c>
    </row>
    <row r="10" spans="1:2" x14ac:dyDescent="0.25">
      <c r="A10" t="s">
        <v>653</v>
      </c>
    </row>
    <row r="11" spans="1:2" x14ac:dyDescent="0.25">
      <c r="A11" t="s">
        <v>290</v>
      </c>
    </row>
    <row r="12" spans="1:2" x14ac:dyDescent="0.25">
      <c r="A12" t="s">
        <v>654</v>
      </c>
    </row>
    <row r="13" spans="1:2" x14ac:dyDescent="0.25">
      <c r="A13" t="s">
        <v>341</v>
      </c>
    </row>
    <row r="14" spans="1:2" x14ac:dyDescent="0.25">
      <c r="A14" t="s">
        <v>333</v>
      </c>
    </row>
    <row r="15" spans="1:2" x14ac:dyDescent="0.25">
      <c r="A15" t="s">
        <v>301</v>
      </c>
    </row>
    <row r="16" spans="1:2" x14ac:dyDescent="0.25">
      <c r="A16" t="s">
        <v>278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82"/>
  <sheetViews>
    <sheetView workbookViewId="0"/>
  </sheetViews>
  <sheetFormatPr baseColWidth="10" defaultColWidth="11.44140625" defaultRowHeight="13.2" x14ac:dyDescent="0.25"/>
  <cols>
    <col min="2" max="4" width="22.33203125" customWidth="1"/>
    <col min="5" max="5" width="34.44140625" customWidth="1"/>
    <col min="6" max="6" width="36.44140625" bestFit="1" customWidth="1"/>
    <col min="8" max="8" width="12.33203125" bestFit="1" customWidth="1"/>
    <col min="9" max="9" width="12.6640625" customWidth="1"/>
    <col min="13" max="14" width="17.44140625" customWidth="1"/>
  </cols>
  <sheetData>
    <row r="1" spans="1:19" ht="81.75" customHeight="1" x14ac:dyDescent="0.25">
      <c r="A1" s="124" t="s">
        <v>111</v>
      </c>
      <c r="B1" s="124" t="s">
        <v>655</v>
      </c>
      <c r="C1" s="123" t="s">
        <v>656</v>
      </c>
      <c r="D1" s="123" t="s">
        <v>657</v>
      </c>
      <c r="E1" s="123" t="s">
        <v>658</v>
      </c>
      <c r="F1" s="124" t="s">
        <v>152</v>
      </c>
      <c r="G1" s="122" t="s">
        <v>659</v>
      </c>
      <c r="H1" s="122" t="s">
        <v>660</v>
      </c>
      <c r="I1" s="122" t="s">
        <v>661</v>
      </c>
      <c r="J1" s="122" t="s">
        <v>80</v>
      </c>
      <c r="K1" s="122" t="s">
        <v>89</v>
      </c>
      <c r="L1" s="122" t="s">
        <v>662</v>
      </c>
      <c r="M1" s="47" t="s">
        <v>663</v>
      </c>
      <c r="N1" s="47"/>
    </row>
    <row r="2" spans="1:19" ht="12.75" customHeight="1" x14ac:dyDescent="0.25">
      <c r="A2" s="116" t="s">
        <v>435</v>
      </c>
      <c r="B2" s="116" t="str">
        <f>+LEFT(A2,1)</f>
        <v>1</v>
      </c>
      <c r="C2" s="116" t="str">
        <f>+MID(VLOOKUP(A2,'Ambiente de Control'!$B$21:$C$254,2,0),4,LEN(VLOOKUP(A2,'Ambiente de Control'!$B$21:$C$254,2,0))-4)</f>
        <v xml:space="preserve"> Aplicación del Código de Integridad. (incluye análisis de desviaciones, convivencia laboral, temas disciplinarios internos, quejas o denuncias sobres los servidores de la entidad, u otros temas relacionados)</v>
      </c>
      <c r="D2" s="116" t="s">
        <v>436</v>
      </c>
      <c r="E2" s="116" t="str">
        <f>+VLOOKUP(A2,'Ambiente de Control'!$B$21:$D$254,3,0)</f>
        <v>Dimensión Talento Humano
Política Integridad</v>
      </c>
      <c r="F2" s="116" t="str">
        <f>+VLOOKUP(A2,'Ambiente de Control'!$B$21:$K$254,10,0)</f>
        <v>Mantenimiento del control</v>
      </c>
      <c r="G2" s="116">
        <f>+VLOOKUP(A2,'Ambiente de Control'!$B$21:$O$40,13)</f>
        <v>60.045870000000001</v>
      </c>
      <c r="H2" s="118">
        <f>+_xlfn.RANK.EQ(G2,$G$2:$G$82,1)</f>
        <v>2</v>
      </c>
      <c r="I2" s="116" t="str">
        <f t="shared" ref="I2:I33" si="0">+IF(F2=$F$2,$P$4,IF(F2=$F$3,$P$2,$P$3))</f>
        <v>Cuando en el análisis de los requerimientos en los diferenes componentes del MECI se cuente con aspectos evaluados en nivel 1 (presente) y 1 (funcionando); 2 (presente) y 1 (funcionando).</v>
      </c>
      <c r="J2" s="116" t="s">
        <v>437</v>
      </c>
      <c r="K2" s="116">
        <f>+IF(ISBLANK(VLOOKUP(A2,'Ambiente de Control'!$B$24:$F$254,5,0)),"",VLOOKUP(A2,'Ambiente de Control'!$B$24:$F$254,5,0))</f>
        <v>3</v>
      </c>
      <c r="L2" s="116">
        <f>+IF(ISBLANK(VLOOKUP(A2,'Ambiente de Control'!$B$24:$K$254,9,0)),"",VLOOKUP(A2,'Ambiente de Control'!$B$24:$K$254,9,0))</f>
        <v>3</v>
      </c>
      <c r="M2" s="116">
        <f>+IF(OR(AND(K2=1,L2=1),AND(ISBLANK(K2),ISBLANK(L2)),K2="",L2=""),0,IF(OR(AND(K2=1,L2=2),AND(K2=1,L2=3)),0.25,IF(OR(AND(K2=2,L2=2),AND(K2=3,L2=1),AND(K2=3,L2=2),AND(K2=2,L2=1)),0.5,IF(AND(K2=2,L2=3),0.75,1))))</f>
        <v>1</v>
      </c>
      <c r="N2" s="116">
        <f>+AVERAGEIF($D$2:$D$82,D2,$M$2:$M$82)</f>
        <v>0.97916666666666663</v>
      </c>
      <c r="O2" s="114" t="s">
        <v>27</v>
      </c>
      <c r="P2" s="115" t="s">
        <v>664</v>
      </c>
      <c r="Q2" s="115"/>
      <c r="R2" s="116"/>
      <c r="S2" s="116"/>
    </row>
    <row r="3" spans="1:19" ht="12.75" customHeight="1" x14ac:dyDescent="0.25">
      <c r="A3" s="116" t="s">
        <v>439</v>
      </c>
      <c r="B3" s="116" t="str">
        <f t="shared" ref="B3:B42" si="1">+LEFT(A3,1)</f>
        <v>1</v>
      </c>
      <c r="C3" s="116" t="str">
        <f>+MID(VLOOKUP(A3,'Ambiente de Control'!$B$21:$C$254,2,0),4,LEN(VLOOKUP(A3,'Ambiente de Control'!$B$21:$C$254,2,0))-4)</f>
        <v xml:space="preserve"> Mecanismos para el manejo de conflictos de interés.</v>
      </c>
      <c r="D3" s="116" t="s">
        <v>436</v>
      </c>
      <c r="E3" s="116" t="str">
        <f>+VLOOKUP(A3,'Ambiente de Control'!$B$21:$D$254,3,0)</f>
        <v>Dimensión Talento Humano
Política Integridad</v>
      </c>
      <c r="F3" s="116" t="str">
        <f>+VLOOKUP(A3,'Ambiente de Control'!$B$21:$K$254,10,0)</f>
        <v>Mantenimiento del control</v>
      </c>
      <c r="G3" s="116">
        <f>+VLOOKUP(A3,'Ambiente de Control'!$B$21:$O$254,13,0)</f>
        <v>60.055689999999998</v>
      </c>
      <c r="H3" s="118">
        <f t="shared" ref="H3:H70" si="2">+_xlfn.RANK.EQ(G3,$G$2:$G$82,1)</f>
        <v>3</v>
      </c>
      <c r="I3" s="116" t="str">
        <f t="shared" si="0"/>
        <v>Cuando en el análisis de los requerimientos en los diferenes componentes del MECI se cuente con aspectos evaluados en nivel 1 (presente) y 1 (funcionando); 2 (presente) y 1 (funcionando).</v>
      </c>
      <c r="J3" s="116" t="s">
        <v>437</v>
      </c>
      <c r="K3" s="116">
        <f>+IF(ISBLANK(VLOOKUP(A3,'Ambiente de Control'!$B$24:$F$254,5,0)),"",VLOOKUP(A3,'Ambiente de Control'!$B$24:$F$254,5,0))</f>
        <v>3</v>
      </c>
      <c r="L3" s="116">
        <f>+IF(ISBLANK(VLOOKUP(A3,'Ambiente de Control'!$B$24:$K$254,9,0)),"",VLOOKUP(A3,'Ambiente de Control'!$B$24:$K$254,9,0))</f>
        <v>3</v>
      </c>
      <c r="M3" s="116">
        <f>+IF(OR(AND(K3=1,L3=1),AND(ISBLANK(K3),ISBLANK(L3)),K3="",L3=""),0,IF(OR(AND(K3=1,L3=2),AND(K3=1,L3=3)),0.25,IF(OR(AND(K3=2,L3=2),AND(K3=3,L3=1),AND(K3=3,L3=2),AND(K3=2,L3=1)),0.5,IF(AND(K3=2,L3=3),0.75,1))))</f>
        <v>1</v>
      </c>
      <c r="N3" s="116">
        <f t="shared" ref="N3:N70" si="3">+AVERAGEIF($D$2:$D$82,D3,$M$2:$M$82)</f>
        <v>0.97916666666666663</v>
      </c>
      <c r="O3" s="117" t="s">
        <v>30</v>
      </c>
      <c r="P3" s="115" t="s">
        <v>665</v>
      </c>
      <c r="Q3" s="115"/>
      <c r="R3" s="116" t="s">
        <v>666</v>
      </c>
      <c r="S3" s="116"/>
    </row>
    <row r="4" spans="1:19" ht="16.5" customHeight="1" x14ac:dyDescent="0.25">
      <c r="A4" s="116" t="s">
        <v>141</v>
      </c>
      <c r="B4" s="116" t="str">
        <f t="shared" si="1"/>
        <v>1</v>
      </c>
      <c r="C4" s="116" t="str">
        <f>+MID(VLOOKUP(A4,'Ambiente de Control'!$B$21:$C$254,2,0),4,LEN(VLOOKUP(A4,'Ambiente de Control'!$B$21:$C$254,2,0))-4)</f>
        <v xml:space="preserve"> Mecanismos frente a la detección y prevención del uso inadecuado de información privilegiada u otras situaciones que puedan implicar riesgos para la entidad</v>
      </c>
      <c r="D4" s="116" t="s">
        <v>436</v>
      </c>
      <c r="E4" s="116" t="str">
        <f>+VLOOKUP(A4,'Ambiente de Control'!$B$21:$D$254,3,0)</f>
        <v>Dimensión Información y Comunicación
Política Transparencia y Acceso a la Información Pública
Política Gestión Documental</v>
      </c>
      <c r="F4" s="116" t="str">
        <f>+VLOOKUP(A4,'Ambiente de Control'!$B$21:$K$254,10,0)</f>
        <v>Mantenimiento del control</v>
      </c>
      <c r="G4" s="116">
        <f>+VLOOKUP(A4,'Ambiente de Control'!$B$21:$O$254,13,0)</f>
        <v>60.066896</v>
      </c>
      <c r="H4" s="118">
        <f t="shared" si="2"/>
        <v>4</v>
      </c>
      <c r="I4" s="116" t="str">
        <f t="shared" si="0"/>
        <v>Cuando en el análisis de los requerimientos en los diferenes componentes del MECI se cuente con aspectos evaluados en nivel 1 (presente) y 1 (funcionando); 2 (presente) y 1 (funcionando).</v>
      </c>
      <c r="J4" s="116" t="s">
        <v>437</v>
      </c>
      <c r="K4" s="116">
        <f>+IF(ISBLANK(VLOOKUP(A4,'Ambiente de Control'!$B$24:$F$254,5,0)),"",VLOOKUP(A4,'Ambiente de Control'!$B$24:$F$254,5,0))</f>
        <v>3</v>
      </c>
      <c r="L4" s="116">
        <f>+IF(ISBLANK(VLOOKUP(A4,'Ambiente de Control'!$B$24:$K$254,9,0)),"",VLOOKUP(A4,'Ambiente de Control'!$B$24:$K$254,9,0))</f>
        <v>3</v>
      </c>
      <c r="M4" s="116">
        <f t="shared" ref="M4:M67" si="4">+IF(OR(AND(K4=1,L4=1),AND(ISBLANK(K4),ISBLANK(L4)),K4="",L4=""),0,IF(OR(AND(K4=1,L4=2),AND(K4=1,L4=3)),0.25,IF(OR(AND(K4=2,L4=2),AND(K4=3,L4=1),AND(K4=3,L4=2),AND(K4=2,L4=1)),0.5,IF(AND(K4=2,L4=3),0.75,1))))</f>
        <v>1</v>
      </c>
      <c r="N4" s="116">
        <f t="shared" si="3"/>
        <v>0.97916666666666663</v>
      </c>
      <c r="O4" s="117" t="s">
        <v>33</v>
      </c>
      <c r="P4" s="115" t="s">
        <v>667</v>
      </c>
      <c r="Q4" s="115"/>
      <c r="R4" s="116"/>
      <c r="S4" s="116"/>
    </row>
    <row r="5" spans="1:19" x14ac:dyDescent="0.25">
      <c r="A5" s="116" t="s">
        <v>442</v>
      </c>
      <c r="B5" s="116" t="str">
        <f t="shared" si="1"/>
        <v>1</v>
      </c>
      <c r="C5" s="116" t="str">
        <f>+MID(VLOOKUP(A5,'Ambiente de Control'!$B$21:$C$254,2,0),4,LEN(VLOOKUP(A5,'Ambiente de Control'!$B$21:$C$254,2,0))-4)</f>
        <v xml:space="preserve"> La evaluación de las acciones transversales de integridad, mediante el monitoreo permanente de los riesgos de corrupción.</v>
      </c>
      <c r="D5" s="116" t="s">
        <v>436</v>
      </c>
      <c r="E5" s="116" t="str">
        <f>+VLOOKUP(A5,'Ambiente de Control'!$B$21:$D$254,3,0)</f>
        <v>Dimensión Talento Humano
Política de Integridad</v>
      </c>
      <c r="F5" s="116" t="str">
        <f>+VLOOKUP(A5,'Ambiente de Control'!$B$21:$K$254,10,0)</f>
        <v>Deficiencia de control (diseño o ejecución)</v>
      </c>
      <c r="G5" s="116">
        <f>+VLOOKUP(A5,'Ambiente de Control'!$B$21:$O$254,13,0)</f>
        <v>20.06691</v>
      </c>
      <c r="H5" s="118">
        <f t="shared" si="2"/>
        <v>1</v>
      </c>
      <c r="I5" s="116" t="str">
        <f t="shared" si="0"/>
        <v>Cuando en el análisis de los requerimientos en los diferenes componentes del MECI se cuente con aspectos evaluados en nivel 2 (presente) y 2 (funcionando); 3 (presente) y 1 (funcionando); 3 (presente) y 2 (funcionando).</v>
      </c>
      <c r="J5" s="116" t="s">
        <v>437</v>
      </c>
      <c r="K5" s="116">
        <f>+IF(ISBLANK(VLOOKUP(A5,'Ambiente de Control'!$B$24:$F$254,5,0)),"",VLOOKUP(A5,'Ambiente de Control'!$B$24:$F$254,5,0))</f>
        <v>3</v>
      </c>
      <c r="L5" s="116">
        <f>+IF(ISBLANK(VLOOKUP(A5,'Ambiente de Control'!$B$24:$K$254,9,0)),"",VLOOKUP(A5,'Ambiente de Control'!$B$24:$K$254,9,0))</f>
        <v>2</v>
      </c>
      <c r="M5" s="116">
        <f t="shared" si="4"/>
        <v>0.5</v>
      </c>
      <c r="N5" s="116">
        <f t="shared" si="3"/>
        <v>0.97916666666666663</v>
      </c>
      <c r="O5" s="116"/>
      <c r="P5" s="116"/>
    </row>
    <row r="6" spans="1:19" x14ac:dyDescent="0.25">
      <c r="A6" s="116" t="s">
        <v>444</v>
      </c>
      <c r="B6" s="116" t="str">
        <f t="shared" si="1"/>
        <v>1</v>
      </c>
      <c r="C6" s="116" t="str">
        <f>+MID(VLOOKUP(A6,'Ambiente de Control'!$B$21:$C$254,2,0),4,LEN(VLOOKUP(A6,'Ambiente de Control'!$B$21:$C$254,2,0))-4)</f>
        <v xml:space="preserve"> Análisis sobre viabilidad para el establecimiento de una línea de denuncia interna sobre situaciones irregulares o posibles incumplimientos al código de integridad. NOTA: Si la entidad ya cuenta con esta línea en funcionamiento, establezca si ha aportado para la mejora de los mapas de riesgos o bien en otros ámbitos organizacionales.</v>
      </c>
      <c r="D6" s="116" t="s">
        <v>436</v>
      </c>
      <c r="E6" s="116" t="str">
        <f>+VLOOKUP(A6,'Ambiente de Control'!$B$21:$D$254,3,0)</f>
        <v>Dimensión Direccionamiento Estratégico y Planeación
Plan Anticorrupción y de Atención al Ciudadano</v>
      </c>
      <c r="F6" s="116" t="str">
        <f>+VLOOKUP(A6,'Ambiente de Control'!$B$21:$K$254,10,0)</f>
        <v>Mantenimiento del control</v>
      </c>
      <c r="G6" s="116">
        <f>+VLOOKUP(A6,'Ambiente de Control'!$B$21:$O$254,13,0)</f>
        <v>60.06691</v>
      </c>
      <c r="H6" s="118">
        <f t="shared" si="2"/>
        <v>5</v>
      </c>
      <c r="I6" s="116" t="str">
        <f t="shared" si="0"/>
        <v>Cuando en el análisis de los requerimientos en los diferenes componentes del MECI se cuente con aspectos evaluados en nivel 1 (presente) y 1 (funcionando); 2 (presente) y 1 (funcionando).</v>
      </c>
      <c r="J6" s="116" t="s">
        <v>437</v>
      </c>
      <c r="K6" s="116">
        <f>+IF(ISBLANK(VLOOKUP(A6,'Ambiente de Control'!$B$24:$F$254,5,0)),"",VLOOKUP(A6,'Ambiente de Control'!$B$24:$F$254,5,0))</f>
        <v>3</v>
      </c>
      <c r="L6" s="116">
        <f>+IF(ISBLANK(VLOOKUP(A6,'Ambiente de Control'!$B$24:$K$254,9,0)),"",VLOOKUP(A6,'Ambiente de Control'!$B$24:$K$254,9,0))</f>
        <v>3</v>
      </c>
      <c r="M6" s="116">
        <f t="shared" si="4"/>
        <v>1</v>
      </c>
      <c r="N6" s="116">
        <f t="shared" si="3"/>
        <v>0.97916666666666663</v>
      </c>
      <c r="O6" s="116"/>
      <c r="P6" s="116"/>
    </row>
    <row r="7" spans="1:19" x14ac:dyDescent="0.25">
      <c r="A7" s="116" t="s">
        <v>446</v>
      </c>
      <c r="B7" s="116" t="str">
        <f t="shared" si="1"/>
        <v>2</v>
      </c>
      <c r="C7" s="116" t="str">
        <f>+MID(VLOOKUP(A7,'Ambiente de Control'!$B$21:$C$254,2,0),4,LEN(VLOOKUP(A7,'Ambiente de Control'!$B$21:$C$254,2,0))-4)</f>
        <v xml:space="preserve"> Creación o actualización del Comité Institucional de Coordinación de Control Interno (incluye ajustes en periodicidad para reunión, articulación con el Comité Institucional de Gestión y Desempeño)</v>
      </c>
      <c r="D7" s="116" t="s">
        <v>436</v>
      </c>
      <c r="E7" s="116" t="str">
        <f>+VLOOKUP(A7,'Ambiente de Control'!$B$21:$D$254,3,0)</f>
        <v>Dimensión Control Interno
Política de Control Interno</v>
      </c>
      <c r="F7" s="116" t="str">
        <f>+VLOOKUP(A7,'Ambiente de Control'!$B$21:$K$254,10,0)</f>
        <v>Mantenimiento del control</v>
      </c>
      <c r="G7" s="116">
        <f>+VLOOKUP(A7,'Ambiente de Control'!$B$21:$O$254,13,0)</f>
        <v>60.088965299999998</v>
      </c>
      <c r="H7" s="118">
        <f t="shared" si="2"/>
        <v>6</v>
      </c>
      <c r="I7" s="116" t="str">
        <f t="shared" si="0"/>
        <v>Cuando en el análisis de los requerimientos en los diferenes componentes del MECI se cuente con aspectos evaluados en nivel 1 (presente) y 1 (funcionando); 2 (presente) y 1 (funcionando).</v>
      </c>
      <c r="J7" s="116" t="s">
        <v>447</v>
      </c>
      <c r="K7" s="116">
        <f>+IF(ISBLANK(VLOOKUP(A7,'Ambiente de Control'!$B$24:$F$254,5,0)),"",VLOOKUP(A7,'Ambiente de Control'!$B$24:$F$254,5,0))</f>
        <v>3</v>
      </c>
      <c r="L7" s="116">
        <f>+IF(ISBLANK(VLOOKUP(A7,'Ambiente de Control'!$B$24:$K$254,9,0)),"",VLOOKUP(A7,'Ambiente de Control'!$B$24:$K$254,9,0))</f>
        <v>3</v>
      </c>
      <c r="M7" s="116">
        <f t="shared" si="4"/>
        <v>1</v>
      </c>
      <c r="N7" s="116">
        <f t="shared" si="3"/>
        <v>0.97916666666666663</v>
      </c>
      <c r="O7" s="116"/>
      <c r="P7" s="116"/>
    </row>
    <row r="8" spans="1:19" x14ac:dyDescent="0.25">
      <c r="A8" s="116" t="s">
        <v>449</v>
      </c>
      <c r="B8" s="116" t="str">
        <f t="shared" si="1"/>
        <v>2</v>
      </c>
      <c r="C8" s="116" t="str">
        <f>+MID(VLOOKUP(A8,'Ambiente de Control'!$B$21:$C$254,2,0),4,LEN(VLOOKUP(A8,'Ambiente de Control'!$B$21:$C$254,2,0))-4)</f>
        <v xml:space="preserve"> Definición y documentación del Esquema de Líneas de Defens</v>
      </c>
      <c r="D8" s="116" t="s">
        <v>436</v>
      </c>
      <c r="E8" s="116" t="str">
        <f>+VLOOKUP(A8,'Ambiente de Control'!$B$21:$D$254,3,0)</f>
        <v>Dimensión Control Interno
Política de Control Interno
Líneas de defensa</v>
      </c>
      <c r="F8" s="116" t="str">
        <f>+VLOOKUP(A8,'Ambiente de Control'!$B$21:$K$254,10,0)</f>
        <v>Mantenimiento del control</v>
      </c>
      <c r="G8" s="116">
        <f>+VLOOKUP(A8,'Ambiente de Control'!$B$21:$O$254,13,0)</f>
        <v>60.098965300000003</v>
      </c>
      <c r="H8" s="118">
        <f t="shared" si="2"/>
        <v>7</v>
      </c>
      <c r="I8" s="116" t="str">
        <f t="shared" si="0"/>
        <v>Cuando en el análisis de los requerimientos en los diferenes componentes del MECI se cuente con aspectos evaluados en nivel 1 (presente) y 1 (funcionando); 2 (presente) y 1 (funcionando).</v>
      </c>
      <c r="J8" s="116" t="s">
        <v>447</v>
      </c>
      <c r="K8" s="116">
        <f>+IF(ISBLANK(VLOOKUP(A8,'Ambiente de Control'!$B$24:$F$254,5,0)),"",VLOOKUP(A8,'Ambiente de Control'!$B$24:$F$254,5,0))</f>
        <v>3</v>
      </c>
      <c r="L8" s="116">
        <f>+IF(ISBLANK(VLOOKUP(A8,'Ambiente de Control'!$B$24:$K$254,9,0)),"",VLOOKUP(A8,'Ambiente de Control'!$B$24:$K$254,9,0))</f>
        <v>3</v>
      </c>
      <c r="M8" s="116">
        <f t="shared" si="4"/>
        <v>1</v>
      </c>
      <c r="N8" s="116">
        <f t="shared" si="3"/>
        <v>0.97916666666666663</v>
      </c>
      <c r="O8" s="116"/>
      <c r="P8" s="116"/>
    </row>
    <row r="9" spans="1:19" x14ac:dyDescent="0.25">
      <c r="A9" s="116" t="s">
        <v>451</v>
      </c>
      <c r="B9" s="116" t="str">
        <f t="shared" si="1"/>
        <v>2</v>
      </c>
      <c r="C9" s="116" t="str">
        <f>+MID(VLOOKUP(A9,'Ambiente de Control'!$B$21:$C$254,2,0),4,LEN(VLOOKUP(A9,'Ambiente de Control'!$B$21:$C$254,2,0))-4)</f>
        <v xml:space="preserve"> Definición de líneas de reporte en temas clave para la toma de decisiones, atendiendo el Esquema de Líneas de Defens</v>
      </c>
      <c r="D9" s="116" t="s">
        <v>436</v>
      </c>
      <c r="E9" s="116" t="str">
        <f>+VLOOKUP(A9,'Ambiente de Control'!$B$21:$D$254,3,0)</f>
        <v>Dimensión Control Interno
Política de Control Interno
Línea de Defensa
Dimensión de Información y Comunicación</v>
      </c>
      <c r="F9" s="116" t="str">
        <f>+VLOOKUP(A9,'Ambiente de Control'!$B$21:$K$254,10,0)</f>
        <v>Mantenimiento del control</v>
      </c>
      <c r="G9" s="116">
        <f>+VLOOKUP(A9,'Ambiente de Control'!$B$21:$O$254,13,0)</f>
        <v>60.156979999999997</v>
      </c>
      <c r="H9" s="118">
        <f t="shared" si="2"/>
        <v>8</v>
      </c>
      <c r="I9" s="116" t="str">
        <f t="shared" si="0"/>
        <v>Cuando en el análisis de los requerimientos en los diferenes componentes del MECI se cuente con aspectos evaluados en nivel 1 (presente) y 1 (funcionando); 2 (presente) y 1 (funcionando).</v>
      </c>
      <c r="J9" s="116" t="s">
        <v>447</v>
      </c>
      <c r="K9" s="116">
        <f>+IF(ISBLANK(VLOOKUP(A9,'Ambiente de Control'!$B$24:$F$254,5,0)),"",VLOOKUP(A9,'Ambiente de Control'!$B$24:$F$254,5,0))</f>
        <v>3</v>
      </c>
      <c r="L9" s="116">
        <f>+IF(ISBLANK(VLOOKUP(A9,'Ambiente de Control'!$B$24:$K$254,9,0)),"",VLOOKUP(A9,'Ambiente de Control'!$B$24:$K$254,9,0))</f>
        <v>3</v>
      </c>
      <c r="M9" s="116">
        <f t="shared" si="4"/>
        <v>1</v>
      </c>
      <c r="N9" s="116">
        <f t="shared" si="3"/>
        <v>0.97916666666666663</v>
      </c>
      <c r="O9" s="116"/>
      <c r="P9" s="116"/>
    </row>
    <row r="10" spans="1:19" x14ac:dyDescent="0.25">
      <c r="A10" s="116" t="s">
        <v>453</v>
      </c>
      <c r="B10" s="116" t="str">
        <f t="shared" si="1"/>
        <v>3</v>
      </c>
      <c r="C10" s="116" t="str">
        <f>+MID(VLOOKUP(A10,'Ambiente de Control'!$B$21:$C$254,2,0),4,LEN(VLOOKUP(A10,'Ambiente de Control'!$B$21:$C$254,2,0))-4)</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definir ajustes, dificultades para su desarrollo</v>
      </c>
      <c r="D10" s="116" t="s">
        <v>436</v>
      </c>
      <c r="E10" s="116" t="str">
        <f>+VLOOKUP(A10,'Ambiente de Control'!$B$21:$D$254,3,0)</f>
        <v>Dimensión de Direccionamiento Estratégico y Planeación
Política de Planeación Institucional 
Dimensión Control Interno</v>
      </c>
      <c r="F10" s="116" t="str">
        <f>+VLOOKUP(A10,'Ambiente de Control'!$B$21:$K$254,10,0)</f>
        <v>Mantenimiento del control</v>
      </c>
      <c r="G10" s="116">
        <f>+VLOOKUP(A10,'Ambiente de Control'!$B$21:$O$254,13,0)</f>
        <v>60.289650000000002</v>
      </c>
      <c r="H10" s="118">
        <f t="shared" si="2"/>
        <v>9</v>
      </c>
      <c r="I10" s="116" t="str">
        <f t="shared" si="0"/>
        <v>Cuando en el análisis de los requerimientos en los diferenes componentes del MECI se cuente con aspectos evaluados en nivel 1 (presente) y 1 (funcionando); 2 (presente) y 1 (funcionando).</v>
      </c>
      <c r="J10" s="116" t="s">
        <v>454</v>
      </c>
      <c r="K10" s="116">
        <f>+IF(ISBLANK(VLOOKUP(A10,'Ambiente de Control'!$B$24:$F$254,5,0)),"",VLOOKUP(A10,'Ambiente de Control'!$B$24:$F$254,5,0))</f>
        <v>3</v>
      </c>
      <c r="L10" s="116">
        <f>+IF(ISBLANK(VLOOKUP(A10,'Ambiente de Control'!$B$24:$K$254,9,0)),"",VLOOKUP(A10,'Ambiente de Control'!$B$24:$K$254,9,0))</f>
        <v>3</v>
      </c>
      <c r="M10" s="116">
        <f t="shared" si="4"/>
        <v>1</v>
      </c>
      <c r="N10" s="116">
        <f t="shared" si="3"/>
        <v>0.97916666666666663</v>
      </c>
      <c r="O10" s="116"/>
      <c r="P10" s="116"/>
    </row>
    <row r="11" spans="1:19" x14ac:dyDescent="0.25">
      <c r="A11" s="116" t="s">
        <v>458</v>
      </c>
      <c r="B11" s="116" t="str">
        <f t="shared" si="1"/>
        <v>3</v>
      </c>
      <c r="C11" s="116" t="str">
        <f>+MID(VLOOKUP(A11,'Ambiente de Control'!$B$21:$C$254,2,0),4,LEN(VLOOKUP(A11,'Ambiente de Control'!$B$21:$C$254,2,0))-4)</f>
        <v xml:space="preserve"> Evaluación de la planeación estratégica, considerando alertas frente a posibles incumplimientos, necesidades de recursos, cambios en el entorno que puedan afectar su desarrollo, entre otros aspectos que garanticen de forma razonable su cumplimiento</v>
      </c>
      <c r="D11" s="116" t="s">
        <v>436</v>
      </c>
      <c r="E11" s="116" t="str">
        <f>+VLOOKUP(A11,'Ambiente de Control'!$B$21:$D$254,3,0)</f>
        <v>Dimensión Evaluación de Resultados 
Política de Seguimiento y Evaluación al Desempeño Institucional
Dimensión Control Interno
Líneas de defensa</v>
      </c>
      <c r="F11" s="116" t="str">
        <f>+VLOOKUP(A11,'Ambiente de Control'!$B$21:$K$254,10,0)</f>
        <v>Mantenimiento del control</v>
      </c>
      <c r="G11" s="116">
        <f>+VLOOKUP(A11,'Ambiente de Control'!$B$21:$O$254,13,0)</f>
        <v>60.489649999999997</v>
      </c>
      <c r="H11" s="118">
        <f t="shared" si="2"/>
        <v>11</v>
      </c>
      <c r="I11" s="116" t="str">
        <f t="shared" si="0"/>
        <v>Cuando en el análisis de los requerimientos en los diferenes componentes del MECI se cuente con aspectos evaluados en nivel 1 (presente) y 1 (funcionando); 2 (presente) y 1 (funcionando).</v>
      </c>
      <c r="J11" s="116" t="s">
        <v>454</v>
      </c>
      <c r="K11" s="116">
        <f>+IF(ISBLANK(VLOOKUP(A11,'Ambiente de Control'!$B$24:$F$254,5,0)),"",VLOOKUP(A11,'Ambiente de Control'!$B$24:$F$254,5,0))</f>
        <v>3</v>
      </c>
      <c r="L11" s="116">
        <f>+IF(ISBLANK(VLOOKUP(A11,'Ambiente de Control'!$B$24:$K$254,9,0)),"",VLOOKUP(A11,'Ambiente de Control'!$B$24:$K$254,9,0))</f>
        <v>3</v>
      </c>
      <c r="M11" s="116">
        <f t="shared" si="4"/>
        <v>1</v>
      </c>
      <c r="N11" s="116">
        <f t="shared" si="3"/>
        <v>0.97916666666666663</v>
      </c>
      <c r="O11" s="116"/>
      <c r="P11" s="116"/>
    </row>
    <row r="12" spans="1:19" x14ac:dyDescent="0.25">
      <c r="A12" s="116" t="s">
        <v>456</v>
      </c>
      <c r="B12" s="116" t="str">
        <f t="shared" si="1"/>
        <v>3</v>
      </c>
      <c r="C12" s="116" t="str">
        <f>+MID(VLOOKUP(A12,'Ambiente de Control'!$B$21:$C$254,2,0),4,LEN(VLOOKUP(A12,'Ambiente de Control'!$B$21:$C$254,2,0))-4)</f>
        <v xml:space="preserve"> La Alta Dirección frente a la política de Administración del Riesgo definen los niveles de aceptación del riesgo, teniendo en cuenta cada uno de los objetivos establecidos.</v>
      </c>
      <c r="D12" s="116" t="s">
        <v>436</v>
      </c>
      <c r="E12" s="116" t="str">
        <f>+VLOOKUP(A12,'Ambiente de Control'!$B$21:$D$254,3,0)</f>
        <v>Dimensión Control Interno
Política de Control Interno
Línea Estratégica</v>
      </c>
      <c r="F12" s="116" t="str">
        <f>+VLOOKUP(A12,'Ambiente de Control'!$B$21:$K$254,10,0)</f>
        <v>Mantenimiento del control</v>
      </c>
      <c r="G12" s="116">
        <f>+VLOOKUP(A12,'Ambiente de Control'!$B$21:$O$254,13,0)</f>
        <v>60.389653000000003</v>
      </c>
      <c r="H12" s="118">
        <f t="shared" si="2"/>
        <v>10</v>
      </c>
      <c r="I12" s="116" t="str">
        <f t="shared" si="0"/>
        <v>Cuando en el análisis de los requerimientos en los diferenes componentes del MECI se cuente con aspectos evaluados en nivel 1 (presente) y 1 (funcionando); 2 (presente) y 1 (funcionando).</v>
      </c>
      <c r="J12" s="116" t="s">
        <v>454</v>
      </c>
      <c r="K12" s="116">
        <f>+IF(ISBLANK(VLOOKUP(A12,'Ambiente de Control'!$B$24:$F$254,5,0)),"",VLOOKUP(A12,'Ambiente de Control'!$B$24:$F$254,5,0))</f>
        <v>3</v>
      </c>
      <c r="L12" s="116">
        <f>+IF(ISBLANK(VLOOKUP(A12,'Ambiente de Control'!$B$24:$K$254,9,0)),"",VLOOKUP(A12,'Ambiente de Control'!$B$24:$K$254,9,0))</f>
        <v>3</v>
      </c>
      <c r="M12" s="116">
        <f t="shared" si="4"/>
        <v>1</v>
      </c>
      <c r="N12" s="116">
        <f t="shared" si="3"/>
        <v>0.97916666666666663</v>
      </c>
      <c r="O12" s="116"/>
      <c r="P12" s="116"/>
    </row>
    <row r="13" spans="1:19" x14ac:dyDescent="0.25">
      <c r="A13" s="116" t="s">
        <v>460</v>
      </c>
      <c r="B13" s="116" t="str">
        <f t="shared" si="1"/>
        <v>4</v>
      </c>
      <c r="C13" s="116" t="str">
        <f>+MID(VLOOKUP(A13,'Ambiente de Control'!$B$21:$C$254,2,0),4,LEN(VLOOKUP(A13,'Ambiente de Control'!$B$21:$C$254,2,0))-4)</f>
        <v xml:space="preserve"> Evaluación de la Planeación Estratégica del Talento Humano</v>
      </c>
      <c r="D13" s="116" t="s">
        <v>436</v>
      </c>
      <c r="E13" s="116" t="str">
        <f>+VLOOKUP(A13,'Ambiente de Control'!$B$21:$D$254,3,0)</f>
        <v>Dimensión de Talento Humano
Política Gestión Estratégica del Talento Humano
Dimensión de Control Interno
Líneas de Defensa</v>
      </c>
      <c r="F13" s="116" t="str">
        <f>+VLOOKUP(A13,'Ambiente de Control'!$B$21:$K$254,10,0)</f>
        <v>Mantenimiento del control</v>
      </c>
      <c r="G13" s="116">
        <f>+VLOOKUP(A13,'Ambiente de Control'!$B$21:$O$254,13,0)</f>
        <v>60.589649999999999</v>
      </c>
      <c r="H13" s="118">
        <f t="shared" si="2"/>
        <v>12</v>
      </c>
      <c r="I13" s="116" t="str">
        <f t="shared" si="0"/>
        <v>Cuando en el análisis de los requerimientos en los diferenes componentes del MECI se cuente con aspectos evaluados en nivel 1 (presente) y 1 (funcionando); 2 (presente) y 1 (funcionando).</v>
      </c>
      <c r="J13" s="116" t="s">
        <v>461</v>
      </c>
      <c r="K13" s="116">
        <f>+IF(ISBLANK(VLOOKUP(A13,'Ambiente de Control'!$B$24:$F$254,5,0)),"",VLOOKUP(A13,'Ambiente de Control'!$B$24:$F$254,5,0))</f>
        <v>3</v>
      </c>
      <c r="L13" s="116">
        <f>+IF(ISBLANK(VLOOKUP(A13,'Ambiente de Control'!$B$24:$K$254,9,0)),"",VLOOKUP(A13,'Ambiente de Control'!$B$24:$K$254,9,0))</f>
        <v>3</v>
      </c>
      <c r="M13" s="116">
        <f t="shared" si="4"/>
        <v>1</v>
      </c>
      <c r="N13" s="116">
        <f t="shared" si="3"/>
        <v>0.97916666666666663</v>
      </c>
      <c r="O13" s="116"/>
      <c r="P13" s="116"/>
    </row>
    <row r="14" spans="1:19" x14ac:dyDescent="0.25">
      <c r="A14" s="116" t="s">
        <v>463</v>
      </c>
      <c r="B14" s="116" t="str">
        <f t="shared" si="1"/>
        <v>4</v>
      </c>
      <c r="C14" s="116" t="str">
        <f>+MID(VLOOKUP(A14,'Ambiente de Control'!$B$21:$C$254,2,0),4,LEN(VLOOKUP(A14,'Ambiente de Control'!$B$21:$C$254,2,0))-4)</f>
        <v xml:space="preserve"> Evaluación de las actividades relacionadas con el Ingreso del personal</v>
      </c>
      <c r="D14" s="116" t="s">
        <v>436</v>
      </c>
      <c r="E14" s="116" t="str">
        <f>+VLOOKUP(A14,'Ambiente de Control'!$B$21:$D$254,3,0)</f>
        <v>Dimensión de Talento Humano
Política Gestión Estratégica del Talento Humano
Dimensión de Control Interno
Líneas de Defensa</v>
      </c>
      <c r="F14" s="116" t="str">
        <f>+VLOOKUP(A14,'Ambiente de Control'!$B$21:$K$254,10,0)</f>
        <v>Mantenimiento del control</v>
      </c>
      <c r="G14" s="116">
        <f>+VLOOKUP(A14,'Ambiente de Control'!$B$21:$O$254,13,0)</f>
        <v>60.68965</v>
      </c>
      <c r="H14" s="118">
        <f t="shared" si="2"/>
        <v>13</v>
      </c>
      <c r="I14" s="116" t="str">
        <f t="shared" si="0"/>
        <v>Cuando en el análisis de los requerimientos en los diferenes componentes del MECI se cuente con aspectos evaluados en nivel 1 (presente) y 1 (funcionando); 2 (presente) y 1 (funcionando).</v>
      </c>
      <c r="J14" s="116" t="s">
        <v>461</v>
      </c>
      <c r="K14" s="116">
        <f>+IF(ISBLANK(VLOOKUP(A14,'Ambiente de Control'!$B$24:$F$254,5,0)),"",VLOOKUP(A14,'Ambiente de Control'!$B$24:$F$254,5,0))</f>
        <v>3</v>
      </c>
      <c r="L14" s="116">
        <f>+IF(ISBLANK(VLOOKUP(A14,'Ambiente de Control'!$B$24:$K$254,9,0)),"",VLOOKUP(A14,'Ambiente de Control'!$B$24:$K$254,9,0))</f>
        <v>3</v>
      </c>
      <c r="M14" s="116">
        <f t="shared" si="4"/>
        <v>1</v>
      </c>
      <c r="N14" s="116">
        <f t="shared" si="3"/>
        <v>0.97916666666666663</v>
      </c>
      <c r="O14" s="116"/>
      <c r="P14" s="116"/>
    </row>
    <row r="15" spans="1:19" x14ac:dyDescent="0.25">
      <c r="A15" s="116" t="s">
        <v>465</v>
      </c>
      <c r="B15" s="116" t="str">
        <f t="shared" si="1"/>
        <v>4</v>
      </c>
      <c r="C15" s="116" t="str">
        <f>+MID(VLOOKUP(A15,'Ambiente de Control'!$B$21:$C$254,2,0),4,LEN(VLOOKUP(A15,'Ambiente de Control'!$B$21:$C$254,2,0))-4)</f>
        <v xml:space="preserve"> Evaluación de las actividades relacionadas con la permanencia del personal</v>
      </c>
      <c r="D15" s="116" t="s">
        <v>436</v>
      </c>
      <c r="E15" s="116" t="str">
        <f>+VLOOKUP(A15,'Ambiente de Control'!$B$21:$D$254,3,0)</f>
        <v>Dimensión de Talento Humano
Política Gestión Estratégica del Talento Humano
Dimensión de Control Interno
Líneas de Defensa</v>
      </c>
      <c r="F15" s="116" t="str">
        <f>+VLOOKUP(A15,'Ambiente de Control'!$B$21:$K$254,10,0)</f>
        <v>Mantenimiento del control</v>
      </c>
      <c r="G15" s="116">
        <f>+VLOOKUP(A15,'Ambiente de Control'!$B$21:$O$254,13,0)</f>
        <v>60.789650000000002</v>
      </c>
      <c r="H15" s="118">
        <f t="shared" si="2"/>
        <v>14</v>
      </c>
      <c r="I15" s="116" t="str">
        <f t="shared" si="0"/>
        <v>Cuando en el análisis de los requerimientos en los diferenes componentes del MECI se cuente con aspectos evaluados en nivel 1 (presente) y 1 (funcionando); 2 (presente) y 1 (funcionando).</v>
      </c>
      <c r="J15" s="116" t="s">
        <v>461</v>
      </c>
      <c r="K15" s="116">
        <f>+IF(ISBLANK(VLOOKUP(A15,'Ambiente de Control'!$B$24:$F$254,5,0)),"",VLOOKUP(A15,'Ambiente de Control'!$B$24:$F$254,5,0))</f>
        <v>3</v>
      </c>
      <c r="L15" s="116">
        <f>+IF(ISBLANK(VLOOKUP(A15,'Ambiente de Control'!$B$24:$K$254,9,0)),"",VLOOKUP(A15,'Ambiente de Control'!$B$24:$K$254,9,0))</f>
        <v>3</v>
      </c>
      <c r="M15" s="116">
        <f t="shared" si="4"/>
        <v>1</v>
      </c>
      <c r="N15" s="116">
        <f t="shared" si="3"/>
        <v>0.97916666666666663</v>
      </c>
      <c r="O15" s="116"/>
      <c r="P15" s="116"/>
    </row>
    <row r="16" spans="1:19" x14ac:dyDescent="0.25">
      <c r="A16" s="116" t="s">
        <v>467</v>
      </c>
      <c r="B16" s="116" t="str">
        <f t="shared" si="1"/>
        <v>4</v>
      </c>
      <c r="C16" s="116" t="str">
        <f>+MID(VLOOKUP(A16,'Ambiente de Control'!$B$21:$C$254,2,0),4,LEN(VLOOKUP(A16,'Ambiente de Control'!$B$21:$C$254,2,0))-4)</f>
        <v>Analizar si se cuenta con políticas claras y comunicadas relacionadas con la responsabilidad de cada servidor sobre el desarrollo y mantenimiento del control interno (1a línea de defensa</v>
      </c>
      <c r="D16" s="116" t="s">
        <v>436</v>
      </c>
      <c r="E16" s="116" t="str">
        <f>+VLOOKUP(A16,'Ambiente de Control'!$B$21:$D$254,3,0)</f>
        <v>Dimensión de Talento Humano
Política Gestión Estratégica del Talento Humano
Dimensión de Control Interno
Líneas de Defensa</v>
      </c>
      <c r="F16" s="116" t="str">
        <f>+VLOOKUP(A16,'Ambiente de Control'!$B$21:$K$254,10,0)</f>
        <v>Mantenimiento del control</v>
      </c>
      <c r="G16" s="116">
        <f>+VLOOKUP(A16,'Ambiente de Control'!$B$21:$O$254,13,0)</f>
        <v>60.889650000000003</v>
      </c>
      <c r="H16" s="118">
        <f t="shared" si="2"/>
        <v>15</v>
      </c>
      <c r="I16" s="116" t="str">
        <f t="shared" si="0"/>
        <v>Cuando en el análisis de los requerimientos en los diferenes componentes del MECI se cuente con aspectos evaluados en nivel 1 (presente) y 1 (funcionando); 2 (presente) y 1 (funcionando).</v>
      </c>
      <c r="J16" s="116" t="s">
        <v>461</v>
      </c>
      <c r="K16" s="116">
        <f>+IF(ISBLANK(VLOOKUP(A16,'Ambiente de Control'!$B$24:$F$254,5,0)),"",VLOOKUP(A16,'Ambiente de Control'!$B$24:$F$254,5,0))</f>
        <v>3</v>
      </c>
      <c r="L16" s="116">
        <f>+IF(ISBLANK(VLOOKUP(A16,'Ambiente de Control'!$B$24:$K$254,9,0)),"",VLOOKUP(A16,'Ambiente de Control'!$B$24:$K$254,9,0))</f>
        <v>3</v>
      </c>
      <c r="M16" s="116">
        <f t="shared" si="4"/>
        <v>1</v>
      </c>
      <c r="N16" s="116">
        <f t="shared" si="3"/>
        <v>0.97916666666666663</v>
      </c>
      <c r="O16" s="116"/>
      <c r="P16" s="116"/>
    </row>
    <row r="17" spans="1:16" x14ac:dyDescent="0.25">
      <c r="A17" s="116" t="s">
        <v>469</v>
      </c>
      <c r="B17" s="116" t="str">
        <f t="shared" si="1"/>
        <v>4</v>
      </c>
      <c r="C17" s="116" t="str">
        <f>+MID(VLOOKUP(A17,'Ambiente de Control'!$B$21:$C$254,2,0),4,LEN(VLOOKUP(A17,'Ambiente de Control'!$B$21:$C$254,2,0))-4)</f>
        <v xml:space="preserve"> Evaluación de las actividades relacionadas con el retiro del personal</v>
      </c>
      <c r="D17" s="116" t="s">
        <v>436</v>
      </c>
      <c r="E17" s="116" t="str">
        <f>+VLOOKUP(A17,'Ambiente de Control'!$B$21:$D$254,3,0)</f>
        <v>Dimensión de Talento Humano
Política Gestión Estratégica del Talento Humano
Dimensión de Control Interno
Líneas de Defensa</v>
      </c>
      <c r="F17" s="116" t="str">
        <f>+VLOOKUP(A17,'Ambiente de Control'!$B$21:$K$254,10,0)</f>
        <v>Mantenimiento del control</v>
      </c>
      <c r="G17" s="116" t="str">
        <f>+VLOOKUP(A17,'Ambiente de Control'!$B$21:$O$254,13,0)</f>
        <v>verificar</v>
      </c>
      <c r="H17" s="118" t="e">
        <f t="shared" si="2"/>
        <v>#VALUE!</v>
      </c>
      <c r="I17" s="116" t="str">
        <f t="shared" si="0"/>
        <v>Cuando en el análisis de los requerimientos en los diferenes componentes del MECI se cuente con aspectos evaluados en nivel 1 (presente) y 1 (funcionando); 2 (presente) y 1 (funcionando).</v>
      </c>
      <c r="J17" s="116" t="s">
        <v>461</v>
      </c>
      <c r="K17" s="116">
        <f>+IF(ISBLANK(VLOOKUP(A17,'Ambiente de Control'!$B$24:$F$254,5,0)),"",VLOOKUP(A17,'Ambiente de Control'!$B$24:$F$254,5,0))</f>
        <v>3</v>
      </c>
      <c r="L17" s="116">
        <f>+IF(ISBLANK(VLOOKUP(A17,'Ambiente de Control'!$B$24:$K$254,9,0)),"",VLOOKUP(A17,'Ambiente de Control'!$B$24:$K$254,9,0))</f>
        <v>3</v>
      </c>
      <c r="M17" s="116">
        <f t="shared" si="4"/>
        <v>1</v>
      </c>
      <c r="N17" s="116">
        <f t="shared" si="3"/>
        <v>0.97916666666666663</v>
      </c>
      <c r="O17" s="116"/>
      <c r="P17" s="116"/>
    </row>
    <row r="18" spans="1:16" x14ac:dyDescent="0.25">
      <c r="A18" s="116" t="s">
        <v>471</v>
      </c>
      <c r="B18" s="116" t="str">
        <f t="shared" si="1"/>
        <v>4</v>
      </c>
      <c r="C18" s="116" t="str">
        <f>+MID(VLOOKUP(A18,'Ambiente de Control'!$B$21:$C$254,2,0),4,LEN(VLOOKUP(A18,'Ambiente de Control'!$B$21:$C$254,2,0))-4)</f>
        <v xml:space="preserve"> Evaluar el impacto del Plan Institucional de Capacitación - PI</v>
      </c>
      <c r="D18" s="116" t="s">
        <v>436</v>
      </c>
      <c r="E18" s="116" t="str">
        <f>+VLOOKUP(A18,'Ambiente de Control'!$B$21:$D$254,3,0)</f>
        <v>Dimensión de Talento Humano
Política Gestión Estratégica del Talento Humano
Dimensión de Control Interno
Líneas de Defensa</v>
      </c>
      <c r="F18" s="116" t="str">
        <f>+VLOOKUP(A18,'Ambiente de Control'!$B$21:$K$254,10,0)</f>
        <v>Mantenimiento del control</v>
      </c>
      <c r="G18" s="116">
        <f>+VLOOKUP(A18,'Ambiente de Control'!$B$21:$O$254,13,0)</f>
        <v>60.989652</v>
      </c>
      <c r="H18" s="118">
        <f t="shared" si="2"/>
        <v>16</v>
      </c>
      <c r="I18" s="116" t="str">
        <f t="shared" si="0"/>
        <v>Cuando en el análisis de los requerimientos en los diferenes componentes del MECI se cuente con aspectos evaluados en nivel 1 (presente) y 1 (funcionando); 2 (presente) y 1 (funcionando).</v>
      </c>
      <c r="J18" s="116" t="s">
        <v>461</v>
      </c>
      <c r="K18" s="116">
        <f>+IF(ISBLANK(VLOOKUP(A18,'Ambiente de Control'!$B$24:$F$254,5,0)),"",VLOOKUP(A18,'Ambiente de Control'!$B$24:$F$254,5,0))</f>
        <v>3</v>
      </c>
      <c r="L18" s="116">
        <f>+IF(ISBLANK(VLOOKUP(A18,'Ambiente de Control'!$B$24:$K$254,9,0)),"",VLOOKUP(A18,'Ambiente de Control'!$B$24:$K$254,9,0))</f>
        <v>3</v>
      </c>
      <c r="M18" s="116">
        <f t="shared" si="4"/>
        <v>1</v>
      </c>
      <c r="N18" s="116">
        <f t="shared" si="3"/>
        <v>0.97916666666666663</v>
      </c>
      <c r="O18" s="116"/>
      <c r="P18" s="116"/>
    </row>
    <row r="19" spans="1:16" x14ac:dyDescent="0.25">
      <c r="A19" s="116" t="s">
        <v>473</v>
      </c>
      <c r="B19" s="116" t="str">
        <f t="shared" si="1"/>
        <v>4</v>
      </c>
      <c r="C19" s="116" t="str">
        <f>+MID(VLOOKUP(A19,'Ambiente de Control'!$B$21:$C$254,2,0),4,LEN(VLOOKUP(A19,'Ambiente de Control'!$B$21:$C$254,2,0))-4)</f>
        <v xml:space="preserve"> Evaluación frente a los productos y servicios en los cuales participan los contratistas de apoyo</v>
      </c>
      <c r="D19" s="116" t="s">
        <v>436</v>
      </c>
      <c r="E19" s="116" t="str">
        <f>+VLOOKUP(A19,'Ambiente de Control'!$B$21:$D$254,3,0)</f>
        <v>Dimensión de Talento Humano
Política Gestión Estratégica del Talento Humano
Dimensión de Control Interno
Líneas de Defensa</v>
      </c>
      <c r="F19" s="116" t="str">
        <f>+VLOOKUP(A19,'Ambiente de Control'!$B$21:$K$254,10,0)</f>
        <v>Mantenimiento del control</v>
      </c>
      <c r="G19" s="116">
        <f>+VLOOKUP(A19,'Ambiente de Control'!$B$21:$O$254,13,0)</f>
        <v>61.896230000000003</v>
      </c>
      <c r="H19" s="118">
        <f>+_xlfn.RANK.EQ(G19,$G$2:$G$82,1)</f>
        <v>23</v>
      </c>
      <c r="I19" s="116" t="str">
        <f t="shared" si="0"/>
        <v>Cuando en el análisis de los requerimientos en los diferenes componentes del MECI se cuente con aspectos evaluados en nivel 1 (presente) y 1 (funcionando); 2 (presente) y 1 (funcionando).</v>
      </c>
      <c r="J19" s="116" t="s">
        <v>461</v>
      </c>
      <c r="K19" s="116">
        <f>+IF(ISBLANK(VLOOKUP(A19,'Ambiente de Control'!$B$24:$F$254,5,0)),"",VLOOKUP(A19,'Ambiente de Control'!$B$24:$F$254,5,0))</f>
        <v>3</v>
      </c>
      <c r="L19" s="116">
        <f>+IF(ISBLANK(VLOOKUP(A19,'Ambiente de Control'!$B$24:$K$254,9,0)),"",VLOOKUP(A19,'Ambiente de Control'!$B$24:$K$254,9,0))</f>
        <v>3</v>
      </c>
      <c r="M19" s="116">
        <f t="shared" si="4"/>
        <v>1</v>
      </c>
      <c r="N19" s="116">
        <f>+AVERAGEIF($D$2:$D$82,D19,$M$2:$M$82)</f>
        <v>0.97916666666666663</v>
      </c>
      <c r="O19" s="116"/>
      <c r="P19" s="116"/>
    </row>
    <row r="20" spans="1:16" x14ac:dyDescent="0.25">
      <c r="A20" s="116" t="s">
        <v>475</v>
      </c>
      <c r="B20" s="116" t="str">
        <f t="shared" si="1"/>
        <v>5</v>
      </c>
      <c r="C20" s="116" t="str">
        <f>+MID(VLOOKUP(A20,'Ambiente de Control'!$B$21:$C$254,2,0),4,LEN(VLOOKUP(A20,'Ambiente de Control'!$B$21:$C$254,2,0))-4)</f>
        <v xml:space="preserve"> Acorde con la estructura del Esquema de Líneas de Defensa se han definido estándares de reporte, periodicidad y responsables frente a diferentes temas críticos de la entidad</v>
      </c>
      <c r="D20" s="116" t="s">
        <v>436</v>
      </c>
      <c r="E20" s="116" t="str">
        <f>+VLOOKUP(A20,'Ambiente de Control'!$B$21:$D$254,3,0)</f>
        <v>Dimensión de Información y Comunicación
Dimensión de Control Interno
Líneas de Defensa</v>
      </c>
      <c r="F20" s="116" t="str">
        <f>+VLOOKUP(A20,'Ambiente de Control'!$B$21:$K$254,10,0)</f>
        <v>Mantenimiento del control</v>
      </c>
      <c r="G20" s="116">
        <f>+VLOOKUP(A20,'Ambiente de Control'!$B$21:$O$254,13,0)</f>
        <v>61.189599999999999</v>
      </c>
      <c r="H20" s="118">
        <f t="shared" si="2"/>
        <v>17</v>
      </c>
      <c r="I20" s="116" t="str">
        <f t="shared" si="0"/>
        <v>Cuando en el análisis de los requerimientos en los diferenes componentes del MECI se cuente con aspectos evaluados en nivel 1 (presente) y 1 (funcionando); 2 (presente) y 1 (funcionando).</v>
      </c>
      <c r="J20" s="116" t="s">
        <v>476</v>
      </c>
      <c r="K20" s="116">
        <f>+IF(ISBLANK(VLOOKUP(A20,'Ambiente de Control'!$B$24:$F$254,5,0)),"",VLOOKUP(A20,'Ambiente de Control'!$B$24:$F$254,5,0))</f>
        <v>3</v>
      </c>
      <c r="L20" s="116">
        <f>+IF(ISBLANK(VLOOKUP(A20,'Ambiente de Control'!$B$24:$K$254,9,0)),"",VLOOKUP(A20,'Ambiente de Control'!$B$24:$K$254,9,0))</f>
        <v>3</v>
      </c>
      <c r="M20" s="116">
        <f t="shared" si="4"/>
        <v>1</v>
      </c>
      <c r="N20" s="116">
        <f t="shared" si="3"/>
        <v>0.97916666666666663</v>
      </c>
      <c r="O20" s="116"/>
      <c r="P20" s="116"/>
    </row>
    <row r="21" spans="1:16" x14ac:dyDescent="0.25">
      <c r="A21" s="116" t="s">
        <v>478</v>
      </c>
      <c r="B21" s="116" t="str">
        <f t="shared" si="1"/>
        <v>5</v>
      </c>
      <c r="C21" s="116" t="str">
        <f>+MID(VLOOKUP(A21,'Ambiente de Control'!$B$21:$C$254,2,0),4,LEN(VLOOKUP(A21,'Ambiente de Control'!$B$21:$C$254,2,0))-4)</f>
        <v xml:space="preserve"> La Alta Dirección analiza la información asociada con la generación de reportes financieros</v>
      </c>
      <c r="D21" s="116" t="s">
        <v>436</v>
      </c>
      <c r="E21" s="116" t="str">
        <f>+VLOOKUP(A21,'Ambiente de Control'!$B$21:$D$254,3,0)</f>
        <v xml:space="preserve">
Dimensión de Control Interno
Línea de Estratégica</v>
      </c>
      <c r="F21" s="116" t="str">
        <f>+VLOOKUP(A21,'Ambiente de Control'!$B$21:$K$254,10,0)</f>
        <v>Mantenimiento del control</v>
      </c>
      <c r="G21" s="116">
        <f>+VLOOKUP(A21,'Ambiente de Control'!$B$21:$O$254,13,0)</f>
        <v>61.289650000000002</v>
      </c>
      <c r="H21" s="118">
        <f t="shared" si="2"/>
        <v>18</v>
      </c>
      <c r="I21" s="116" t="str">
        <f t="shared" si="0"/>
        <v>Cuando en el análisis de los requerimientos en los diferenes componentes del MECI se cuente con aspectos evaluados en nivel 1 (presente) y 1 (funcionando); 2 (presente) y 1 (funcionando).</v>
      </c>
      <c r="J21" s="116" t="s">
        <v>476</v>
      </c>
      <c r="K21" s="116">
        <f>+IF(ISBLANK(VLOOKUP(A21,'Ambiente de Control'!$B$24:$F$254,5,0)),"",VLOOKUP(A21,'Ambiente de Control'!$B$24:$F$254,5,0))</f>
        <v>3</v>
      </c>
      <c r="L21" s="116">
        <f>+IF(ISBLANK(VLOOKUP(A21,'Ambiente de Control'!$B$24:$K$254,9,0)),"",VLOOKUP(A21,'Ambiente de Control'!$B$24:$K$254,9,0))</f>
        <v>3</v>
      </c>
      <c r="M21" s="116">
        <f t="shared" si="4"/>
        <v>1</v>
      </c>
      <c r="N21" s="116">
        <f t="shared" si="3"/>
        <v>0.97916666666666663</v>
      </c>
      <c r="O21" s="116"/>
      <c r="P21" s="116"/>
    </row>
    <row r="22" spans="1:16" x14ac:dyDescent="0.25">
      <c r="A22" s="116" t="s">
        <v>208</v>
      </c>
      <c r="B22" s="116" t="str">
        <f t="shared" si="1"/>
        <v>5</v>
      </c>
      <c r="C22" s="116" t="str">
        <f>+MID(VLOOKUP(A22,'Ambiente de Control'!$B$21:$C$254,2,0),4,LEN(VLOOKUP(A22,'Ambiente de Control'!$B$21:$C$254,2,0))-4)</f>
        <v xml:space="preserve"> Teniendo en cuenta la información suministrada por la 2a y 3a línea de defensa se toman decisiones a tiempo para garantizar el cumplimiento de las metas y objetivos</v>
      </c>
      <c r="D22" s="116" t="s">
        <v>436</v>
      </c>
      <c r="E22" s="116" t="str">
        <f>+VLOOKUP(A22,'Ambiente de Control'!$B$21:$D$254,3,0)</f>
        <v>Dimensión de Control Interno
Líneas de Defensa</v>
      </c>
      <c r="F22" s="116" t="str">
        <f>+VLOOKUP(A22,'Ambiente de Control'!$B$21:$K$254,10,0)</f>
        <v>Mantenimiento del control</v>
      </c>
      <c r="G22" s="116">
        <f>+VLOOKUP(A22,'Ambiente de Control'!$B$21:$O$254,13,0)</f>
        <v>61.389629999999997</v>
      </c>
      <c r="H22" s="118">
        <f t="shared" si="2"/>
        <v>19</v>
      </c>
      <c r="I22" s="116" t="str">
        <f t="shared" si="0"/>
        <v>Cuando en el análisis de los requerimientos en los diferenes componentes del MECI se cuente con aspectos evaluados en nivel 1 (presente) y 1 (funcionando); 2 (presente) y 1 (funcionando).</v>
      </c>
      <c r="J22" s="116" t="s">
        <v>476</v>
      </c>
      <c r="K22" s="116">
        <f>+IF(ISBLANK(VLOOKUP(A22,'Ambiente de Control'!$B$24:$F$254,5,0)),"",VLOOKUP(A22,'Ambiente de Control'!$B$24:$F$254,5,0))</f>
        <v>3</v>
      </c>
      <c r="L22" s="116">
        <f>+IF(ISBLANK(VLOOKUP(A22,'Ambiente de Control'!$B$24:$K$254,9,0)),"",VLOOKUP(A22,'Ambiente de Control'!$B$24:$K$254,9,0))</f>
        <v>3</v>
      </c>
      <c r="M22" s="116">
        <f t="shared" si="4"/>
        <v>1</v>
      </c>
      <c r="N22" s="116">
        <f t="shared" si="3"/>
        <v>0.97916666666666663</v>
      </c>
      <c r="O22" s="116"/>
      <c r="P22" s="116"/>
    </row>
    <row r="23" spans="1:16" x14ac:dyDescent="0.25">
      <c r="A23" s="116" t="s">
        <v>481</v>
      </c>
      <c r="B23" s="116" t="str">
        <f t="shared" si="1"/>
        <v>5</v>
      </c>
      <c r="C23" s="116" t="str">
        <f>+MID(VLOOKUP(A23,'Ambiente de Control'!$B$21:$C$254,2,0),4,LEN(VLOOKUP(A23,'Ambiente de Control'!$B$21:$C$254,2,0))-4)</f>
        <v xml:space="preserve"> Se evalúa la estructura de control a partir de los cambios en procesos, procedimientos, u otras herramientas, a fin de garantizar su adecuada formulación y afectación frente a la gestión del riesgo</v>
      </c>
      <c r="D23" s="116" t="s">
        <v>436</v>
      </c>
      <c r="E23" s="116" t="str">
        <f>+VLOOKUP(A23,'Ambiente de Control'!$B$21:$D$254,3,0)</f>
        <v>Dimensión de Gestión con Valores para Resultado
Política de Fortalecimiento Organizacional y Simplificación de Procesos
Dimensión Control Interno
Líneas de Defensa</v>
      </c>
      <c r="F23" s="116" t="str">
        <f>+VLOOKUP(A23,'Ambiente de Control'!$B$21:$K$254,10,0)</f>
        <v>Mantenimiento del control</v>
      </c>
      <c r="G23" s="116">
        <f>+VLOOKUP(A23,'Ambiente de Control'!$B$21:$O$254,13,0)</f>
        <v>61.489629999999998</v>
      </c>
      <c r="H23" s="118">
        <f t="shared" si="2"/>
        <v>20</v>
      </c>
      <c r="I23" s="116" t="str">
        <f t="shared" si="0"/>
        <v>Cuando en el análisis de los requerimientos en los diferenes componentes del MECI se cuente con aspectos evaluados en nivel 1 (presente) y 1 (funcionando); 2 (presente) y 1 (funcionando).</v>
      </c>
      <c r="J23" s="116" t="s">
        <v>476</v>
      </c>
      <c r="K23" s="116">
        <f>+IF(ISBLANK(VLOOKUP(A23,'Ambiente de Control'!$B$24:$F$254,5,0)),"",VLOOKUP(A23,'Ambiente de Control'!$B$24:$F$254,5,0))</f>
        <v>3</v>
      </c>
      <c r="L23" s="116">
        <f>+IF(ISBLANK(VLOOKUP(A23,'Ambiente de Control'!$B$24:$K$254,9,0)),"",VLOOKUP(A23,'Ambiente de Control'!$B$24:$K$254,9,0))</f>
        <v>3</v>
      </c>
      <c r="M23" s="116">
        <f t="shared" si="4"/>
        <v>1</v>
      </c>
      <c r="N23" s="116">
        <f t="shared" si="3"/>
        <v>0.97916666666666663</v>
      </c>
      <c r="O23" s="116"/>
      <c r="P23" s="116"/>
    </row>
    <row r="24" spans="1:16" x14ac:dyDescent="0.25">
      <c r="A24" s="116" t="s">
        <v>483</v>
      </c>
      <c r="B24" s="116" t="str">
        <f t="shared" si="1"/>
        <v>5</v>
      </c>
      <c r="C24" s="116" t="str">
        <f>+MID(VLOOKUP(A24,'Ambiente de Control'!$B$21:$C$254,2,0),4,LEN(VLOOKUP(A24,'Ambiente de Control'!$B$21:$C$254,2,0))-4)</f>
        <v xml:space="preserve"> La entidad aprueba y hace seguimiento al Plan Anual de Auditoría presentado y ejecutado por parte de la Oficina de Control Interno</v>
      </c>
      <c r="D24" s="116" t="s">
        <v>436</v>
      </c>
      <c r="E24" s="116" t="str">
        <f>+VLOOKUP(A24,'Ambiente de Control'!$B$21:$D$254,3,0)</f>
        <v>Dimensión Control Interno
Línea Estratégica</v>
      </c>
      <c r="F24" s="116" t="str">
        <f>+VLOOKUP(A24,'Ambiente de Control'!$B$21:$K$254,10,0)</f>
        <v>Mantenimiento del control</v>
      </c>
      <c r="G24" s="116">
        <f>+VLOOKUP(A24,'Ambiente de Control'!$B$21:$O$254,13,0)</f>
        <v>61.589649999999999</v>
      </c>
      <c r="H24" s="118">
        <f t="shared" si="2"/>
        <v>21</v>
      </c>
      <c r="I24" s="116" t="str">
        <f t="shared" si="0"/>
        <v>Cuando en el análisis de los requerimientos en los diferenes componentes del MECI se cuente con aspectos evaluados en nivel 1 (presente) y 1 (funcionando); 2 (presente) y 1 (funcionando).</v>
      </c>
      <c r="J24" s="116" t="s">
        <v>476</v>
      </c>
      <c r="K24" s="116">
        <f>+IF(ISBLANK(VLOOKUP(A24,'Ambiente de Control'!$B$24:$F$254,5,0)),"",VLOOKUP(A24,'Ambiente de Control'!$B$24:$F$254,5,0))</f>
        <v>3</v>
      </c>
      <c r="L24" s="116">
        <f>+IF(ISBLANK(VLOOKUP(A24,'Ambiente de Control'!$B$24:$K$254,9,0)),"",VLOOKUP(A24,'Ambiente de Control'!$B$24:$K$254,9,0))</f>
        <v>3</v>
      </c>
      <c r="M24" s="116">
        <f t="shared" si="4"/>
        <v>1</v>
      </c>
      <c r="N24" s="116">
        <f t="shared" si="3"/>
        <v>0.97916666666666663</v>
      </c>
      <c r="O24" s="116"/>
      <c r="P24" s="116"/>
    </row>
    <row r="25" spans="1:16" x14ac:dyDescent="0.25">
      <c r="A25" s="116" t="s">
        <v>485</v>
      </c>
      <c r="B25" s="116" t="str">
        <f t="shared" si="1"/>
        <v>5</v>
      </c>
      <c r="C25" s="116" t="str">
        <f>+MID(VLOOKUP(A25,'Ambiente de Control'!$B$21:$C$254,2,0),4,LEN(VLOOKUP(A25,'Ambiente de Control'!$B$21:$C$254,2,0))-4)</f>
        <v xml:space="preserve"> La entidad analiza los informes presentados por la Oficina de Control Interno y evalúa su impacto en relación con la mejora institucional</v>
      </c>
      <c r="D25" s="116" t="s">
        <v>436</v>
      </c>
      <c r="E25" s="116" t="str">
        <f>+VLOOKUP(A25,'Ambiente de Control'!$B$21:$D$254,3,0)</f>
        <v>Dimensión Control Interno
Línea Estratégica</v>
      </c>
      <c r="F25" s="116" t="str">
        <f>+VLOOKUP(A25,'Ambiente de Control'!$B$21:$K$254,10,0)</f>
        <v>Mantenimiento del control</v>
      </c>
      <c r="G25" s="116">
        <f>+VLOOKUP(A25,'Ambiente de Control'!$B$21:$O$254,13,0)</f>
        <v>61.689653</v>
      </c>
      <c r="H25" s="118">
        <f t="shared" si="2"/>
        <v>22</v>
      </c>
      <c r="I25" s="116" t="str">
        <f t="shared" si="0"/>
        <v>Cuando en el análisis de los requerimientos en los diferenes componentes del MECI se cuente con aspectos evaluados en nivel 1 (presente) y 1 (funcionando); 2 (presente) y 1 (funcionando).</v>
      </c>
      <c r="J25" s="116" t="s">
        <v>476</v>
      </c>
      <c r="K25" s="116">
        <f>+IF(ISBLANK(VLOOKUP(A25,'Ambiente de Control'!$B$24:$F$254,5,0)),"",VLOOKUP(A25,'Ambiente de Control'!$B$24:$F$254,5,0))</f>
        <v>3</v>
      </c>
      <c r="L25" s="116">
        <f>+IF(ISBLANK(VLOOKUP(A25,'Ambiente de Control'!$B$24:$K$254,9,0)),"",VLOOKUP(A25,'Ambiente de Control'!$B$24:$K$254,9,0))</f>
        <v>3</v>
      </c>
      <c r="M25" s="116">
        <f t="shared" si="4"/>
        <v>1</v>
      </c>
      <c r="N25" s="116">
        <f t="shared" si="3"/>
        <v>0.97916666666666663</v>
      </c>
      <c r="O25" s="116"/>
      <c r="P25" s="116"/>
    </row>
    <row r="26" spans="1:16" x14ac:dyDescent="0.25">
      <c r="A26" s="116" t="s">
        <v>487</v>
      </c>
      <c r="B26" s="116" t="str">
        <f t="shared" si="1"/>
        <v>6</v>
      </c>
      <c r="C26" s="116" t="str">
        <f>+MID(VLOOKUP(A26,'Evaluación de riesgos'!$A$13:$B$211,2,0),4,LEN(VLOOKUP(A26,'Evaluación de riesgos'!$A$13:$B$211,2,0))-4)</f>
        <v xml:space="preserve">  La Entidad cuenta con mecanismos para vincular o relacionar el plan estratégico con los objetivos estratégicos y estos a su vez con los objetivos operativos</v>
      </c>
      <c r="D26" s="116" t="s">
        <v>488</v>
      </c>
      <c r="E26" s="116" t="str">
        <f>+VLOOKUP(A26,'Evaluación de riesgos'!$A$13:$J$211,3,0)</f>
        <v>Dimensión de Direccionamiento Estratégico y Planeación.
Política de Planeación Institucional</v>
      </c>
      <c r="F26" s="116" t="str">
        <f>+VLOOKUP(A26,'Evaluación de riesgos'!$A$13:$J$211,10,0)</f>
        <v>Mantenimiento del control</v>
      </c>
      <c r="G26" s="116">
        <f>+VLOOKUP(A26,'Evaluación de riesgos'!$A$13:$N$211,13,0)</f>
        <v>141.78960000000001</v>
      </c>
      <c r="H26" s="118">
        <f t="shared" si="2"/>
        <v>26</v>
      </c>
      <c r="I26" s="116" t="str">
        <f t="shared" si="0"/>
        <v>Cuando en el análisis de los requerimientos en los diferenes componentes del MECI se cuente con aspectos evaluados en nivel 1 (presente) y 1 (funcionando); 2 (presente) y 1 (funcionando).</v>
      </c>
      <c r="J26" s="116" t="s">
        <v>489</v>
      </c>
      <c r="K26" s="116">
        <f>+IF(ISBLANK(VLOOKUP(A26,'Evaluación de riesgos'!$A$16:$E$211,5,0)),"",VLOOKUP(A26,'Evaluación de riesgos'!$A$16:$E$211,5,0))</f>
        <v>3</v>
      </c>
      <c r="L26" s="116">
        <f>+IF(ISBLANK(VLOOKUP(A26,'Evaluación de riesgos'!$A$16:$I$211,9,9)),"",VLOOKUP(A26,'Evaluación de riesgos'!$A$16:$I$211,9,9))</f>
        <v>3</v>
      </c>
      <c r="M26" s="116">
        <f t="shared" si="4"/>
        <v>1</v>
      </c>
      <c r="N26" s="116">
        <f t="shared" si="3"/>
        <v>0.94117647058823528</v>
      </c>
      <c r="O26" s="116"/>
      <c r="P26" s="116"/>
    </row>
    <row r="27" spans="1:16" x14ac:dyDescent="0.25">
      <c r="A27" s="116" t="s">
        <v>491</v>
      </c>
      <c r="B27" s="116" t="str">
        <f t="shared" si="1"/>
        <v>6</v>
      </c>
      <c r="C27" s="116" t="str">
        <f>+MID(VLOOKUP(A27,'Evaluación de riesgos'!$A$13:$B$211,2,0),4,LEN(VLOOKUP(A27,'Evaluación de riesgos'!$A$13:$B$211,2,0))-4)</f>
        <v xml:space="preserve"> Los objetivos de los procesos, programas o proyectos (según aplique) que están definidos, son específicos, medibles, alcanzables, relevantes, delimitados en el tiempo</v>
      </c>
      <c r="D27" s="116" t="s">
        <v>488</v>
      </c>
      <c r="E27" s="116" t="str">
        <f>+VLOOKUP(A27,'Evaluación de riesgos'!$A$13:$J$211,3,0)</f>
        <v>Dimensión de Gestión con Valores para Resultado
Política de Fortalecimiento Organizacional y Simplificación de Procesos</v>
      </c>
      <c r="F27" s="116" t="str">
        <f>+VLOOKUP(A27,'Evaluación de riesgos'!$A$13:$J$211,10,0)</f>
        <v>Mantenimiento del control</v>
      </c>
      <c r="G27" s="116">
        <f>+VLOOKUP(A27,'Evaluación de riesgos'!$A$13:$N$211,13,0)</f>
        <v>141.8896</v>
      </c>
      <c r="H27" s="118">
        <f t="shared" si="2"/>
        <v>27</v>
      </c>
      <c r="I27" s="116" t="str">
        <f t="shared" si="0"/>
        <v>Cuando en el análisis de los requerimientos en los diferenes componentes del MECI se cuente con aspectos evaluados en nivel 1 (presente) y 1 (funcionando); 2 (presente) y 1 (funcionando).</v>
      </c>
      <c r="J27" s="116" t="s">
        <v>489</v>
      </c>
      <c r="K27" s="116">
        <f>+IF(ISBLANK(VLOOKUP(A27,'Evaluación de riesgos'!$A$16:$E$211,5,0)),"",VLOOKUP(A27,'Evaluación de riesgos'!$A$16:$E$211,5,0))</f>
        <v>3</v>
      </c>
      <c r="L27" s="116">
        <f>+IF(ISBLANK(VLOOKUP(A27,'Evaluación de riesgos'!$A$16:$I$211,9,9)),"",VLOOKUP(A27,'Evaluación de riesgos'!$A$16:$I$211,9,9))</f>
        <v>3</v>
      </c>
      <c r="M27" s="116">
        <f t="shared" si="4"/>
        <v>1</v>
      </c>
      <c r="N27" s="116">
        <f t="shared" si="3"/>
        <v>0.94117647058823528</v>
      </c>
      <c r="O27" s="116"/>
      <c r="P27" s="116"/>
    </row>
    <row r="28" spans="1:16" x14ac:dyDescent="0.25">
      <c r="A28" s="116" t="s">
        <v>493</v>
      </c>
      <c r="B28" s="116" t="str">
        <f t="shared" si="1"/>
        <v>6</v>
      </c>
      <c r="C28" s="116" t="str">
        <f>+MID(VLOOKUP(A28,'Evaluación de riesgos'!$A$13:$B$211,2,0),4,LEN(VLOOKUP(A28,'Evaluación de riesgos'!$A$13:$B$211,2,0))-4)</f>
        <v xml:space="preserve"> La Alta Dirección evalúa periódicamente los objetivos establecidos para asegurar que estos continúan siendo consistentes y apropiados para la Entidad</v>
      </c>
      <c r="D28" s="116" t="s">
        <v>488</v>
      </c>
      <c r="E28" s="116" t="str">
        <f>+VLOOKUP(A28,'Evaluación de riesgos'!$A$13:$J$211,3,0)</f>
        <v>Dimensión de Direccionamiento Estratégico y Planeación.
Política de Planeación Institucional
Dimensión Control Interno
Línea Estratégica</v>
      </c>
      <c r="F28" s="116" t="str">
        <f>+VLOOKUP(A28,'Evaluación de riesgos'!$A$13:$J$211,10,0)</f>
        <v>Mantenimiento del control</v>
      </c>
      <c r="G28" s="116">
        <f>+VLOOKUP(A28,'Evaluación de riesgos'!$A$13:$N$211,13,0)</f>
        <v>141.97540000000001</v>
      </c>
      <c r="H28" s="118">
        <f t="shared" si="2"/>
        <v>28</v>
      </c>
      <c r="I28" s="116" t="str">
        <f t="shared" si="0"/>
        <v>Cuando en el análisis de los requerimientos en los diferenes componentes del MECI se cuente con aspectos evaluados en nivel 1 (presente) y 1 (funcionando); 2 (presente) y 1 (funcionando).</v>
      </c>
      <c r="J28" s="116" t="s">
        <v>489</v>
      </c>
      <c r="K28" s="116">
        <f>+IF(ISBLANK(VLOOKUP(A28,'Evaluación de riesgos'!$A$16:$E$211,5,0)),"",VLOOKUP(A28,'Evaluación de riesgos'!$A$16:$E$211,5,0))</f>
        <v>3</v>
      </c>
      <c r="L28" s="116">
        <f>+IF(ISBLANK(VLOOKUP(A28,'Evaluación de riesgos'!$A$16:$I$211,9,9)),"",VLOOKUP(A28,'Evaluación de riesgos'!$A$16:$I$211,9,9))</f>
        <v>3</v>
      </c>
      <c r="M28" s="116">
        <f t="shared" si="4"/>
        <v>1</v>
      </c>
      <c r="N28" s="116">
        <f t="shared" si="3"/>
        <v>0.94117647058823528</v>
      </c>
      <c r="O28" s="116"/>
      <c r="P28" s="116"/>
    </row>
    <row r="29" spans="1:16" x14ac:dyDescent="0.25">
      <c r="A29" s="116" t="s">
        <v>495</v>
      </c>
      <c r="B29" s="116" t="str">
        <f t="shared" si="1"/>
        <v>7</v>
      </c>
      <c r="C29" s="116" t="str">
        <f>+MID(VLOOKUP(A29,'Evaluación de riesgos'!$A$13:$B$211,2,0),4,LEN(VLOOKUP(A29,'Evaluación de riesgos'!$A$13:$B$211,2,0))-4)</f>
        <v xml:space="preserve"> Teniendo en cuenta la estructura de la política de Administración del Riesgo, su alcance define lineamientos para toda la entidad, incluyendo regionales, áreas tercerizadas u otras instancias que afectan la prestación del servicio</v>
      </c>
      <c r="D29" s="116" t="s">
        <v>488</v>
      </c>
      <c r="E29" s="116" t="str">
        <f>+VLOOKUP(A29,'Evaluación de riesgos'!$A$13:$J$211,3,0)</f>
        <v>Dimensión de Direccionamiento Estratégico y Planeación.
Política de Planeación Institucional</v>
      </c>
      <c r="F29" s="116" t="str">
        <f>+VLOOKUP(A29,'Evaluación de riesgos'!$A$13:$J$211,10,0)</f>
        <v>Mantenimiento del control</v>
      </c>
      <c r="G29" s="116">
        <f>+VLOOKUP(A29,'Evaluación de riesgos'!$A$13:$N$211,13,0)</f>
        <v>142.08959999999999</v>
      </c>
      <c r="H29" s="118">
        <f t="shared" si="2"/>
        <v>29</v>
      </c>
      <c r="I29" s="116" t="str">
        <f t="shared" si="0"/>
        <v>Cuando en el análisis de los requerimientos en los diferenes componentes del MECI se cuente con aspectos evaluados en nivel 1 (presente) y 1 (funcionando); 2 (presente) y 1 (funcionando).</v>
      </c>
      <c r="J29" s="116" t="s">
        <v>496</v>
      </c>
      <c r="K29" s="116">
        <f>+IF(ISBLANK(VLOOKUP(A29,'Evaluación de riesgos'!$A$16:$E$211,5,0)),"",VLOOKUP(A29,'Evaluación de riesgos'!$A$16:$E$211,5,0))</f>
        <v>3</v>
      </c>
      <c r="L29" s="116">
        <f>+IF(ISBLANK(VLOOKUP(A29,'Evaluación de riesgos'!$A$16:$I$211,9,9)),"",VLOOKUP(A29,'Evaluación de riesgos'!$A$16:$I$211,9,9))</f>
        <v>3</v>
      </c>
      <c r="M29" s="116">
        <f t="shared" si="4"/>
        <v>1</v>
      </c>
      <c r="N29" s="116">
        <f t="shared" si="3"/>
        <v>0.94117647058823528</v>
      </c>
      <c r="O29" s="116"/>
      <c r="P29" s="116"/>
    </row>
    <row r="30" spans="1:16" x14ac:dyDescent="0.25">
      <c r="A30" s="116" t="s">
        <v>498</v>
      </c>
      <c r="B30" s="116" t="str">
        <f t="shared" si="1"/>
        <v>7</v>
      </c>
      <c r="C30" s="116" t="str">
        <f>+MID(VLOOKUP(A30,'Evaluación de riesgos'!$A$13:$B$211,2,0),4,LEN(VLOOKUP(A30,'Evaluación de riesgos'!$A$13:$B$211,2,0))-4)</f>
        <v xml:space="preserve"> La Oficina de Planeación, Gerencia de Riesgos (donde existan), como 2a línea de defensa, consolidan información clave frente a la gestión del riesgo</v>
      </c>
      <c r="D30" s="116" t="s">
        <v>488</v>
      </c>
      <c r="E30" s="116" t="str">
        <f>+VLOOKUP(A30,'Evaluación de riesgos'!$A$13:$J$211,3,0)</f>
        <v>Dimensión Control Interno 
Líneas de Defensa</v>
      </c>
      <c r="F30" s="116" t="str">
        <f>+VLOOKUP(A30,'Evaluación de riesgos'!$A$13:$J$211,10,0)</f>
        <v>Deficiencia de control (diseño o ejecución)</v>
      </c>
      <c r="G30" s="116">
        <f>+VLOOKUP(A30,'Evaluación de riesgos'!$A$13:$N$211,13,0)</f>
        <v>102.1456</v>
      </c>
      <c r="H30" s="118">
        <f t="shared" si="2"/>
        <v>24</v>
      </c>
      <c r="I30" s="116" t="str">
        <f t="shared" si="0"/>
        <v>Cuando en el análisis de los requerimientos en los diferenes componentes del MECI se cuente con aspectos evaluados en nivel 2 (presente) y 2 (funcionando); 3 (presente) y 1 (funcionando); 3 (presente) y 2 (funcionando).</v>
      </c>
      <c r="J30" s="116" t="s">
        <v>496</v>
      </c>
      <c r="K30" s="116">
        <f>+IF(ISBLANK(VLOOKUP(A30,'Evaluación de riesgos'!$A$16:$E$211,5,0)),"",VLOOKUP(A30,'Evaluación de riesgos'!$A$16:$E$211,5,0))</f>
        <v>3</v>
      </c>
      <c r="L30" s="116">
        <f>+IF(ISBLANK(VLOOKUP(A30,'Evaluación de riesgos'!$A$16:$I$211,9,9)),"",VLOOKUP(A30,'Evaluación de riesgos'!$A$16:$I$211,9,9))</f>
        <v>2</v>
      </c>
      <c r="M30" s="116">
        <f t="shared" si="4"/>
        <v>0.5</v>
      </c>
      <c r="N30" s="116">
        <f t="shared" si="3"/>
        <v>0.94117647058823528</v>
      </c>
      <c r="O30" s="116"/>
      <c r="P30" s="116"/>
    </row>
    <row r="31" spans="1:16" x14ac:dyDescent="0.25">
      <c r="A31" s="116" t="s">
        <v>500</v>
      </c>
      <c r="B31" s="116" t="str">
        <f t="shared" si="1"/>
        <v>7</v>
      </c>
      <c r="C31" s="116" t="str">
        <f>+MID(VLOOKUP(A31,'Evaluación de riesgos'!$A$13:$B$211,2,0),4,LEN(VLOOKUP(A31,'Evaluación de riesgos'!$A$13:$B$211,2,0))-4)</f>
        <v xml:space="preserve"> A partir de la información consolidada y reportada por la 2a línea de defensa (7.2), la Alta Dirección analiza sus resultados y en especial considera si se han presentado materializaciones de riesgo</v>
      </c>
      <c r="D31" s="116" t="s">
        <v>488</v>
      </c>
      <c r="E31" s="116" t="str">
        <f>+VLOOKUP(A31,'Evaluación de riesgos'!$A$13:$J$211,3,0)</f>
        <v>Dimensión Control Interno 
Líneas de Defensa</v>
      </c>
      <c r="F31" s="116" t="str">
        <f>+VLOOKUP(A31,'Evaluación de riesgos'!$A$13:$J$211,10,0)</f>
        <v>Deficiencia de control (diseño o ejecución)</v>
      </c>
      <c r="G31" s="116">
        <f>+VLOOKUP(A31,'Evaluación de riesgos'!$A$13:$N$211,13,0)</f>
        <v>102.23650000000001</v>
      </c>
      <c r="H31" s="118">
        <f t="shared" si="2"/>
        <v>25</v>
      </c>
      <c r="I31" s="116" t="str">
        <f t="shared" si="0"/>
        <v>Cuando en el análisis de los requerimientos en los diferenes componentes del MECI se cuente con aspectos evaluados en nivel 2 (presente) y 2 (funcionando); 3 (presente) y 1 (funcionando); 3 (presente) y 2 (funcionando).</v>
      </c>
      <c r="J31" s="116" t="s">
        <v>496</v>
      </c>
      <c r="K31" s="116">
        <f>+IF(ISBLANK(VLOOKUP(A31,'Evaluación de riesgos'!$A$16:$E$211,5,0)),"",VLOOKUP(A31,'Evaluación de riesgos'!$A$16:$E$211,5,0))</f>
        <v>3</v>
      </c>
      <c r="L31" s="116">
        <f>+IF(ISBLANK(VLOOKUP(A31,'Evaluación de riesgos'!$A$16:$I$211,9,9)),"",VLOOKUP(A31,'Evaluación de riesgos'!$A$16:$I$211,9,9))</f>
        <v>2</v>
      </c>
      <c r="M31" s="116">
        <f t="shared" si="4"/>
        <v>0.5</v>
      </c>
      <c r="N31" s="116">
        <f t="shared" si="3"/>
        <v>0.94117647058823528</v>
      </c>
      <c r="O31" s="116"/>
      <c r="P31" s="116"/>
    </row>
    <row r="32" spans="1:16" x14ac:dyDescent="0.25">
      <c r="A32" s="116" t="s">
        <v>502</v>
      </c>
      <c r="B32" s="116" t="str">
        <f t="shared" si="1"/>
        <v>7</v>
      </c>
      <c r="C32" s="116" t="str">
        <f>+MID(VLOOKUP(A32,'Evaluación de riesgos'!$A$13:$B$211,2,0),4,LEN(VLOOKUP(A32,'Evaluación de riesgos'!$A$13:$B$211,2,0))-4)</f>
        <v xml:space="preserve"> Cuando se detectan materializaciones de riesgo, se definen los cursos de acción en relación con la revisión y actualización del mapa de riesgos correspondiente</v>
      </c>
      <c r="D32" s="116" t="s">
        <v>488</v>
      </c>
      <c r="E32" s="116" t="str">
        <f>+VLOOKUP(A32,'Evaluación de riesgos'!$A$13:$J$211,3,0)</f>
        <v>Dimensión de Direccionamiento Estratégico y Planeación.
Política de Planeación Institucional
Dimensión Control Interno 
Líneas de Defensa</v>
      </c>
      <c r="F32" s="116" t="str">
        <f>+VLOOKUP(A32,'Evaluación de riesgos'!$A$13:$J$211,10,0)</f>
        <v>Mantenimiento del control</v>
      </c>
      <c r="G32" s="116">
        <f>+VLOOKUP(A32,'Evaluación de riesgos'!$A$13:$N$211,13,0)</f>
        <v>142.3896</v>
      </c>
      <c r="H32" s="118">
        <f t="shared" si="2"/>
        <v>30</v>
      </c>
      <c r="I32" s="116" t="str">
        <f t="shared" si="0"/>
        <v>Cuando en el análisis de los requerimientos en los diferenes componentes del MECI se cuente con aspectos evaluados en nivel 1 (presente) y 1 (funcionando); 2 (presente) y 1 (funcionando).</v>
      </c>
      <c r="J32" s="116" t="s">
        <v>496</v>
      </c>
      <c r="K32" s="116">
        <f>+IF(ISBLANK(VLOOKUP(A32,'Evaluación de riesgos'!$A$16:$E$211,5,0)),"",VLOOKUP(A32,'Evaluación de riesgos'!$A$16:$E$211,5,0))</f>
        <v>3</v>
      </c>
      <c r="L32" s="116">
        <f>+IF(ISBLANK(VLOOKUP(A32,'Evaluación de riesgos'!$A$16:$I$211,9,9)),"",VLOOKUP(A32,'Evaluación de riesgos'!$A$16:$I$211,9,9))</f>
        <v>3</v>
      </c>
      <c r="M32" s="116">
        <f t="shared" si="4"/>
        <v>1</v>
      </c>
      <c r="N32" s="116">
        <f t="shared" si="3"/>
        <v>0.94117647058823528</v>
      </c>
      <c r="O32" s="116"/>
      <c r="P32" s="116"/>
    </row>
    <row r="33" spans="1:16" x14ac:dyDescent="0.25">
      <c r="A33" s="116" t="s">
        <v>504</v>
      </c>
      <c r="B33" s="116" t="str">
        <f t="shared" si="1"/>
        <v>7</v>
      </c>
      <c r="C33" s="116" t="str">
        <f>+MID(VLOOKUP(A33,'Evaluación de riesgos'!$A$13:$B$211,2,0),4,LEN(VLOOKUP(A33,'Evaluación de riesgos'!$A$13:$B$211,2,0))-4)</f>
        <v xml:space="preserve"> Se llevan a cabo seguimientos a las acciones definidas para resolver materializaciones de riesgo detectadas</v>
      </c>
      <c r="D33" s="116" t="s">
        <v>488</v>
      </c>
      <c r="E33" s="116" t="str">
        <f>+VLOOKUP(A33,'Evaluación de riesgos'!$A$13:$J$211,3,0)</f>
        <v>Dimensión de Evaluación de Resultados 
Política de Seguimiento y evaluación al Desempeño Institucional.
Dimensión Control Interno 
Líneas de Defensa</v>
      </c>
      <c r="F33" s="116" t="str">
        <f>+VLOOKUP(A33,'Evaluación de riesgos'!$A$13:$J$211,10,0)</f>
        <v>Mantenimiento del control</v>
      </c>
      <c r="G33" s="116">
        <f>+VLOOKUP(A33,'Evaluación de riesgos'!$A$13:$N$211,13,0)</f>
        <v>142.4563</v>
      </c>
      <c r="H33" s="118">
        <f t="shared" si="2"/>
        <v>31</v>
      </c>
      <c r="I33" s="116" t="str">
        <f t="shared" si="0"/>
        <v>Cuando en el análisis de los requerimientos en los diferenes componentes del MECI se cuente con aspectos evaluados en nivel 1 (presente) y 1 (funcionando); 2 (presente) y 1 (funcionando).</v>
      </c>
      <c r="J33" s="116" t="s">
        <v>496</v>
      </c>
      <c r="K33" s="116">
        <f>+IF(ISBLANK(VLOOKUP(A33,'Evaluación de riesgos'!$A$16:$E$211,5,0)),"",VLOOKUP(A33,'Evaluación de riesgos'!$A$16:$E$211,5,0))</f>
        <v>3</v>
      </c>
      <c r="L33" s="116">
        <f>+IF(ISBLANK(VLOOKUP(A33,'Evaluación de riesgos'!$A$16:$I$211,9,9)),"",VLOOKUP(A33,'Evaluación de riesgos'!$A$16:$I$211,9,9))</f>
        <v>3</v>
      </c>
      <c r="M33" s="116">
        <f t="shared" si="4"/>
        <v>1</v>
      </c>
      <c r="N33" s="116">
        <f t="shared" si="3"/>
        <v>0.94117647058823528</v>
      </c>
      <c r="O33" s="116"/>
      <c r="P33" s="116"/>
    </row>
    <row r="34" spans="1:16" x14ac:dyDescent="0.25">
      <c r="A34" s="116" t="s">
        <v>506</v>
      </c>
      <c r="B34" s="116" t="str">
        <f t="shared" si="1"/>
        <v>8</v>
      </c>
      <c r="C34" s="116" t="str">
        <f>+MID(VLOOKUP(A34,'Evaluación de riesgos'!$A$13:$B$211,2,0),4,LEN(VLOOKUP(A34,'Evaluación de riesgos'!$A$13:$B$211,2,0))-4)</f>
        <v xml:space="preserve"> La Alta Dirección acorde con el análisis del entorno interno y externo, define los procesos, programas o proyectos (según aplique), susceptibles de posibles actos de corrupción</v>
      </c>
      <c r="D34" s="116" t="s">
        <v>488</v>
      </c>
      <c r="E34" s="116" t="str">
        <f>+VLOOKUP(A34,'Evaluación de riesgos'!$A$13:$J$211,3,0)</f>
        <v>Dimensión de Direccionamiento Estratégico y Planeación.
Política de Planeación Institucional</v>
      </c>
      <c r="F34" s="116" t="str">
        <f>+VLOOKUP(A34,'Evaluación de riesgos'!$A$13:$J$211,10,0)</f>
        <v>Mantenimiento del control</v>
      </c>
      <c r="G34" s="116">
        <f>+VLOOKUP(A34,'Evaluación de riesgos'!$A$13:$N$211,13,0)</f>
        <v>142.54579999999999</v>
      </c>
      <c r="H34" s="118">
        <f t="shared" si="2"/>
        <v>32</v>
      </c>
      <c r="I34" s="116" t="str">
        <f t="shared" ref="I34:I65" si="5">+IF(F34=$F$2,$P$4,IF(F34=$F$3,$P$2,$P$3))</f>
        <v>Cuando en el análisis de los requerimientos en los diferenes componentes del MECI se cuente con aspectos evaluados en nivel 1 (presente) y 1 (funcionando); 2 (presente) y 1 (funcionando).</v>
      </c>
      <c r="J34" s="116" t="s">
        <v>507</v>
      </c>
      <c r="K34" s="116">
        <f>+IF(ISBLANK(VLOOKUP(A34,'Evaluación de riesgos'!$A$16:$E$211,5,0)),"",VLOOKUP(A34,'Evaluación de riesgos'!$A$16:$E$211,5,0))</f>
        <v>3</v>
      </c>
      <c r="L34" s="116">
        <f>+IF(ISBLANK(VLOOKUP(A34,'Evaluación de riesgos'!$A$16:$I$211,9,9)),"",VLOOKUP(A34,'Evaluación de riesgos'!$A$16:$I$211,9,9))</f>
        <v>3</v>
      </c>
      <c r="M34" s="116">
        <f t="shared" si="4"/>
        <v>1</v>
      </c>
      <c r="N34" s="116">
        <f t="shared" si="3"/>
        <v>0.94117647058823528</v>
      </c>
      <c r="O34" s="116"/>
      <c r="P34" s="116"/>
    </row>
    <row r="35" spans="1:16" x14ac:dyDescent="0.25">
      <c r="A35" s="116" t="s">
        <v>509</v>
      </c>
      <c r="B35" s="116" t="str">
        <f t="shared" si="1"/>
        <v>8</v>
      </c>
      <c r="C35" s="116" t="str">
        <f>+MID(VLOOKUP(A35,'Evaluación de riesgos'!$A$13:$B$211,2,0),4,LEN(VLOOKUP(A35,'Evaluación de riesgos'!$A$13:$B$211,2,0))-4)</f>
        <v xml:space="preserve"> La Alta Dirección monitorea los riesgos de corrupción con la periodicidad establecida en la Política de Administración del Riesgo</v>
      </c>
      <c r="D35" s="116" t="s">
        <v>488</v>
      </c>
      <c r="E35" s="116" t="str">
        <f>+VLOOKUP(A35,'Evaluación de riesgos'!$A$13:$J$211,3,0)</f>
        <v>Dimensión de Control Interno
Línea Estratégica</v>
      </c>
      <c r="F35" s="116" t="str">
        <f>+VLOOKUP(A35,'Evaluación de riesgos'!$A$13:$J$211,10,0)</f>
        <v>Mantenimiento del control</v>
      </c>
      <c r="G35" s="116">
        <f>+VLOOKUP(A35,'Evaluación de riesgos'!$A$13:$N$211,13,0)</f>
        <v>142.63210000000001</v>
      </c>
      <c r="H35" s="118">
        <f t="shared" si="2"/>
        <v>33</v>
      </c>
      <c r="I35" s="116" t="str">
        <f t="shared" si="5"/>
        <v>Cuando en el análisis de los requerimientos en los diferenes componentes del MECI se cuente con aspectos evaluados en nivel 1 (presente) y 1 (funcionando); 2 (presente) y 1 (funcionando).</v>
      </c>
      <c r="J35" s="116" t="s">
        <v>507</v>
      </c>
      <c r="K35" s="116">
        <f>+IF(ISBLANK(VLOOKUP(A35,'Evaluación de riesgos'!$A$16:$E$211,5,0)),"",VLOOKUP(A35,'Evaluación de riesgos'!$A$16:$E$211,5,0))</f>
        <v>3</v>
      </c>
      <c r="L35" s="116">
        <f>+IF(ISBLANK(VLOOKUP(A35,'Evaluación de riesgos'!$A$16:$I$211,9,9)),"",VLOOKUP(A35,'Evaluación de riesgos'!$A$16:$I$211,9,9))</f>
        <v>3</v>
      </c>
      <c r="M35" s="116">
        <f t="shared" si="4"/>
        <v>1</v>
      </c>
      <c r="N35" s="116">
        <f t="shared" si="3"/>
        <v>0.94117647058823528</v>
      </c>
      <c r="O35" s="116"/>
      <c r="P35" s="116"/>
    </row>
    <row r="36" spans="1:16" x14ac:dyDescent="0.25">
      <c r="A36" s="116" t="s">
        <v>511</v>
      </c>
      <c r="B36" s="116" t="str">
        <f t="shared" si="1"/>
        <v>8</v>
      </c>
      <c r="C36" s="116" t="str">
        <f>+MID(VLOOKUP(A36,'Evaluación de riesgos'!$A$13:$B$211,2,0),4,LEN(VLOOKUP(A36,'Evaluación de riesgos'!$A$13:$B$211,2,0))-4)</f>
        <v xml:space="preserve"> Para el desarrollo de las actividades de control, la entidad considera la adecuada división de las funciones y que éstas se encuentren segregadas en diferentes personas para reducir el riesgo de acciones fraudulentas</v>
      </c>
      <c r="D36" s="116" t="s">
        <v>488</v>
      </c>
      <c r="E36" s="116" t="str">
        <f>+VLOOKUP(A36,'Evaluación de riesgos'!$A$13:$J$211,3,0)</f>
        <v>Dimensión de Control Interno
Líneas de Defensa</v>
      </c>
      <c r="F36" s="116" t="str">
        <f>+VLOOKUP(A36,'Evaluación de riesgos'!$A$13:$J$211,10,0)</f>
        <v>Mantenimiento del control</v>
      </c>
      <c r="G36" s="116">
        <f>+VLOOKUP(A36,'Evaluación de riesgos'!$A$13:$N$211,13,0)</f>
        <v>142.7456</v>
      </c>
      <c r="H36" s="118">
        <f t="shared" si="2"/>
        <v>34</v>
      </c>
      <c r="I36" s="116" t="str">
        <f t="shared" si="5"/>
        <v>Cuando en el análisis de los requerimientos en los diferenes componentes del MECI se cuente con aspectos evaluados en nivel 1 (presente) y 1 (funcionando); 2 (presente) y 1 (funcionando).</v>
      </c>
      <c r="J36" s="116" t="s">
        <v>507</v>
      </c>
      <c r="K36" s="116">
        <f>+IF(ISBLANK(VLOOKUP(A36,'Evaluación de riesgos'!$A$16:$E$211,5,0)),"",VLOOKUP(A36,'Evaluación de riesgos'!$A$16:$E$211,5,0))</f>
        <v>3</v>
      </c>
      <c r="L36" s="116">
        <f>+IF(ISBLANK(VLOOKUP(A36,'Evaluación de riesgos'!$A$16:$I$211,9,9)),"",VLOOKUP(A36,'Evaluación de riesgos'!$A$16:$I$211,9,9))</f>
        <v>3</v>
      </c>
      <c r="M36" s="116">
        <f t="shared" si="4"/>
        <v>1</v>
      </c>
      <c r="N36" s="116">
        <f t="shared" si="3"/>
        <v>0.94117647058823528</v>
      </c>
      <c r="O36" s="116"/>
      <c r="P36" s="116"/>
    </row>
    <row r="37" spans="1:16" x14ac:dyDescent="0.25">
      <c r="A37" s="116" t="s">
        <v>513</v>
      </c>
      <c r="B37" s="116" t="str">
        <f t="shared" si="1"/>
        <v>8</v>
      </c>
      <c r="C37" s="116" t="str">
        <f>+MID(VLOOKUP(A37,'Evaluación de riesgos'!$A$13:$B$211,2,0),4,LEN(VLOOKUP(A37,'Evaluación de riesgos'!$A$13:$B$211,2,0))-4)</f>
        <v xml:space="preserve"> La Alta Dirección evalúa fallas en los controles (diseño y ejecución) para definir cursos de acción apropiados para su mejora</v>
      </c>
      <c r="D37" s="116" t="s">
        <v>488</v>
      </c>
      <c r="E37" s="116" t="str">
        <f>+VLOOKUP(A37,'Evaluación de riesgos'!$A$13:$J$211,3,0)</f>
        <v>Dimensión de Control Interno
Línea Estratégica</v>
      </c>
      <c r="F37" s="116" t="str">
        <f>+VLOOKUP(A37,'Evaluación de riesgos'!$A$13:$J$211,10,0)</f>
        <v>Mantenimiento del control</v>
      </c>
      <c r="G37" s="116">
        <f>+VLOOKUP(A37,'Evaluación de riesgos'!$A$13:$N$211,13,0)</f>
        <v>142.87450000000001</v>
      </c>
      <c r="H37" s="118">
        <f t="shared" si="2"/>
        <v>35</v>
      </c>
      <c r="I37" s="116" t="str">
        <f t="shared" si="5"/>
        <v>Cuando en el análisis de los requerimientos en los diferenes componentes del MECI se cuente con aspectos evaluados en nivel 1 (presente) y 1 (funcionando); 2 (presente) y 1 (funcionando).</v>
      </c>
      <c r="J37" s="116" t="s">
        <v>507</v>
      </c>
      <c r="K37" s="116">
        <f>+IF(ISBLANK(VLOOKUP(A37,'Evaluación de riesgos'!$A$16:$E$211,5,0)),"",VLOOKUP(A37,'Evaluación de riesgos'!$A$16:$E$211,5,0))</f>
        <v>3</v>
      </c>
      <c r="L37" s="116">
        <f>+IF(ISBLANK(VLOOKUP(A37,'Evaluación de riesgos'!$A$16:$I$211,9,9)),"",VLOOKUP(A37,'Evaluación de riesgos'!$A$16:$I$211,9,9))</f>
        <v>3</v>
      </c>
      <c r="M37" s="116">
        <f t="shared" si="4"/>
        <v>1</v>
      </c>
      <c r="N37" s="116">
        <f t="shared" si="3"/>
        <v>0.94117647058823528</v>
      </c>
      <c r="O37" s="116"/>
      <c r="P37" s="116"/>
    </row>
    <row r="38" spans="1:16" x14ac:dyDescent="0.25">
      <c r="A38" s="116" t="s">
        <v>515</v>
      </c>
      <c r="B38" s="116" t="str">
        <f t="shared" si="1"/>
        <v>9</v>
      </c>
      <c r="C38" s="116" t="str">
        <f>+MID(VLOOKUP(A38,'Evaluación de riesgos'!$A$13:$B$211,2,0),4,LEN(VLOOKUP(A38,'Evaluación de riesgos'!$A$13:$B$211,2,0))-4)</f>
        <v xml:space="preserve"> Acorde con lo establecido en la política de Administración del Riesgo, se monitorean los factores internos y externos definidos para la entidad, a fin de establecer cambios en el entorno que determinen nuevos riesgos o ajustes a los existentes</v>
      </c>
      <c r="D38" s="116" t="s">
        <v>488</v>
      </c>
      <c r="E38" s="116" t="str">
        <f>+VLOOKUP(A38,'Evaluación de riesgos'!$A$13:$J$211,3,0)</f>
        <v>Dimensión de Direccionamiento Estratégico 
Política de Planeación Institucional</v>
      </c>
      <c r="F38" s="116" t="str">
        <f>+VLOOKUP(A38,'Evaluación de riesgos'!$A$13:$J$211,10,0)</f>
        <v>Mantenimiento del control</v>
      </c>
      <c r="G38" s="116">
        <f>+VLOOKUP(A38,'Evaluación de riesgos'!$A$13:$N$211,13,0)</f>
        <v>142.96350000000001</v>
      </c>
      <c r="H38" s="118">
        <f t="shared" si="2"/>
        <v>36</v>
      </c>
      <c r="I38" s="116" t="str">
        <f t="shared" si="5"/>
        <v>Cuando en el análisis de los requerimientos en los diferenes componentes del MECI se cuente con aspectos evaluados en nivel 1 (presente) y 1 (funcionando); 2 (presente) y 1 (funcionando).</v>
      </c>
      <c r="J38" s="116" t="s">
        <v>516</v>
      </c>
      <c r="K38" s="116">
        <f>+IF(ISBLANK(VLOOKUP(A38,'Evaluación de riesgos'!$A$16:$E$211,5,0)),"",VLOOKUP(A38,'Evaluación de riesgos'!$A$16:$E$211,5,0))</f>
        <v>3</v>
      </c>
      <c r="L38" s="116">
        <f>+IF(ISBLANK(VLOOKUP(A38,'Evaluación de riesgos'!$A$16:$I$211,9,9)),"",VLOOKUP(A38,'Evaluación de riesgos'!$A$16:$I$211,9,9))</f>
        <v>3</v>
      </c>
      <c r="M38" s="116">
        <f t="shared" si="4"/>
        <v>1</v>
      </c>
      <c r="N38" s="116">
        <f t="shared" si="3"/>
        <v>0.94117647058823528</v>
      </c>
      <c r="O38" s="116"/>
      <c r="P38" s="116"/>
    </row>
    <row r="39" spans="1:16" x14ac:dyDescent="0.25">
      <c r="A39" s="116" t="s">
        <v>518</v>
      </c>
      <c r="B39" s="116" t="str">
        <f t="shared" si="1"/>
        <v>9</v>
      </c>
      <c r="C39" s="116" t="str">
        <f>+MID(VLOOKUP(A39,'Evaluación de riesgos'!$A$13:$B$211,2,0),4,LEN(VLOOKUP(A39,'Evaluación de riesgos'!$A$13:$B$211,2,0))-4)</f>
        <v xml:space="preserve"> La Alta Dirección analiza los riesgos asociados a actividades tercerizadas, regionales u otras figuras externas que afecten la prestación del servicio a los usuarios, basados en los informes de la segunda y tercera línea de defensa</v>
      </c>
      <c r="D39" s="116" t="s">
        <v>488</v>
      </c>
      <c r="E39" s="116" t="str">
        <f>+VLOOKUP(A39,'Evaluación de riesgos'!$A$13:$J$211,3,0)</f>
        <v>Dimensión de Control Interno
Líneas de Defensa</v>
      </c>
      <c r="F39" s="116" t="str">
        <f>+VLOOKUP(A39,'Evaluación de riesgos'!$A$13:$J$211,10,0)</f>
        <v>Mantenimiento del control</v>
      </c>
      <c r="G39" s="116">
        <f>+VLOOKUP(A39,'Evaluación de riesgos'!$A$13:$N$211,13,0)</f>
        <v>143.01249999999999</v>
      </c>
      <c r="H39" s="118">
        <f t="shared" si="2"/>
        <v>37</v>
      </c>
      <c r="I39" s="116" t="str">
        <f t="shared" si="5"/>
        <v>Cuando en el análisis de los requerimientos en los diferenes componentes del MECI se cuente con aspectos evaluados en nivel 1 (presente) y 1 (funcionando); 2 (presente) y 1 (funcionando).</v>
      </c>
      <c r="J39" s="116" t="s">
        <v>516</v>
      </c>
      <c r="K39" s="116">
        <f>+IF(ISBLANK(VLOOKUP(A39,'Evaluación de riesgos'!$A$16:$E$211,5,0)),"",VLOOKUP(A39,'Evaluación de riesgos'!$A$16:$E$211,5,0))</f>
        <v>3</v>
      </c>
      <c r="L39" s="116">
        <f>+IF(ISBLANK(VLOOKUP(A39,'Evaluación de riesgos'!$A$16:$I$211,9,9)),"",VLOOKUP(A39,'Evaluación de riesgos'!$A$16:$I$211,9,9))</f>
        <v>3</v>
      </c>
      <c r="M39" s="116">
        <f t="shared" si="4"/>
        <v>1</v>
      </c>
      <c r="N39" s="116">
        <f t="shared" si="3"/>
        <v>0.94117647058823528</v>
      </c>
      <c r="O39" s="116"/>
      <c r="P39" s="116"/>
    </row>
    <row r="40" spans="1:16" x14ac:dyDescent="0.25">
      <c r="A40" s="116" t="s">
        <v>520</v>
      </c>
      <c r="B40" s="116" t="str">
        <f t="shared" si="1"/>
        <v>9</v>
      </c>
      <c r="C40" s="116" t="str">
        <f>+MID(VLOOKUP(A40,'Evaluación de riesgos'!$A$13:$B$211,2,0),4,LEN(VLOOKUP(A40,'Evaluación de riesgos'!$A$13:$B$211,2,0))-4)</f>
        <v xml:space="preserve"> La Alta Dirección monitorea los riesgos aceptados revisando que sus condiciones no hayan cambiado y definir su pertinencia para sostenerlos o ajustarlos</v>
      </c>
      <c r="D40" s="116" t="s">
        <v>488</v>
      </c>
      <c r="E40" s="116" t="str">
        <f>+VLOOKUP(A40,'Evaluación de riesgos'!$A$13:$J$211,3,0)</f>
        <v>Dimensión de Control Interno
Línea Estratégica</v>
      </c>
      <c r="F40" s="116" t="str">
        <f>+VLOOKUP(A40,'Evaluación de riesgos'!$A$13:$J$211,10,0)</f>
        <v>Mantenimiento del control</v>
      </c>
      <c r="G40" s="116">
        <f>+VLOOKUP(A40,'Evaluación de riesgos'!$A$13:$N$211,13,0)</f>
        <v>143.12360000000001</v>
      </c>
      <c r="H40" s="118">
        <f t="shared" si="2"/>
        <v>38</v>
      </c>
      <c r="I40" s="116" t="str">
        <f t="shared" si="5"/>
        <v>Cuando en el análisis de los requerimientos en los diferenes componentes del MECI se cuente con aspectos evaluados en nivel 1 (presente) y 1 (funcionando); 2 (presente) y 1 (funcionando).</v>
      </c>
      <c r="J40" s="116" t="s">
        <v>516</v>
      </c>
      <c r="K40" s="116">
        <f>+IF(ISBLANK(VLOOKUP(A40,'Evaluación de riesgos'!$A$16:$E$211,5,0)),"",VLOOKUP(A40,'Evaluación de riesgos'!$A$16:$E$211,5,0))</f>
        <v>3</v>
      </c>
      <c r="L40" s="116">
        <f>+IF(ISBLANK(VLOOKUP(A40,'Evaluación de riesgos'!$A$16:$I$211,9,9)),"",VLOOKUP(A40,'Evaluación de riesgos'!$A$16:$I$211,9,9))</f>
        <v>3</v>
      </c>
      <c r="M40" s="116">
        <f t="shared" si="4"/>
        <v>1</v>
      </c>
      <c r="N40" s="116">
        <f t="shared" si="3"/>
        <v>0.94117647058823528</v>
      </c>
      <c r="O40" s="116"/>
      <c r="P40" s="116"/>
    </row>
    <row r="41" spans="1:16" x14ac:dyDescent="0.25">
      <c r="A41" s="116" t="s">
        <v>522</v>
      </c>
      <c r="B41" s="116" t="str">
        <f t="shared" si="1"/>
        <v>9</v>
      </c>
      <c r="C41" s="116" t="str">
        <f>+MID(VLOOKUP(A41,'Evaluación de riesgos'!$A$13:$B$211,2,0),4,LEN(VLOOKUP(A41,'Evaluación de riesgos'!$A$13:$B$211,2,0))-4)</f>
        <v xml:space="preserve"> La Alta Dirección evalúa fallas en los controles (diseño y ejecución) para definir cursos de acción apropiados para su mejora, basados en los informes de la segunda y tercera línea de defensa</v>
      </c>
      <c r="D41" s="116" t="s">
        <v>488</v>
      </c>
      <c r="E41" s="116" t="str">
        <f>+VLOOKUP(A41,'Evaluación de riesgos'!$A$13:$J$211,3,0)</f>
        <v>Dimensión de Control Interno
Líneas de Defensa</v>
      </c>
      <c r="F41" s="116" t="str">
        <f>+VLOOKUP(A41,'Evaluación de riesgos'!$A$13:$J$211,10,0)</f>
        <v>Mantenimiento del control</v>
      </c>
      <c r="G41" s="116">
        <f>+VLOOKUP(A41,'Evaluación de riesgos'!$A$13:$N$211,13,0)</f>
        <v>143.2456</v>
      </c>
      <c r="H41" s="118">
        <f t="shared" si="2"/>
        <v>39</v>
      </c>
      <c r="I41" s="116" t="str">
        <f t="shared" si="5"/>
        <v>Cuando en el análisis de los requerimientos en los diferenes componentes del MECI se cuente con aspectos evaluados en nivel 1 (presente) y 1 (funcionando); 2 (presente) y 1 (funcionando).</v>
      </c>
      <c r="J41" s="116" t="s">
        <v>516</v>
      </c>
      <c r="K41" s="116">
        <f>+IF(ISBLANK(VLOOKUP(A41,'Evaluación de riesgos'!$A$16:$E$211,5,0)),"",VLOOKUP(A41,'Evaluación de riesgos'!$A$16:$E$211,5,0))</f>
        <v>3</v>
      </c>
      <c r="L41" s="116">
        <f>+IF(ISBLANK(VLOOKUP(A41,'Evaluación de riesgos'!$A$16:$I$211,9,9)),"",VLOOKUP(A41,'Evaluación de riesgos'!$A$16:$I$211,9,9))</f>
        <v>3</v>
      </c>
      <c r="M41" s="116">
        <f t="shared" si="4"/>
        <v>1</v>
      </c>
      <c r="N41" s="116">
        <f t="shared" si="3"/>
        <v>0.94117647058823528</v>
      </c>
      <c r="O41" s="116"/>
      <c r="P41" s="116"/>
    </row>
    <row r="42" spans="1:16" x14ac:dyDescent="0.25">
      <c r="A42" s="116" t="s">
        <v>524</v>
      </c>
      <c r="B42" s="116" t="str">
        <f t="shared" si="1"/>
        <v>9</v>
      </c>
      <c r="C42" s="116" t="str">
        <f>+MID(VLOOKUP(A42,'Evaluación de riesgos'!$A$13:$B$211,2,0),4,LEN(VLOOKUP(A42,'Evaluación de riesgos'!$A$13:$B$211,2,0))-4)</f>
        <v xml:space="preserve"> La entidad analiza el impacto sobre el control interno por cambios en los diferentes niveles organizacionales</v>
      </c>
      <c r="D42" s="116" t="s">
        <v>488</v>
      </c>
      <c r="E42" s="116" t="str">
        <f>+VLOOKUP(A42,'Evaluación de riesgos'!$A$13:$J$211,3,0)</f>
        <v>Dimensión de Direccionamiento Estratégico y Planeación
Política de Planeación Institucional
Dimensión de Control Interno
Línea Estratégica</v>
      </c>
      <c r="F42" s="116" t="str">
        <f>+VLOOKUP(A42,'Evaluación de riesgos'!$A$13:$J$211,10,0)</f>
        <v>Mantenimiento del control</v>
      </c>
      <c r="G42" s="116">
        <f>+VLOOKUP(A42,'Evaluación de riesgos'!$A$13:$N$211,13,0)</f>
        <v>143.36539999999999</v>
      </c>
      <c r="H42" s="118">
        <f t="shared" si="2"/>
        <v>40</v>
      </c>
      <c r="I42" s="116" t="str">
        <f t="shared" si="5"/>
        <v>Cuando en el análisis de los requerimientos en los diferenes componentes del MECI se cuente con aspectos evaluados en nivel 1 (presente) y 1 (funcionando); 2 (presente) y 1 (funcionando).</v>
      </c>
      <c r="J42" s="116" t="s">
        <v>516</v>
      </c>
      <c r="K42" s="116">
        <f>+IF(ISBLANK(VLOOKUP(A42,'Evaluación de riesgos'!$A$16:$E$211,5,0)),"",VLOOKUP(A42,'Evaluación de riesgos'!$A$16:$E$211,5,0))</f>
        <v>3</v>
      </c>
      <c r="L42" s="116">
        <f>+IF(ISBLANK(VLOOKUP(A42,'Evaluación de riesgos'!$A$16:$I$211,9,9)),"",VLOOKUP(A42,'Evaluación de riesgos'!$A$16:$I$211,9,9))</f>
        <v>3</v>
      </c>
      <c r="M42" s="116">
        <f t="shared" si="4"/>
        <v>1</v>
      </c>
      <c r="N42" s="116">
        <f t="shared" si="3"/>
        <v>0.94117647058823528</v>
      </c>
      <c r="O42" s="116"/>
      <c r="P42" s="116"/>
    </row>
    <row r="43" spans="1:16" x14ac:dyDescent="0.25">
      <c r="A43" s="116" t="s">
        <v>526</v>
      </c>
      <c r="B43" s="116" t="str">
        <f>+LEFT(A43,2)</f>
        <v>10</v>
      </c>
      <c r="C43" s="116" t="str">
        <f>+MID(VLOOKUP(A43,'Actividades de control'!$D$13:$E$254,2,0),5,LEN(VLOOKUP(A43,'Actividades de control'!$D$13:$E$254,2,0))-5)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116" t="s">
        <v>527</v>
      </c>
      <c r="E43" s="116" t="str">
        <f>+VLOOKUP(A43,'Actividades de control'!$D$18:$M$201,3,0)</f>
        <v>Dimensión de Control Interno
Líneas de Defensa</v>
      </c>
      <c r="F43" s="116" t="str">
        <f>+VLOOKUP(A43,'Actividades de control'!$D$18:$M$201,10,0)</f>
        <v>Mantenimiento del control</v>
      </c>
      <c r="G43" s="116">
        <f>+VLOOKUP(A43,'Actividades de control'!$D$13:$P$254,13,0)</f>
        <v>223.45689999999999</v>
      </c>
      <c r="H43" s="118">
        <f t="shared" si="2"/>
        <v>42</v>
      </c>
      <c r="I43" s="116" t="str">
        <f t="shared" si="5"/>
        <v>Cuando en el análisis de los requerimientos en los diferenes componentes del MECI se cuente con aspectos evaluados en nivel 1 (presente) y 1 (funcionando); 2 (presente) y 1 (funcionando).</v>
      </c>
      <c r="J43" s="116" t="s">
        <v>528</v>
      </c>
      <c r="K43" s="116">
        <f>+IF(ISBLANK(VLOOKUP(A43,'Actividades de control'!$D$21:$H$201,5,0)),"",VLOOKUP(A43,'Actividades de control'!$D$21:$H$201,5,0))</f>
        <v>3</v>
      </c>
      <c r="L43" s="116">
        <f>+IF(ISBLANK(VLOOKUP(A43,'Actividades de control'!$D$21:$L$201,9,0)),"",VLOOKUP(A43,'Actividades de control'!$D$21:$L$201,9,0))</f>
        <v>3</v>
      </c>
      <c r="M43" s="116">
        <f t="shared" si="4"/>
        <v>1</v>
      </c>
      <c r="N43" s="116">
        <f t="shared" si="3"/>
        <v>0.95833333333333337</v>
      </c>
      <c r="O43" s="116"/>
      <c r="P43" s="116"/>
    </row>
    <row r="44" spans="1:16" x14ac:dyDescent="0.25">
      <c r="A44" s="116" t="s">
        <v>530</v>
      </c>
      <c r="B44" s="116" t="str">
        <f t="shared" ref="B44:B82" si="6">+LEFT(A44,2)</f>
        <v>10</v>
      </c>
      <c r="C44" s="116" t="str">
        <f>+MID(VLOOKUP(A44,'Actividades de control'!$D$13:$E$254,2,0),5,LEN(VLOOKUP(A44,'Actividades de control'!$D$13:$E$254,2,0))-5)</f>
        <v xml:space="preserve"> Se han identificado y documentado las situaciones específicas en donde no es posible segregar adecuadamente las funciones (ej.: falta de personal, presupuesto), con el fin de definir actividades de control alternativas para cubrir los riesgos identificados.</v>
      </c>
      <c r="D44" s="116" t="s">
        <v>527</v>
      </c>
      <c r="E44" s="116" t="str">
        <f>+VLOOKUP(A44,'Actividades de control'!$D$18:$M$201,3,0)</f>
        <v>Dimensión de Control Interno
Líneas de Defensa</v>
      </c>
      <c r="F44" s="116" t="str">
        <f>+VLOOKUP(A44,'Actividades de control'!$D$18:$M$201,10,0)</f>
        <v>Deficiencia de control (diseño o ejecución)</v>
      </c>
      <c r="G44" s="116">
        <f>+VLOOKUP(A44,'Actividades de control'!$D$13:$P$254,13,0)</f>
        <v>183.5478</v>
      </c>
      <c r="H44" s="118">
        <f t="shared" si="2"/>
        <v>41</v>
      </c>
      <c r="I44" s="116" t="str">
        <f t="shared" si="5"/>
        <v>Cuando en el análisis de los requerimientos en los diferenes componentes del MECI se cuente con aspectos evaluados en nivel 2 (presente) y 2 (funcionando); 3 (presente) y 1 (funcionando); 3 (presente) y 2 (funcionando).</v>
      </c>
      <c r="J44" s="116" t="s">
        <v>528</v>
      </c>
      <c r="K44" s="116">
        <f>+IF(ISBLANK(VLOOKUP(A44,'Actividades de control'!$D$21:$H$201,5,0)),"",VLOOKUP(A44,'Actividades de control'!$D$21:$H$201,5,0))</f>
        <v>3</v>
      </c>
      <c r="L44" s="116">
        <f>+IF(ISBLANK(VLOOKUP(A44,'Actividades de control'!$D$21:$L$201,9,0)),"",VLOOKUP(A44,'Actividades de control'!$D$21:$L$201,9,0))</f>
        <v>2</v>
      </c>
      <c r="M44" s="116">
        <f t="shared" si="4"/>
        <v>0.5</v>
      </c>
      <c r="N44" s="116">
        <f t="shared" si="3"/>
        <v>0.95833333333333337</v>
      </c>
      <c r="O44" s="116"/>
      <c r="P44" s="116"/>
    </row>
    <row r="45" spans="1:16" x14ac:dyDescent="0.25">
      <c r="A45" s="116" t="s">
        <v>532</v>
      </c>
      <c r="B45" s="116" t="str">
        <f t="shared" si="6"/>
        <v>10</v>
      </c>
      <c r="C45" s="116" t="str">
        <f>+MID(VLOOKUP(A45,'Actividades de control'!$D$13:$E$254,2,0),5,LEN(VLOOKUP(A45,'Actividades de control'!$D$13:$E$254,2,0))-5)</f>
        <v xml:space="preserve"> El diseño de otros  sistemas de gestión (bajo normas o estándares internacionales como la ISO), se integran de forma adecuada a la estructura de control de la entidad</v>
      </c>
      <c r="D45" s="116" t="s">
        <v>527</v>
      </c>
      <c r="E45" s="116" t="str">
        <f>+VLOOKUP(A45,'Actividades de control'!$D$18:$M$201,3,0)</f>
        <v xml:space="preserve">
Dimensión de Gestión con Valores para Resultados
Dimensión de Control Interno
Líneas de Defensa</v>
      </c>
      <c r="F45" s="116" t="str">
        <f>+VLOOKUP(A45,'Actividades de control'!$D$18:$M$201,10,0)</f>
        <v>Mantenimiento del control</v>
      </c>
      <c r="G45" s="116">
        <f>+VLOOKUP(A45,'Actividades de control'!$D$13:$P$254,13,0)</f>
        <v>223.64580000000001</v>
      </c>
      <c r="H45" s="118">
        <f t="shared" si="2"/>
        <v>43</v>
      </c>
      <c r="I45" s="116" t="str">
        <f t="shared" si="5"/>
        <v>Cuando en el análisis de los requerimientos en los diferenes componentes del MECI se cuente con aspectos evaluados en nivel 1 (presente) y 1 (funcionando); 2 (presente) y 1 (funcionando).</v>
      </c>
      <c r="J45" s="116" t="s">
        <v>528</v>
      </c>
      <c r="K45" s="116">
        <f>+IF(ISBLANK(VLOOKUP(A45,'Actividades de control'!$D$21:$H$201,5,0)),"",VLOOKUP(A45,'Actividades de control'!$D$21:$H$201,5,0))</f>
        <v>3</v>
      </c>
      <c r="L45" s="116">
        <f>+IF(ISBLANK(VLOOKUP(A45,'Actividades de control'!$D$21:$L$201,9,0)),"",VLOOKUP(A45,'Actividades de control'!$D$21:$L$201,9,0))</f>
        <v>3</v>
      </c>
      <c r="M45" s="116">
        <f t="shared" si="4"/>
        <v>1</v>
      </c>
      <c r="N45" s="116">
        <f t="shared" si="3"/>
        <v>0.95833333333333337</v>
      </c>
      <c r="O45" s="116"/>
      <c r="P45" s="116"/>
    </row>
    <row r="46" spans="1:16" x14ac:dyDescent="0.25">
      <c r="A46" s="116" t="s">
        <v>293</v>
      </c>
      <c r="B46" s="116" t="str">
        <f t="shared" si="6"/>
        <v>11</v>
      </c>
      <c r="C46" s="116" t="str">
        <f>+MID(VLOOKUP(A46,'Actividades de control'!$D$13:$E$254,2,0),5,LEN(VLOOKUP(A46,'Actividades de control'!$D$13:$E$254,2,0))-5)</f>
        <v xml:space="preserve"> La entidad establece actividades de control relevantes sobre las infraestructuras tecnológicas; los procesos de gestión de la seguridad y sobre los procesos de adquisición, desarrollo y mantenimiento de tecnologías</v>
      </c>
      <c r="D46" s="116" t="s">
        <v>527</v>
      </c>
      <c r="E46" s="116" t="str">
        <f>+VLOOKUP(A46,'Actividades de control'!$D$18:$M$201,3,0)</f>
        <v xml:space="preserve">Dimensión de Gestión con Valores para el Resultado
Política de Gobierno Digital 
Política de Seguridad Digital
</v>
      </c>
      <c r="F46" s="116" t="str">
        <f>+VLOOKUP(A46,'Actividades de control'!$D$18:$M$201,10,0)</f>
        <v>Mantenimiento del control</v>
      </c>
      <c r="G46" s="116">
        <f>+VLOOKUP(A46,'Actividades de control'!$D$13:$P$254,13,0)</f>
        <v>223.78960000000001</v>
      </c>
      <c r="H46" s="118">
        <f t="shared" si="2"/>
        <v>44</v>
      </c>
      <c r="I46" s="116" t="str">
        <f t="shared" si="5"/>
        <v>Cuando en el análisis de los requerimientos en los diferenes componentes del MECI se cuente con aspectos evaluados en nivel 1 (presente) y 1 (funcionando); 2 (presente) y 1 (funcionando).</v>
      </c>
      <c r="J46" s="116" t="s">
        <v>534</v>
      </c>
      <c r="K46" s="116">
        <f>+IF(ISBLANK(VLOOKUP(A46,'Actividades de control'!$D$21:$H$201,5,0)),"",VLOOKUP(A46,'Actividades de control'!$D$21:$H$201,5,0))</f>
        <v>3</v>
      </c>
      <c r="L46" s="116">
        <f>+IF(ISBLANK(VLOOKUP(A46,'Actividades de control'!$D$21:$L$201,9,0)),"",VLOOKUP(A46,'Actividades de control'!$D$21:$L$201,9,0))</f>
        <v>3</v>
      </c>
      <c r="M46" s="116">
        <f t="shared" si="4"/>
        <v>1</v>
      </c>
      <c r="N46" s="116">
        <f t="shared" si="3"/>
        <v>0.95833333333333337</v>
      </c>
      <c r="O46" s="116"/>
      <c r="P46" s="116"/>
    </row>
    <row r="47" spans="1:16" x14ac:dyDescent="0.25">
      <c r="A47" s="116" t="s">
        <v>296</v>
      </c>
      <c r="B47" s="116" t="str">
        <f t="shared" si="6"/>
        <v>11</v>
      </c>
      <c r="C47" s="116" t="str">
        <f>+MID(VLOOKUP(A47,'Actividades de control'!$D$13:$E$254,2,0),5,LEN(VLOOKUP(A47,'Actividades de control'!$D$13:$E$254,2,0))-5)</f>
        <v xml:space="preserve">  Para los proveedores de tecnología  selecciona y desarrolla actividades de control internas sobre las actividades realizadas por el proveedor de servicios</v>
      </c>
      <c r="D47" s="116" t="s">
        <v>527</v>
      </c>
      <c r="E47" s="116" t="str">
        <f>+VLOOKUP(A47,'Actividades de control'!$D$18:$M$201,3,0)</f>
        <v xml:space="preserve">Dimensión de Gestión con Valores para el Resultado
Política de Gobierno Digital 
Política de Seguridad Digital
</v>
      </c>
      <c r="F47" s="116" t="str">
        <f>+VLOOKUP(A47,'Actividades de control'!$D$18:$M$201,10,0)</f>
        <v>Mantenimiento del control</v>
      </c>
      <c r="G47" s="116">
        <f>+VLOOKUP(A47,'Actividades de control'!$D$13:$P$254,13,0)</f>
        <v>223.84559999999999</v>
      </c>
      <c r="H47" s="118">
        <f t="shared" si="2"/>
        <v>45</v>
      </c>
      <c r="I47" s="116" t="str">
        <f t="shared" si="5"/>
        <v>Cuando en el análisis de los requerimientos en los diferenes componentes del MECI se cuente con aspectos evaluados en nivel 1 (presente) y 1 (funcionando); 2 (presente) y 1 (funcionando).</v>
      </c>
      <c r="J47" s="116" t="s">
        <v>534</v>
      </c>
      <c r="K47" s="116">
        <f>+IF(ISBLANK(VLOOKUP(A47,'Actividades de control'!$D$21:$H$201,5,0)),"",VLOOKUP(A47,'Actividades de control'!$D$21:$H$201,5,0))</f>
        <v>3</v>
      </c>
      <c r="L47" s="116">
        <f>+IF(ISBLANK(VLOOKUP(A47,'Actividades de control'!$D$21:$L$201,9,0)),"",VLOOKUP(A47,'Actividades de control'!$D$21:$L$201,9,0))</f>
        <v>3</v>
      </c>
      <c r="M47" s="116">
        <f t="shared" si="4"/>
        <v>1</v>
      </c>
      <c r="N47" s="116">
        <f t="shared" si="3"/>
        <v>0.95833333333333337</v>
      </c>
      <c r="O47" s="116"/>
      <c r="P47" s="116"/>
    </row>
    <row r="48" spans="1:16" x14ac:dyDescent="0.25">
      <c r="A48" s="116" t="s">
        <v>537</v>
      </c>
      <c r="B48" s="116" t="str">
        <f t="shared" si="6"/>
        <v>11</v>
      </c>
      <c r="C48" s="116" t="str">
        <f>+MID(VLOOKUP(A48,'Actividades de control'!$D$13:$E$254,2,0),5,LEN(VLOOKUP(A48,'Actividades de control'!$D$13:$E$254,2,0))-5)</f>
        <v xml:space="preserve"> Se cuenta con matrices de roles y usuarios siguiendo los principios de segregación de funciones.</v>
      </c>
      <c r="D48" s="116" t="s">
        <v>527</v>
      </c>
      <c r="E48" s="116" t="str">
        <f>+VLOOKUP(A48,'Actividades de control'!$D$18:$M$201,3,0)</f>
        <v xml:space="preserve">Dimensión de Gestión con Valores para el Resultado
Política de Fortalecimiento Organizacional y Simplificación de Procesos.
</v>
      </c>
      <c r="F48" s="116" t="str">
        <f>+VLOOKUP(A48,'Actividades de control'!$D$18:$M$201,10,0)</f>
        <v>Mantenimiento del control</v>
      </c>
      <c r="G48" s="116">
        <f>+VLOOKUP(A48,'Actividades de control'!$D$13:$P$254,13,0)</f>
        <v>223.96539999999999</v>
      </c>
      <c r="H48" s="118">
        <f t="shared" si="2"/>
        <v>46</v>
      </c>
      <c r="I48" s="116" t="str">
        <f t="shared" si="5"/>
        <v>Cuando en el análisis de los requerimientos en los diferenes componentes del MECI se cuente con aspectos evaluados en nivel 1 (presente) y 1 (funcionando); 2 (presente) y 1 (funcionando).</v>
      </c>
      <c r="J48" s="116" t="s">
        <v>534</v>
      </c>
      <c r="K48" s="116">
        <f>+IF(ISBLANK(VLOOKUP(A48,'Actividades de control'!$D$21:$H$201,5,0)),"",VLOOKUP(A48,'Actividades de control'!$D$21:$H$201,5,0))</f>
        <v>3</v>
      </c>
      <c r="L48" s="116">
        <f>+IF(ISBLANK(VLOOKUP(A48,'Actividades de control'!$D$21:$L$201,9,0)),"",VLOOKUP(A48,'Actividades de control'!$D$21:$L$201,9,0))</f>
        <v>3</v>
      </c>
      <c r="M48" s="116">
        <f t="shared" si="4"/>
        <v>1</v>
      </c>
      <c r="N48" s="116">
        <f t="shared" si="3"/>
        <v>0.95833333333333337</v>
      </c>
      <c r="O48" s="116"/>
      <c r="P48" s="116"/>
    </row>
    <row r="49" spans="1:16" x14ac:dyDescent="0.25">
      <c r="A49" s="116" t="s">
        <v>539</v>
      </c>
      <c r="B49" s="116" t="str">
        <f t="shared" si="6"/>
        <v>11</v>
      </c>
      <c r="C49" s="116" t="str">
        <f>+MID(VLOOKUP(A49,'Actividades de control'!$D$13:$E$254,2,0),5,LEN(VLOOKUP(A49,'Actividades de control'!$D$13:$E$254,2,0))-5)</f>
        <v xml:space="preserve"> Se cuenta con información de la 3a línea de defensa, como evaluador independiente en relación con los controles implementados por el proveedor de servicios, para  asegurar que los riesgos relacionados se mitigan.</v>
      </c>
      <c r="D49" s="116" t="s">
        <v>527</v>
      </c>
      <c r="E49" s="116" t="str">
        <f>+VLOOKUP(A49,'Actividades de control'!$D$18:$M$201,3,0)</f>
        <v>Dimensión Control Interno
Tercera Línea de Defensa</v>
      </c>
      <c r="F49" s="116" t="str">
        <f>+VLOOKUP(A49,'Actividades de control'!$D$18:$M$201,10,0)</f>
        <v>Mantenimiento del control</v>
      </c>
      <c r="G49" s="116">
        <f>+VLOOKUP(A49,'Actividades de control'!$D$13:$P$254,13,0)</f>
        <v>224.01230000000001</v>
      </c>
      <c r="H49" s="118">
        <f t="shared" si="2"/>
        <v>47</v>
      </c>
      <c r="I49" s="116" t="str">
        <f t="shared" si="5"/>
        <v>Cuando en el análisis de los requerimientos en los diferenes componentes del MECI se cuente con aspectos evaluados en nivel 1 (presente) y 1 (funcionando); 2 (presente) y 1 (funcionando).</v>
      </c>
      <c r="J49" s="116" t="s">
        <v>534</v>
      </c>
      <c r="K49" s="116">
        <f>+IF(ISBLANK(VLOOKUP(A49,'Actividades de control'!$D$21:$H$201,5,0)),"",VLOOKUP(A49,'Actividades de control'!$D$21:$H$201,5,0))</f>
        <v>3</v>
      </c>
      <c r="L49" s="116">
        <f>+IF(ISBLANK(VLOOKUP(A49,'Actividades de control'!$D$21:$L$201,9,0)),"",VLOOKUP(A49,'Actividades de control'!$D$21:$L$201,9,0))</f>
        <v>3</v>
      </c>
      <c r="M49" s="116">
        <f t="shared" si="4"/>
        <v>1</v>
      </c>
      <c r="N49" s="116">
        <f t="shared" si="3"/>
        <v>0.95833333333333337</v>
      </c>
      <c r="O49" s="116"/>
      <c r="P49" s="116"/>
    </row>
    <row r="50" spans="1:16" x14ac:dyDescent="0.25">
      <c r="A50" s="116" t="s">
        <v>541</v>
      </c>
      <c r="B50" s="116" t="str">
        <f t="shared" si="6"/>
        <v>12</v>
      </c>
      <c r="C50" s="116" t="str">
        <f>+MID(VLOOKUP(A50,'Actividades de control'!$D$13:$E$254,2,0),5,LEN(VLOOKUP(A50,'Actividades de control'!$D$13:$E$254,2,0))-5)</f>
        <v xml:space="preserve"> Se evalúa la actualización de procesos, procedimientos, políticas de operación, instructivos, manuales u otras herramientas para garantizar la aplicación adecuada de las principales actividades de control.
</v>
      </c>
      <c r="D50" s="116" t="s">
        <v>527</v>
      </c>
      <c r="E50" s="116" t="str">
        <f>+VLOOKUP(A50,'Actividades de control'!$D$18:$M$201,3,0)</f>
        <v>Dimensión de Gestión con Valores para el Resultado
Política de Fortalecimiento Organizacional y Simplificación de Procesos.</v>
      </c>
      <c r="F50" s="116" t="str">
        <f>+VLOOKUP(A50,'Actividades de control'!$D$18:$M$201,10,0)</f>
        <v>Mantenimiento del control</v>
      </c>
      <c r="G50" s="116">
        <f>+VLOOKUP(A50,'Actividades de control'!$D$13:$P$254,13,0)</f>
        <v>224.12360000000001</v>
      </c>
      <c r="H50" s="118">
        <f t="shared" si="2"/>
        <v>48</v>
      </c>
      <c r="I50" s="116" t="str">
        <f t="shared" si="5"/>
        <v>Cuando en el análisis de los requerimientos en los diferenes componentes del MECI se cuente con aspectos evaluados en nivel 1 (presente) y 1 (funcionando); 2 (presente) y 1 (funcionando).</v>
      </c>
      <c r="J50" s="116" t="s">
        <v>542</v>
      </c>
      <c r="K50" s="116">
        <f>+IF(ISBLANK(VLOOKUP(A50,'Actividades de control'!$D$21:$H$201,5,0)),"",VLOOKUP(A50,'Actividades de control'!$D$21:$H$201,5,0))</f>
        <v>3</v>
      </c>
      <c r="L50" s="116">
        <f>+IF(ISBLANK(VLOOKUP(A50,'Actividades de control'!$D$21:$L$201,9,0)),"",VLOOKUP(A50,'Actividades de control'!$D$21:$L$201,9,0))</f>
        <v>3</v>
      </c>
      <c r="M50" s="116">
        <f t="shared" si="4"/>
        <v>1</v>
      </c>
      <c r="N50" s="116">
        <f t="shared" si="3"/>
        <v>0.95833333333333337</v>
      </c>
      <c r="O50" s="116"/>
      <c r="P50" s="116"/>
    </row>
    <row r="51" spans="1:16" x14ac:dyDescent="0.25">
      <c r="A51" s="116" t="s">
        <v>544</v>
      </c>
      <c r="B51" s="116" t="str">
        <f t="shared" si="6"/>
        <v>12</v>
      </c>
      <c r="C51" s="116" t="str">
        <f>+MID(VLOOKUP(A51,'Actividades de control'!$D$13:$E$254,2,0),6,LEN(VLOOKUP(A51,'Actividades de control'!$D$13:$E$254,2,0))-6)</f>
        <v xml:space="preserve"> El diseño de controles se evalúa frente a la gestión del riesgo</v>
      </c>
      <c r="D51" s="116" t="s">
        <v>527</v>
      </c>
      <c r="E51" s="116" t="str">
        <f>+VLOOKUP(A51,'Actividades de control'!$D$18:$M$201,3,0)</f>
        <v xml:space="preserve">Todas las Dimensiones de MIPG 
</v>
      </c>
      <c r="F51" s="116" t="str">
        <f>+VLOOKUP(A51,'Actividades de control'!$D$18:$M$201,10,0)</f>
        <v>Mantenimiento del control</v>
      </c>
      <c r="G51" s="116">
        <f>+VLOOKUP(A51,'Actividades de control'!$D$13:$P$254,13,0)</f>
        <v>224.23650000000001</v>
      </c>
      <c r="H51" s="118">
        <f t="shared" si="2"/>
        <v>49</v>
      </c>
      <c r="I51" s="116" t="str">
        <f t="shared" si="5"/>
        <v>Cuando en el análisis de los requerimientos en los diferenes componentes del MECI se cuente con aspectos evaluados en nivel 1 (presente) y 1 (funcionando); 2 (presente) y 1 (funcionando).</v>
      </c>
      <c r="J51" s="116" t="s">
        <v>542</v>
      </c>
      <c r="K51" s="116">
        <f>+IF(ISBLANK(VLOOKUP(A51,'Actividades de control'!$D$21:$H$201,5,0)),"",VLOOKUP(A51,'Actividades de control'!$D$21:$H$201,5,0))</f>
        <v>3</v>
      </c>
      <c r="L51" s="116">
        <f>+IF(ISBLANK(VLOOKUP(A51,'Actividades de control'!$D$21:$L$201,9,0)),"",VLOOKUP(A51,'Actividades de control'!$D$21:$L$201,9,0))</f>
        <v>3</v>
      </c>
      <c r="M51" s="116">
        <f t="shared" si="4"/>
        <v>1</v>
      </c>
      <c r="N51" s="116">
        <f t="shared" si="3"/>
        <v>0.95833333333333337</v>
      </c>
      <c r="O51" s="116"/>
      <c r="P51" s="116"/>
    </row>
    <row r="52" spans="1:16" x14ac:dyDescent="0.25">
      <c r="A52" s="116" t="s">
        <v>546</v>
      </c>
      <c r="B52" s="116" t="str">
        <f t="shared" si="6"/>
        <v>12</v>
      </c>
      <c r="C52" s="116" t="str">
        <f>+MID(VLOOKUP(A52,'Actividades de control'!$D$13:$E$254,2,0),6,LEN(VLOOKUP(A52,'Actividades de control'!$D$13:$E$254,2,0))-6)</f>
        <v xml:space="preserve"> Monitoreo a los riesgos acorde con la política de administración de riesgo establecida para la entidad.</v>
      </c>
      <c r="D52" s="116" t="s">
        <v>527</v>
      </c>
      <c r="E52" s="116" t="str">
        <f>+VLOOKUP(A52,'Actividades de control'!$D$18:$M$201,3,0)</f>
        <v>Dimensión de Direccionamiento Estratégico y Planeación
Política de Planeación Institucional.</v>
      </c>
      <c r="F52" s="116" t="str">
        <f>+VLOOKUP(A52,'Actividades de control'!$D$18:$M$201,10,0)</f>
        <v>Mantenimiento del control</v>
      </c>
      <c r="G52" s="116">
        <f>+VLOOKUP(A52,'Actividades de control'!$D$13:$P$254,13,0)</f>
        <v>224.23656</v>
      </c>
      <c r="H52" s="118">
        <f t="shared" si="2"/>
        <v>50</v>
      </c>
      <c r="I52" s="116" t="str">
        <f t="shared" si="5"/>
        <v>Cuando en el análisis de los requerimientos en los diferenes componentes del MECI se cuente con aspectos evaluados en nivel 1 (presente) y 1 (funcionando); 2 (presente) y 1 (funcionando).</v>
      </c>
      <c r="J52" s="116" t="s">
        <v>542</v>
      </c>
      <c r="K52" s="116">
        <f>+IF(ISBLANK(VLOOKUP(A52,'Actividades de control'!$D$21:$H$201,5,0)),"",VLOOKUP(A52,'Actividades de control'!$D$21:$H$201,5,0))</f>
        <v>3</v>
      </c>
      <c r="L52" s="116">
        <f>+IF(ISBLANK(VLOOKUP(A52,'Actividades de control'!$D$21:$L$201,9,0)),"",VLOOKUP(A52,'Actividades de control'!$D$21:$L$201,9,0))</f>
        <v>3</v>
      </c>
      <c r="M52" s="116">
        <f t="shared" si="4"/>
        <v>1</v>
      </c>
      <c r="N52" s="116">
        <f t="shared" si="3"/>
        <v>0.95833333333333337</v>
      </c>
      <c r="O52" s="116"/>
      <c r="P52" s="116"/>
    </row>
    <row r="53" spans="1:16" x14ac:dyDescent="0.25">
      <c r="A53" s="116" t="s">
        <v>548</v>
      </c>
      <c r="B53" s="116" t="str">
        <f t="shared" si="6"/>
        <v>12</v>
      </c>
      <c r="C53" s="116" t="str">
        <f>+MID(VLOOKUP(A53,'Actividades de control'!$D$13:$E$254,2,0),6,LEN(VLOOKUP(A53,'Actividades de control'!$D$13:$E$254,2,0))-6)</f>
        <v>Verificación de que los responsables estén ejecutando los controles tal como han sido diseñados</v>
      </c>
      <c r="D53" s="116" t="s">
        <v>527</v>
      </c>
      <c r="E53" s="116" t="str">
        <f>+VLOOKUP(A53,'Actividades de control'!$D$18:$M$201,3,0)</f>
        <v>Dimensión Control Interno
Segunda Línea de Defensa</v>
      </c>
      <c r="F53" s="116" t="str">
        <f>+VLOOKUP(A53,'Actividades de control'!$D$18:$M$201,10,0)</f>
        <v>Mantenimiento del control</v>
      </c>
      <c r="G53" s="116">
        <f>+VLOOKUP(A53,'Actividades de control'!$D$13:$P$254,13,0)</f>
        <v>224.23656800000001</v>
      </c>
      <c r="H53" s="118">
        <f>+_xlfn.RANK.EQ(G53,$G$2:$G$82,1)</f>
        <v>51</v>
      </c>
      <c r="I53" s="116" t="str">
        <f t="shared" si="5"/>
        <v>Cuando en el análisis de los requerimientos en los diferenes componentes del MECI se cuente con aspectos evaluados en nivel 1 (presente) y 1 (funcionando); 2 (presente) y 1 (funcionando).</v>
      </c>
      <c r="J53" s="116" t="s">
        <v>542</v>
      </c>
      <c r="K53" s="116">
        <f>+IF(ISBLANK(VLOOKUP(A53,'Actividades de control'!$D$21:$H$201,5,0)),"",VLOOKUP(A53,'Actividades de control'!$D$21:$H$201,5,0))</f>
        <v>3</v>
      </c>
      <c r="L53" s="116">
        <f>+IF(ISBLANK(VLOOKUP(A53,'Actividades de control'!$D$21:$L$201,9,0)),"",VLOOKUP(A53,'Actividades de control'!$D$21:$L$201,9,0))</f>
        <v>3</v>
      </c>
      <c r="M53" s="116">
        <f t="shared" si="4"/>
        <v>1</v>
      </c>
      <c r="N53" s="116">
        <f>+AVERAGEIF($D$2:$D$82,D53,$M$2:$M$82)</f>
        <v>0.95833333333333337</v>
      </c>
      <c r="O53" s="116"/>
      <c r="P53" s="116"/>
    </row>
    <row r="54" spans="1:16" x14ac:dyDescent="0.25">
      <c r="A54" s="116" t="s">
        <v>550</v>
      </c>
      <c r="B54" s="116" t="str">
        <f t="shared" si="6"/>
        <v>12</v>
      </c>
      <c r="C54" s="116" t="str">
        <f>+MID(VLOOKUP(A54,'Actividades de control'!$D$13:$E$254,2,0),6,LEN(VLOOKUP(A54,'Actividades de control'!$D$13:$E$254,2,0))-6)</f>
        <v xml:space="preserve"> Se evalúa la adecuación de los controles a las especificidades de cada proceso, considerando cambios en regulaciones, estructuras internas u otros aspectos que determinen cambios en su diseño</v>
      </c>
      <c r="D54" s="116" t="s">
        <v>527</v>
      </c>
      <c r="E54" s="116" t="str">
        <f>+VLOOKUP(A54,'Actividades de control'!$D$18:$M$201,3,0)</f>
        <v>Dimensión Control Interno
 Líneas de Defensa</v>
      </c>
      <c r="F54" s="116" t="str">
        <f>+VLOOKUP(A54,'Actividades de control'!$D$18:$M$201,10,0)</f>
        <v>Mantenimiento del control</v>
      </c>
      <c r="G54" s="116">
        <f>+VLOOKUP(A54,'Actividades de control'!$D$13:$P$254,13,0)</f>
        <v>224.3569</v>
      </c>
      <c r="H54" s="118">
        <f>+_xlfn.RANK.EQ(G54,$G$2:$G$82,1)</f>
        <v>52</v>
      </c>
      <c r="I54" s="116" t="str">
        <f t="shared" si="5"/>
        <v>Cuando en el análisis de los requerimientos en los diferenes componentes del MECI se cuente con aspectos evaluados en nivel 1 (presente) y 1 (funcionando); 2 (presente) y 1 (funcionando).</v>
      </c>
      <c r="J54" s="116" t="s">
        <v>542</v>
      </c>
      <c r="K54" s="116">
        <f>+IF(ISBLANK(VLOOKUP(A54,'Actividades de control'!$D$21:$H$201,5,0)),"",VLOOKUP(A54,'Actividades de control'!$D$21:$H$201,5,0))</f>
        <v>3</v>
      </c>
      <c r="L54" s="116">
        <f>+IF(ISBLANK(VLOOKUP(A54,'Actividades de control'!$D$21:$L$201,9,0)),"",VLOOKUP(A54,'Actividades de control'!$D$21:$L$201,9,0))</f>
        <v>3</v>
      </c>
      <c r="M54" s="116">
        <f t="shared" si="4"/>
        <v>1</v>
      </c>
      <c r="N54" s="116">
        <f>+AVERAGEIF($D$2:$D$82,D54,$M$2:$M$82)</f>
        <v>0.95833333333333337</v>
      </c>
      <c r="O54" s="116"/>
      <c r="P54" s="116"/>
    </row>
    <row r="55" spans="1:16" ht="12.75" customHeight="1" x14ac:dyDescent="0.25">
      <c r="A55" s="116" t="s">
        <v>321</v>
      </c>
      <c r="B55" s="116" t="str">
        <f t="shared" si="6"/>
        <v>13</v>
      </c>
      <c r="C55" s="116" t="str">
        <f>+MID(VLOOKUP(A55,'Info y Comunicación'!$E$13:$F$191,2,0),6,LEN(VLOOKUP(A55,'Info y Comunicación'!$E$13:$F$191,2,0))-6)</f>
        <v>La entidad ha diseñado sistemas de información para capturar y procesar datos y transformarlos en información para alcanzar los requerimientos de información definidos</v>
      </c>
      <c r="D55" s="116" t="s">
        <v>552</v>
      </c>
      <c r="E55" s="116" t="str">
        <f>+VLOOKUP(A55,'Info y Comunicación'!$E$15:$N$169,3,0)</f>
        <v xml:space="preserve">Dimensión de Información y comunicación 
</v>
      </c>
      <c r="F55" s="116" t="str">
        <f>+VLOOKUP(A55,'Info y Comunicación'!$E$15:$N$169,10,0)</f>
        <v>Mantenimiento del control</v>
      </c>
      <c r="G55" s="116">
        <f>+VLOOKUP(A55,'Info y Comunicación'!$E$13:$Q$191,13,0)</f>
        <v>304.45690000000002</v>
      </c>
      <c r="H55" s="118">
        <f t="shared" si="2"/>
        <v>56</v>
      </c>
      <c r="I55" s="116" t="str">
        <f t="shared" si="5"/>
        <v>Cuando en el análisis de los requerimientos en los diferenes componentes del MECI se cuente con aspectos evaluados en nivel 1 (presente) y 1 (funcionando); 2 (presente) y 1 (funcionando).</v>
      </c>
      <c r="J55" s="116" t="s">
        <v>553</v>
      </c>
      <c r="K55" s="116">
        <f>+IF(ISBLANK(VLOOKUP(A55,'Info y Comunicación'!$E$19:$I$169,5,0)),"",VLOOKUP(A55,'Info y Comunicación'!$E$19:$I$169,5,0))</f>
        <v>3</v>
      </c>
      <c r="L55" s="116">
        <f>+IF(ISBLANK(VLOOKUP(A55,'Info y Comunicación'!$E$19:$M$169,9,0)),"",VLOOKUP(A55,'Info y Comunicación'!$E$19:$M$169,9,0))</f>
        <v>3</v>
      </c>
      <c r="M55" s="116">
        <f t="shared" si="4"/>
        <v>1</v>
      </c>
      <c r="N55" s="116">
        <f>+AVERAGEIF($D$2:$D$82,D55,$M$2:$M$82)</f>
        <v>0.8928571428571429</v>
      </c>
      <c r="O55" s="116"/>
      <c r="P55" s="116"/>
    </row>
    <row r="56" spans="1:16" ht="12.75" customHeight="1" x14ac:dyDescent="0.25">
      <c r="A56" s="116" t="s">
        <v>324</v>
      </c>
      <c r="B56" s="116" t="str">
        <f t="shared" si="6"/>
        <v>13</v>
      </c>
      <c r="C56" s="116" t="str">
        <f>+MID(VLOOKUP(A56,'Info y Comunicación'!$E$13:$F$191,2,0),6,LEN(VLOOKUP(A56,'Info y Comunicación'!$E$13:$F$191,2,0))-6)</f>
        <v xml:space="preserve"> La entidad cuenta con el inventario de información relevante (interno/externa) y cuenta con un mecanismo que permita su actualización</v>
      </c>
      <c r="D56" s="116" t="s">
        <v>552</v>
      </c>
      <c r="E56" s="116" t="str">
        <f>+VLOOKUP(A56,'Info y Comunicación'!$E$15:$N$169,3,0)</f>
        <v>Dimensión de Información y comunicación 
Política de Transparencia y Acceso a la Información Publica</v>
      </c>
      <c r="F56" s="116" t="str">
        <f>+VLOOKUP(A56,'Info y Comunicación'!$E$15:$N$169,10,0)</f>
        <v>Mantenimiento del control</v>
      </c>
      <c r="G56" s="116">
        <f>+VLOOKUP(A56,'Info y Comunicación'!$E$13:$Q$191,13,0)</f>
        <v>304.56319999999999</v>
      </c>
      <c r="H56" s="118">
        <f t="shared" si="2"/>
        <v>57</v>
      </c>
      <c r="I56" s="116" t="str">
        <f t="shared" si="5"/>
        <v>Cuando en el análisis de los requerimientos en los diferenes componentes del MECI se cuente con aspectos evaluados en nivel 1 (presente) y 1 (funcionando); 2 (presente) y 1 (funcionando).</v>
      </c>
      <c r="J56" s="116" t="s">
        <v>553</v>
      </c>
      <c r="K56" s="116">
        <f>+IF(ISBLANK(VLOOKUP(A56,'Info y Comunicación'!$E$19:$I$169,5,0)),"",VLOOKUP(A56,'Info y Comunicación'!$E$19:$I$169,5,0))</f>
        <v>3</v>
      </c>
      <c r="L56" s="116">
        <f>+IF(ISBLANK(VLOOKUP(A56,'Info y Comunicación'!$E$19:$M$169,9,0)),"",VLOOKUP(A56,'Info y Comunicación'!$E$19:$M$169,9,0))</f>
        <v>3</v>
      </c>
      <c r="M56" s="116">
        <f t="shared" si="4"/>
        <v>1</v>
      </c>
      <c r="N56" s="116">
        <f t="shared" si="3"/>
        <v>0.8928571428571429</v>
      </c>
      <c r="O56" s="116"/>
      <c r="P56" s="116"/>
    </row>
    <row r="57" spans="1:16" ht="12.75" customHeight="1" x14ac:dyDescent="0.25">
      <c r="A57" s="116" t="s">
        <v>556</v>
      </c>
      <c r="B57" s="116" t="str">
        <f t="shared" si="6"/>
        <v>13</v>
      </c>
      <c r="C57" s="116" t="str">
        <f>+MID(VLOOKUP(A57,'Info y Comunicación'!$E$13:$F$191,2,0),6,LEN(VLOOKUP(A57,'Info y Comunicación'!$E$13:$F$191,2,0))-6)</f>
        <v>La entidad considera un ámbito amplio de fuentes de datos (internas y externas), para la captura y procesamiento posterior de información clave para la consecución de metas y objetivos</v>
      </c>
      <c r="D57" s="116" t="s">
        <v>552</v>
      </c>
      <c r="E57" s="116" t="str">
        <f>+VLOOKUP(A57,'Info y Comunicación'!$E$15:$N$169,3,0)</f>
        <v>Dimensión de Información y comunicación 
Política de Transparencia y Acceso a la Información Publica</v>
      </c>
      <c r="F57" s="116" t="str">
        <f>+VLOOKUP(A57,'Info y Comunicación'!$E$15:$N$169,10,0)</f>
        <v>Mantenimiento del control</v>
      </c>
      <c r="G57" s="116">
        <f>+VLOOKUP(A57,'Info y Comunicación'!$E$13:$Q$191,13,0)</f>
        <v>304.63209999999998</v>
      </c>
      <c r="H57" s="118">
        <f t="shared" si="2"/>
        <v>58</v>
      </c>
      <c r="I57" s="116" t="str">
        <f t="shared" si="5"/>
        <v>Cuando en el análisis de los requerimientos en los diferenes componentes del MECI se cuente con aspectos evaluados en nivel 1 (presente) y 1 (funcionando); 2 (presente) y 1 (funcionando).</v>
      </c>
      <c r="J57" s="116" t="s">
        <v>553</v>
      </c>
      <c r="K57" s="116">
        <f>+IF(ISBLANK(VLOOKUP(A57,'Info y Comunicación'!$E$19:$I$169,5,0)),"",VLOOKUP(A57,'Info y Comunicación'!$E$19:$I$169,5,0))</f>
        <v>3</v>
      </c>
      <c r="L57" s="116">
        <f>+IF(ISBLANK(VLOOKUP(A57,'Info y Comunicación'!$E$19:$M$169,9,0)),"",VLOOKUP(A57,'Info y Comunicación'!$E$19:$M$169,9,0))</f>
        <v>3</v>
      </c>
      <c r="M57" s="116">
        <f t="shared" si="4"/>
        <v>1</v>
      </c>
      <c r="N57" s="116">
        <f t="shared" si="3"/>
        <v>0.8928571428571429</v>
      </c>
      <c r="O57" s="116"/>
      <c r="P57" s="116"/>
    </row>
    <row r="58" spans="1:16" ht="12.75" customHeight="1" x14ac:dyDescent="0.25">
      <c r="A58" s="116" t="s">
        <v>328</v>
      </c>
      <c r="B58" s="116" t="str">
        <f t="shared" si="6"/>
        <v>13</v>
      </c>
      <c r="C58" s="116" t="str">
        <f>+MID(VLOOKUP(A58,'Info y Comunicación'!$E$13:$F$191,2,0),6,LEN(VLOOKUP(A58,'Info y Comunicación'!$E$13:$F$191,2,0))-6)</f>
        <v>La entidad ha desarrollado e implementado actividades de control sobre la integridad, confidencialidad y disponibilidad de los datos e información definidos como relevantes</v>
      </c>
      <c r="D58" s="116" t="s">
        <v>552</v>
      </c>
      <c r="E58" s="116" t="str">
        <f>+VLOOKUP(A58,'Info y Comunicación'!$E$15:$N$169,3,0)</f>
        <v>Dimensión de Información y comunicación 
Política de Transparencia y Acceso a la Información Publica</v>
      </c>
      <c r="F58" s="116" t="str">
        <f>+VLOOKUP(A58,'Info y Comunicación'!$E$15:$N$169,10,0)</f>
        <v>Mantenimiento del control</v>
      </c>
      <c r="G58" s="116">
        <f>+VLOOKUP(A58,'Info y Comunicación'!$E$13:$Q$191,13,0)</f>
        <v>304.78960000000001</v>
      </c>
      <c r="H58" s="118">
        <f t="shared" si="2"/>
        <v>59</v>
      </c>
      <c r="I58" s="116" t="str">
        <f t="shared" si="5"/>
        <v>Cuando en el análisis de los requerimientos en los diferenes componentes del MECI se cuente con aspectos evaluados en nivel 1 (presente) y 1 (funcionando); 2 (presente) y 1 (funcionando).</v>
      </c>
      <c r="J58" s="116" t="s">
        <v>553</v>
      </c>
      <c r="K58" s="116">
        <f>+IF(ISBLANK(VLOOKUP(A58,'Info y Comunicación'!$E$19:$I$169,5,0)),"",VLOOKUP(A58,'Info y Comunicación'!$E$19:$I$169,5,0))</f>
        <v>3</v>
      </c>
      <c r="L58" s="116">
        <f>+IF(ISBLANK(VLOOKUP(A58,'Info y Comunicación'!$E$19:$M$169,9,0)),"",VLOOKUP(A58,'Info y Comunicación'!$E$19:$M$169,9,0))</f>
        <v>3</v>
      </c>
      <c r="M58" s="116">
        <f t="shared" si="4"/>
        <v>1</v>
      </c>
      <c r="N58" s="116">
        <f t="shared" si="3"/>
        <v>0.8928571428571429</v>
      </c>
      <c r="O58" s="116"/>
      <c r="P58" s="116"/>
    </row>
    <row r="59" spans="1:16" ht="12.75" customHeight="1" x14ac:dyDescent="0.25">
      <c r="A59" s="116" t="s">
        <v>559</v>
      </c>
      <c r="B59" s="116" t="str">
        <f t="shared" si="6"/>
        <v>14</v>
      </c>
      <c r="C59" s="116" t="str">
        <f>+MID(VLOOKUP(A59,'Info y Comunicación'!$E$13:$F$191,2,0),6,LEN(VLOOKUP(A59,'Info y Comunicación'!$E$13:$F$191,2,0))-6)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116" t="s">
        <v>552</v>
      </c>
      <c r="E59" s="116" t="str">
        <f>+VLOOKUP(A59,'Info y Comunicación'!$E$15:$N$169,3,0)</f>
        <v xml:space="preserve">Dimensión de Información y comunicación
</v>
      </c>
      <c r="F59" s="116" t="str">
        <f>+VLOOKUP(A59,'Info y Comunicación'!$E$15:$N$169,10,0)</f>
        <v>Mantenimiento del control</v>
      </c>
      <c r="G59" s="116">
        <f>+VLOOKUP(A59,'Info y Comunicación'!$E$13:$Q$191,13,0)</f>
        <v>304.8965</v>
      </c>
      <c r="H59" s="118">
        <f t="shared" si="2"/>
        <v>60</v>
      </c>
      <c r="I59" s="116" t="str">
        <f t="shared" si="5"/>
        <v>Cuando en el análisis de los requerimientos en los diferenes componentes del MECI se cuente con aspectos evaluados en nivel 1 (presente) y 1 (funcionando); 2 (presente) y 1 (funcionando).</v>
      </c>
      <c r="J59" s="116" t="s">
        <v>560</v>
      </c>
      <c r="K59" s="116">
        <f>+IF(ISBLANK(VLOOKUP(A59,'Info y Comunicación'!$E$19:$I$169,5,0)),"",VLOOKUP(A59,'Info y Comunicación'!$E$19:$I$169,5,0))</f>
        <v>3</v>
      </c>
      <c r="L59" s="116">
        <f>+IF(ISBLANK(VLOOKUP(A59,'Info y Comunicación'!$E$19:$M$169,9,0)),"",VLOOKUP(A59,'Info y Comunicación'!$E$19:$M$169,9,0))</f>
        <v>3</v>
      </c>
      <c r="M59" s="116">
        <f t="shared" si="4"/>
        <v>1</v>
      </c>
      <c r="N59" s="116">
        <f t="shared" si="3"/>
        <v>0.8928571428571429</v>
      </c>
      <c r="O59" s="116"/>
      <c r="P59" s="116"/>
    </row>
    <row r="60" spans="1:16" ht="12.75" customHeight="1" x14ac:dyDescent="0.25">
      <c r="A60" s="116" t="s">
        <v>562</v>
      </c>
      <c r="B60" s="116" t="str">
        <f t="shared" si="6"/>
        <v>14</v>
      </c>
      <c r="C60" s="116" t="str">
        <f>+MID(VLOOKUP(A60,'Info y Comunicación'!$E$13:$F$191,2,0),6,LEN(VLOOKUP(A60,'Info y Comunicación'!$E$13:$F$191,2,0))-6)</f>
        <v>La entidad cuenta con políticas de operación relacionadas con la administración de la información (niveles de autoridad y responsabilidad</v>
      </c>
      <c r="D60" s="116" t="s">
        <v>552</v>
      </c>
      <c r="E60" s="116" t="str">
        <f>+VLOOKUP(A60,'Info y Comunicación'!$E$15:$N$169,3,0)</f>
        <v>Dimensión de Información y comunicación</v>
      </c>
      <c r="F60" s="116" t="str">
        <f>+VLOOKUP(A60,'Info y Comunicación'!$E$15:$N$169,10,0)</f>
        <v>Deficiencia de control (diseño o ejecución)</v>
      </c>
      <c r="G60" s="116">
        <f>+VLOOKUP(A60,'Info y Comunicación'!$E$13:$Q$191,13,0)</f>
        <v>264.98540000000003</v>
      </c>
      <c r="H60" s="118">
        <f t="shared" si="2"/>
        <v>53</v>
      </c>
      <c r="I60" s="116" t="str">
        <f t="shared" si="5"/>
        <v>Cuando en el análisis de los requerimientos en los diferenes componentes del MECI se cuente con aspectos evaluados en nivel 2 (presente) y 2 (funcionando); 3 (presente) y 1 (funcionando); 3 (presente) y 2 (funcionando).</v>
      </c>
      <c r="J60" s="116" t="s">
        <v>560</v>
      </c>
      <c r="K60" s="116">
        <f>+IF(ISBLANK(VLOOKUP(A60,'Info y Comunicación'!$E$19:$I$169,5,0)),"",VLOOKUP(A60,'Info y Comunicación'!$E$19:$I$169,5,0))</f>
        <v>3</v>
      </c>
      <c r="L60" s="116">
        <f>+IF(ISBLANK(VLOOKUP(A60,'Info y Comunicación'!$E$19:$M$169,9,0)),"",VLOOKUP(A60,'Info y Comunicación'!$E$19:$M$169,9,0))</f>
        <v>2</v>
      </c>
      <c r="M60" s="116">
        <f t="shared" si="4"/>
        <v>0.5</v>
      </c>
      <c r="N60" s="116">
        <f t="shared" si="3"/>
        <v>0.8928571428571429</v>
      </c>
      <c r="O60" s="116"/>
      <c r="P60" s="116"/>
    </row>
    <row r="61" spans="1:16" ht="12.75" customHeight="1" x14ac:dyDescent="0.25">
      <c r="A61" s="116" t="s">
        <v>564</v>
      </c>
      <c r="B61" s="116" t="str">
        <f t="shared" si="6"/>
        <v>14</v>
      </c>
      <c r="C61" s="116" t="str">
        <f>+MID(VLOOKUP(A61,'Info y Comunicación'!$E$13:$F$191,2,0),6,LEN(VLOOKUP(A61,'Info y Comunicación'!$E$13:$F$191,2,0))-6)</f>
        <v>La entidad cuenta con canales de información internos para la denuncia anónima o confidencial de posibles situaciones irregulares y se cuenta con mecanismos específicos para su manejo, de manera tal que generen la confianza para utilizarlos</v>
      </c>
      <c r="D61" s="116" t="s">
        <v>552</v>
      </c>
      <c r="E61" s="116" t="str">
        <f>+VLOOKUP(A61,'Info y Comunicación'!$E$15:$N$169,3,0)</f>
        <v xml:space="preserve">Dimensión de Información y comunicación
</v>
      </c>
      <c r="F61" s="116" t="str">
        <f>+VLOOKUP(A61,'Info y Comunicación'!$E$15:$N$169,10,0)</f>
        <v>Mantenimiento del control</v>
      </c>
      <c r="G61" s="116">
        <f>+VLOOKUP(A61,'Info y Comunicación'!$E$13:$Q$191,13,0)</f>
        <v>305.01229999999998</v>
      </c>
      <c r="H61" s="118">
        <f t="shared" si="2"/>
        <v>61</v>
      </c>
      <c r="I61" s="116" t="str">
        <f t="shared" si="5"/>
        <v>Cuando en el análisis de los requerimientos en los diferenes componentes del MECI se cuente con aspectos evaluados en nivel 1 (presente) y 1 (funcionando); 2 (presente) y 1 (funcionando).</v>
      </c>
      <c r="J61" s="116" t="s">
        <v>560</v>
      </c>
      <c r="K61" s="116">
        <f>+IF(ISBLANK(VLOOKUP(A61,'Info y Comunicación'!$E$19:$I$169,5,0)),"",VLOOKUP(A61,'Info y Comunicación'!$E$19:$I$169,5,0))</f>
        <v>3</v>
      </c>
      <c r="L61" s="116">
        <f>+IF(ISBLANK(VLOOKUP(A61,'Info y Comunicación'!$E$19:$M$169,9,0)),"",VLOOKUP(A61,'Info y Comunicación'!$E$19:$M$169,9,0))</f>
        <v>3</v>
      </c>
      <c r="M61" s="116">
        <f t="shared" si="4"/>
        <v>1</v>
      </c>
      <c r="N61" s="116">
        <f t="shared" si="3"/>
        <v>0.8928571428571429</v>
      </c>
      <c r="O61" s="116"/>
      <c r="P61" s="116"/>
    </row>
    <row r="62" spans="1:16" ht="12.75" customHeight="1" x14ac:dyDescent="0.25">
      <c r="A62" s="116" t="s">
        <v>668</v>
      </c>
      <c r="B62" s="116" t="str">
        <f t="shared" si="6"/>
        <v>14</v>
      </c>
      <c r="C62" s="116" t="str">
        <f>+MID(VLOOKUP(A62,'Info y Comunicación'!$E$13:$F$191,2,0),6,LEN(VLOOKUP(A62,'Info y Comunicación'!$E$13:$F$191,2,0))-6)</f>
        <v>La entidad establece e implementa políticas y procedimientos para facilitar una comunicación interna efectiva</v>
      </c>
      <c r="D62" s="116" t="s">
        <v>552</v>
      </c>
      <c r="E62" s="116" t="str">
        <f>+VLOOKUP(A62,'Info y Comunicación'!$E$15:$N$169,3,0)</f>
        <v xml:space="preserve">Dimensión de Información y comunicación
</v>
      </c>
      <c r="F62" s="116" t="str">
        <f>+VLOOKUP(A62,'Info y Comunicación'!$E$15:$N$169,10,0)</f>
        <v>Mantenimiento del control</v>
      </c>
      <c r="G62" s="116">
        <f>+VLOOKUP(A62,'Info y Comunicación'!$E$13:$Q$191,13,0)</f>
        <v>305.12360000000001</v>
      </c>
      <c r="H62" s="118">
        <f t="shared" si="2"/>
        <v>62</v>
      </c>
      <c r="I62" s="116" t="str">
        <f t="shared" si="5"/>
        <v>Cuando en el análisis de los requerimientos en los diferenes componentes del MECI se cuente con aspectos evaluados en nivel 1 (presente) y 1 (funcionando); 2 (presente) y 1 (funcionando).</v>
      </c>
      <c r="J62" s="116" t="s">
        <v>560</v>
      </c>
      <c r="K62" s="116">
        <f>+IF(ISBLANK(VLOOKUP(A62,'Info y Comunicación'!$E$19:$I$169,5,0)),"",VLOOKUP(A62,'Info y Comunicación'!$E$19:$I$169,5,0))</f>
        <v>3</v>
      </c>
      <c r="L62" s="116">
        <f>+IF(ISBLANK(VLOOKUP(A62,'Info y Comunicación'!$E$19:$M$169,9,0)),"",VLOOKUP(A62,'Info y Comunicación'!$E$19:$M$169,9,0))</f>
        <v>3</v>
      </c>
      <c r="M62" s="116">
        <f t="shared" si="4"/>
        <v>1</v>
      </c>
      <c r="N62" s="116">
        <f t="shared" si="3"/>
        <v>0.8928571428571429</v>
      </c>
      <c r="O62" s="116"/>
      <c r="P62" s="116"/>
    </row>
    <row r="63" spans="1:16" ht="12.75" customHeight="1" x14ac:dyDescent="0.25">
      <c r="A63" s="116" t="s">
        <v>566</v>
      </c>
      <c r="B63" s="116" t="str">
        <f t="shared" si="6"/>
        <v>15</v>
      </c>
      <c r="C63" s="116" t="str">
        <f>+MID(VLOOKUP(A63,'Info y Comunicación'!$E$13:$F$191,2,0),6,LEN(VLOOKUP(A63,'Info y Comunicación'!$E$13:$F$191,2,0))-6)</f>
        <v>La entidad desarrolla e implementa controles que facilitan la comunicación externa, la cual incluye  políticas y procedimientos. 
Incluye contratistas y proveedores de servicios tercer izados (cuando aplique).</v>
      </c>
      <c r="D63" s="116" t="s">
        <v>552</v>
      </c>
      <c r="E63" s="116" t="str">
        <f>+VLOOKUP(A63,'Info y Comunicación'!$E$15:$N$169,3,0)</f>
        <v xml:space="preserve">
Dimensión de Información y Comunicación
Dimensión de Control Interno
Primera Línea de Defensa</v>
      </c>
      <c r="F63" s="116" t="str">
        <f>+VLOOKUP(A63,'Info y Comunicación'!$E$15:$N$169,10,0)</f>
        <v>Mantenimiento del control</v>
      </c>
      <c r="G63" s="116">
        <f>+VLOOKUP(A63,'Info y Comunicación'!$E$13:$Q$191,13,0)</f>
        <v>305.23689999999999</v>
      </c>
      <c r="H63" s="118">
        <f t="shared" si="2"/>
        <v>63</v>
      </c>
      <c r="I63" s="116" t="str">
        <f t="shared" si="5"/>
        <v>Cuando en el análisis de los requerimientos en los diferenes componentes del MECI se cuente con aspectos evaluados en nivel 1 (presente) y 1 (funcionando); 2 (presente) y 1 (funcionando).</v>
      </c>
      <c r="J63" s="116" t="s">
        <v>567</v>
      </c>
      <c r="K63" s="116">
        <f>+IF(ISBLANK(VLOOKUP(A63,'Info y Comunicación'!$E$19:$I$169,5,0)),"",VLOOKUP(A63,'Info y Comunicación'!$E$19:$I$169,5,0))</f>
        <v>3</v>
      </c>
      <c r="L63" s="116">
        <f>+IF(ISBLANK(VLOOKUP(A63,'Info y Comunicación'!$E$19:$M$169,9,0)),"",VLOOKUP(A63,'Info y Comunicación'!$E$19:$M$169,9,0))</f>
        <v>3</v>
      </c>
      <c r="M63" s="116">
        <f t="shared" si="4"/>
        <v>1</v>
      </c>
      <c r="N63" s="116">
        <f t="shared" si="3"/>
        <v>0.8928571428571429</v>
      </c>
      <c r="O63" s="116"/>
      <c r="P63" s="116"/>
    </row>
    <row r="64" spans="1:16" x14ac:dyDescent="0.25">
      <c r="A64" s="116" t="s">
        <v>569</v>
      </c>
      <c r="B64" s="116" t="str">
        <f t="shared" si="6"/>
        <v>15</v>
      </c>
      <c r="C64" s="116" t="str">
        <f>+MID(VLOOKUP(A64,'Info y Comunicación'!$E$13:$F$191,2,0),6,LEN(VLOOKUP(A64,'Info y Comunicación'!$E$13:$F$191,2,0))-6)</f>
        <v>La entidad cuenta con canales externos definidos de comunicación, asociados con el tipo de información a divulgar, y éstos son reconocidos a todo nivel de la organización.</v>
      </c>
      <c r="D64" s="116" t="s">
        <v>552</v>
      </c>
      <c r="E64" s="116" t="str">
        <f>+VLOOKUP(A64,'Info y Comunicación'!$E$15:$N$169,3,0)</f>
        <v xml:space="preserve">Dimensión de Información y Comunicación
Política de Transparencia, acceso a la información pública y lucha
contra la corrupción </v>
      </c>
      <c r="F64" s="116" t="str">
        <f>+VLOOKUP(A64,'Info y Comunicación'!$E$15:$N$169,10,0)</f>
        <v>Mantenimiento del control</v>
      </c>
      <c r="G64" s="116">
        <f>+VLOOKUP(A64,'Info y Comunicación'!$E$13:$Q$191,13,0)</f>
        <v>305.36540000000002</v>
      </c>
      <c r="H64" s="118">
        <f t="shared" si="2"/>
        <v>64</v>
      </c>
      <c r="I64" s="116" t="str">
        <f t="shared" si="5"/>
        <v>Cuando en el análisis de los requerimientos en los diferenes componentes del MECI se cuente con aspectos evaluados en nivel 1 (presente) y 1 (funcionando); 2 (presente) y 1 (funcionando).</v>
      </c>
      <c r="J64" s="116" t="s">
        <v>567</v>
      </c>
      <c r="K64" s="116">
        <f>+IF(ISBLANK(VLOOKUP(A64,'Info y Comunicación'!$E$19:$I$169,5,0)),"",VLOOKUP(A64,'Info y Comunicación'!$E$19:$I$169,5,0))</f>
        <v>3</v>
      </c>
      <c r="L64" s="116">
        <f>+IF(ISBLANK(VLOOKUP(A64,'Info y Comunicación'!$E$19:$M$169,9,0)),"",VLOOKUP(A64,'Info y Comunicación'!$E$19:$M$169,9,0))</f>
        <v>3</v>
      </c>
      <c r="M64" s="116">
        <f t="shared" si="4"/>
        <v>1</v>
      </c>
      <c r="N64" s="116">
        <f t="shared" si="3"/>
        <v>0.8928571428571429</v>
      </c>
      <c r="O64" s="116"/>
      <c r="P64" s="116"/>
    </row>
    <row r="65" spans="1:16" x14ac:dyDescent="0.25">
      <c r="A65" s="116" t="s">
        <v>571</v>
      </c>
      <c r="B65" s="116" t="str">
        <f t="shared" si="6"/>
        <v>15</v>
      </c>
      <c r="C65" s="116" t="str">
        <f>+MID(VLOOKUP(A65,'Info y Comunicación'!$E$13:$F$191,2,0),6,LEN(VLOOKUP(A65,'Info y Comunicación'!$E$13:$F$191,2,0))-6)</f>
        <v>La entidad cuenta con procesos o procedimiento para el manejo de la información entrante (quién la recibe, quién la clasifica, quién la analiza), y a la respuesta requerida (quién la canaliza y la responde)</v>
      </c>
      <c r="D65" s="116" t="s">
        <v>552</v>
      </c>
      <c r="E65" s="116" t="str">
        <f>+VLOOKUP(A65,'Info y Comunicación'!$E$15:$N$169,3,0)</f>
        <v xml:space="preserve">Dimensión de Información y Comunicación
Política de Gestión Documental
Política de Transparencia, acceso a la información pública y lucha
contra la corrupción </v>
      </c>
      <c r="F65" s="116" t="str">
        <f>+VLOOKUP(A65,'Info y Comunicación'!$E$15:$N$169,10,0)</f>
        <v>Deficiencia de control (diseño o ejecución)</v>
      </c>
      <c r="G65" s="116">
        <f>+VLOOKUP(A65,'Info y Comunicación'!$E$13:$Q$191,13,0)</f>
        <v>265.4563</v>
      </c>
      <c r="H65" s="118">
        <f t="shared" si="2"/>
        <v>54</v>
      </c>
      <c r="I65" s="116" t="str">
        <f t="shared" si="5"/>
        <v>Cuando en el análisis de los requerimientos en los diferenes componentes del MECI se cuente con aspectos evaluados en nivel 2 (presente) y 2 (funcionando); 3 (presente) y 1 (funcionando); 3 (presente) y 2 (funcionando).</v>
      </c>
      <c r="J65" s="116" t="s">
        <v>567</v>
      </c>
      <c r="K65" s="116">
        <f>+IF(ISBLANK(VLOOKUP(A65,'Info y Comunicación'!$E$19:$I$169,5,0)),"",VLOOKUP(A65,'Info y Comunicación'!$E$19:$I$169,5,0))</f>
        <v>3</v>
      </c>
      <c r="L65" s="116">
        <f>+IF(ISBLANK(VLOOKUP(A65,'Info y Comunicación'!$E$19:$M$169,9,0)),"",VLOOKUP(A65,'Info y Comunicación'!$E$19:$M$169,9,0))</f>
        <v>2</v>
      </c>
      <c r="M65" s="116">
        <f t="shared" si="4"/>
        <v>0.5</v>
      </c>
      <c r="N65" s="116">
        <f t="shared" si="3"/>
        <v>0.8928571428571429</v>
      </c>
      <c r="O65" s="116"/>
      <c r="P65" s="116"/>
    </row>
    <row r="66" spans="1:16" x14ac:dyDescent="0.25">
      <c r="A66" s="116" t="s">
        <v>573</v>
      </c>
      <c r="B66" s="116" t="str">
        <f t="shared" si="6"/>
        <v>15</v>
      </c>
      <c r="C66" s="116" t="str">
        <f>+MID(VLOOKUP(A66,'Info y Comunicación'!$E$13:$F$191,2,0),6,LEN(VLOOKUP(A66,'Info y Comunicación'!$E$13:$F$191,2,0))-6)</f>
        <v>La entidad cuenta con procesos o procedimientos encaminados a evaluar periódicamente la efectividad de los canales de comunicación con partes externas, así como sus contenidos, de tal forma que se puedan mejorar.</v>
      </c>
      <c r="D66" s="116" t="s">
        <v>552</v>
      </c>
      <c r="E66" s="116" t="str">
        <f>+VLOOKUP(A66,'Info y Comunicación'!$E$15:$N$169,3,0)</f>
        <v>Dimensión de Información y Comunicación
Política de Control Interno
Líneas de Defensa</v>
      </c>
      <c r="F66" s="116" t="str">
        <f>+VLOOKUP(A66,'Info y Comunicación'!$E$15:$N$169,10,0)</f>
        <v>Mantenimiento del control</v>
      </c>
      <c r="G66" s="116">
        <f>+VLOOKUP(A66,'Info y Comunicación'!$E$13:$Q$191,13,0)</f>
        <v>305.56319999999999</v>
      </c>
      <c r="H66" s="118">
        <f t="shared" si="2"/>
        <v>65</v>
      </c>
      <c r="I66" s="116" t="str">
        <f t="shared" ref="I66:I82" si="7">+IF(F66=$F$2,$P$4,IF(F66=$F$3,$P$2,$P$3))</f>
        <v>Cuando en el análisis de los requerimientos en los diferenes componentes del MECI se cuente con aspectos evaluados en nivel 1 (presente) y 1 (funcionando); 2 (presente) y 1 (funcionando).</v>
      </c>
      <c r="J66" s="116" t="s">
        <v>567</v>
      </c>
      <c r="K66" s="116">
        <f>+IF(ISBLANK(VLOOKUP(A66,'Info y Comunicación'!$E$19:$I$169,5,0)),"",VLOOKUP(A66,'Info y Comunicación'!$E$19:$I$169,5,0))</f>
        <v>3</v>
      </c>
      <c r="L66" s="116">
        <f>+IF(ISBLANK(VLOOKUP(A66,'Info y Comunicación'!$E$19:$M$169,9,0)),"",VLOOKUP(A66,'Info y Comunicación'!$E$19:$M$169,9,0))</f>
        <v>3</v>
      </c>
      <c r="M66" s="116">
        <f t="shared" si="4"/>
        <v>1</v>
      </c>
      <c r="N66" s="116">
        <f t="shared" si="3"/>
        <v>0.8928571428571429</v>
      </c>
      <c r="O66" s="116"/>
      <c r="P66" s="116"/>
    </row>
    <row r="67" spans="1:16" x14ac:dyDescent="0.25">
      <c r="A67" s="116" t="s">
        <v>575</v>
      </c>
      <c r="B67" s="116" t="str">
        <f t="shared" si="6"/>
        <v>15</v>
      </c>
      <c r="C67" s="116" t="str">
        <f>+MID(VLOOKUP(A67,'Info y Comunicación'!$E$13:$F$191,2,0),6,LEN(VLOOKUP(A67,'Info y Comunicación'!$E$13:$F$191,2,0))-6)</f>
        <v>La entidad analiza periódicamente su caracterización de usuarios o grupos de valor, a fin de actualizarla cuando sea pertinente</v>
      </c>
      <c r="D67" s="116" t="s">
        <v>552</v>
      </c>
      <c r="E67" s="116" t="str">
        <f>+VLOOKUP(A67,'Info y Comunicación'!$E$15:$N$169,3,0)</f>
        <v>Dimensión de Direccionamiento Estratégico y Planeación
Política de Planeación Institucional</v>
      </c>
      <c r="F67" s="116" t="str">
        <f>+VLOOKUP(A67,'Info y Comunicación'!$E$15:$N$169,10,0)</f>
        <v>Mantenimiento del control</v>
      </c>
      <c r="G67" s="116">
        <f>+VLOOKUP(A67,'Info y Comunicación'!$E$13:$Q$191,13,0)</f>
        <v>305.63209999999998</v>
      </c>
      <c r="H67" s="118">
        <f t="shared" si="2"/>
        <v>66</v>
      </c>
      <c r="I67" s="116" t="str">
        <f t="shared" si="7"/>
        <v>Cuando en el análisis de los requerimientos en los diferenes componentes del MECI se cuente con aspectos evaluados en nivel 1 (presente) y 1 (funcionando); 2 (presente) y 1 (funcionando).</v>
      </c>
      <c r="J67" s="116" t="s">
        <v>567</v>
      </c>
      <c r="K67" s="116">
        <f>+IF(ISBLANK(VLOOKUP(A67,'Info y Comunicación'!$E$19:$I$169,5,0)),"",VLOOKUP(A67,'Info y Comunicación'!$E$19:$I$169,5,0))</f>
        <v>3</v>
      </c>
      <c r="L67" s="116">
        <f>+IF(ISBLANK(VLOOKUP(A67,'Info y Comunicación'!$E$19:$M$169,9,0)),"",VLOOKUP(A67,'Info y Comunicación'!$E$19:$M$169,9,0))</f>
        <v>3</v>
      </c>
      <c r="M67" s="116">
        <f t="shared" si="4"/>
        <v>1</v>
      </c>
      <c r="N67" s="116">
        <f t="shared" si="3"/>
        <v>0.8928571428571429</v>
      </c>
      <c r="O67" s="116"/>
      <c r="P67" s="116"/>
    </row>
    <row r="68" spans="1:16" x14ac:dyDescent="0.25">
      <c r="A68" s="116" t="s">
        <v>577</v>
      </c>
      <c r="B68" s="116" t="str">
        <f t="shared" si="6"/>
        <v>15</v>
      </c>
      <c r="C68" s="116" t="str">
        <f>+MID(VLOOKUP(A68,'Info y Comunicación'!$E$13:$F$191,2,0),6,LEN(VLOOKUP(A68,'Info y Comunicación'!$E$13:$F$191,2,0))-6)</f>
        <v>La entidad analiza periódicamente los resultados frente a la evaluación de percepción por parte de los usuarios o grupos de valor para la incorporación de las mejoras correspondientes</v>
      </c>
      <c r="D68" s="116" t="s">
        <v>552</v>
      </c>
      <c r="E68" s="116" t="str">
        <f>+VLOOKUP(A68,'Info y Comunicación'!$E$15:$N$169,3,0)</f>
        <v>Dimensión de Direccionamiento Estratégico y Planeación
Política de Planeación Institucional</v>
      </c>
      <c r="F68" s="116" t="str">
        <f>+VLOOKUP(A68,'Info y Comunicación'!$E$15:$N$169,10,0)</f>
        <v>Deficiencia de control (diseño o ejecución)</v>
      </c>
      <c r="G68" s="116">
        <f>+VLOOKUP(A68,'Info y Comunicación'!$E$13:$Q$191,13,0)</f>
        <v>265.78960000000001</v>
      </c>
      <c r="H68" s="118">
        <f t="shared" si="2"/>
        <v>55</v>
      </c>
      <c r="I68" s="116" t="str">
        <f t="shared" si="7"/>
        <v>Cuando en el análisis de los requerimientos en los diferenes componentes del MECI se cuente con aspectos evaluados en nivel 2 (presente) y 2 (funcionando); 3 (presente) y 1 (funcionando); 3 (presente) y 2 (funcionando).</v>
      </c>
      <c r="J68" s="116" t="s">
        <v>567</v>
      </c>
      <c r="K68" s="116">
        <f>+IF(ISBLANK(VLOOKUP(A68,'Info y Comunicación'!$E$19:$I$169,5,0)),"",VLOOKUP(A68,'Info y Comunicación'!$E$19:$I$169,5,0))</f>
        <v>3</v>
      </c>
      <c r="L68" s="116">
        <f>+IF(ISBLANK(VLOOKUP(A68,'Info y Comunicación'!$E$19:$M$169,9,0)),"",VLOOKUP(A68,'Info y Comunicación'!$E$19:$M$169,9,0))</f>
        <v>2</v>
      </c>
      <c r="M68" s="116">
        <f t="shared" ref="M68:M82" si="8">+IF(OR(AND(K68=1,L68=1),AND(ISBLANK(K68),ISBLANK(L68)),K68="",L68=""),0,IF(OR(AND(K68=1,L68=2),AND(K68=1,L68=3)),0.25,IF(OR(AND(K68=2,L68=2),AND(K68=3,L68=1),AND(K68=3,L68=2),AND(K68=2,L68=1)),0.5,IF(AND(K68=2,L68=3),0.75,1))))</f>
        <v>0.5</v>
      </c>
      <c r="N68" s="116">
        <f t="shared" si="3"/>
        <v>0.8928571428571429</v>
      </c>
      <c r="O68" s="116"/>
      <c r="P68" s="116"/>
    </row>
    <row r="69" spans="1:16" x14ac:dyDescent="0.25">
      <c r="A69" s="116" t="s">
        <v>579</v>
      </c>
      <c r="B69" s="116" t="str">
        <f t="shared" si="6"/>
        <v>16</v>
      </c>
      <c r="C69" s="116" t="str">
        <f>+MID(VLOOKUP(A69,'Actividades de Monitoreo'!$D$13:$E$214,2,0),6,LEN(VLOOKUP(A69,'Actividades de Monitoreo'!$D$13:$E$214,2,0))-6)</f>
        <v>El comité Institucional de Coordinación de Control Interno aprueba anualmente el Plan Anual de Auditoría presentado por parte del Jefe de Control Interno o quien haga sus veces y hace el correspondiente seguimiento a sus ejecución</v>
      </c>
      <c r="D69" s="116" t="s">
        <v>580</v>
      </c>
      <c r="E69" s="116" t="str">
        <f>+VLOOKUP(A69,'Actividades de Monitoreo'!$D$17:$M$172,3,0)</f>
        <v>Dimensión de Control Interno
Líneas Estratégica</v>
      </c>
      <c r="F69" s="116" t="str">
        <f>+VLOOKUP(A69,'Actividades de Monitoreo'!$D$17:$M$172,10,0)</f>
        <v>Mantenimiento del control</v>
      </c>
      <c r="G69" s="116">
        <f>+VLOOKUP(A69,'Actividades de Monitoreo'!$D$13:$P$214,13,0)</f>
        <v>385.87450000000001</v>
      </c>
      <c r="H69" s="118">
        <f t="shared" si="2"/>
        <v>69</v>
      </c>
      <c r="I69" s="116" t="str">
        <f t="shared" si="7"/>
        <v>Cuando en el análisis de los requerimientos en los diferenes componentes del MECI se cuente con aspectos evaluados en nivel 1 (presente) y 1 (funcionando); 2 (presente) y 1 (funcionando).</v>
      </c>
      <c r="J69" s="116" t="s">
        <v>581</v>
      </c>
      <c r="K69" s="116">
        <f>+IF(ISBLANK(VLOOKUP(A69,'Actividades de Monitoreo'!$D$20:$H$172,5,0)),"",VLOOKUP(A69,'Actividades de Monitoreo'!$D$20:$H$172,5,0))</f>
        <v>3</v>
      </c>
      <c r="L69" s="116">
        <f>+IF(ISBLANK(VLOOKUP(A69,'Actividades de Monitoreo'!$D$20:$L$172,9,0)),"",VLOOKUP(A69,'Actividades de Monitoreo'!$D$20:$L$172,9,0))</f>
        <v>3</v>
      </c>
      <c r="M69" s="116">
        <f t="shared" si="8"/>
        <v>1</v>
      </c>
      <c r="N69" s="116">
        <f t="shared" si="3"/>
        <v>0.9285714285714286</v>
      </c>
      <c r="O69" s="116"/>
      <c r="P69" s="116"/>
    </row>
    <row r="70" spans="1:16" x14ac:dyDescent="0.25">
      <c r="A70" s="116" t="s">
        <v>583</v>
      </c>
      <c r="B70" s="116" t="str">
        <f t="shared" si="6"/>
        <v>16</v>
      </c>
      <c r="C70" s="116" t="str">
        <f>+MID(VLOOKUP(A70,'Actividades de Monitoreo'!$D$13:$E$214,2,0),6,LEN(VLOOKUP(A70,'Actividades de Monitoreo'!$D$13:$E$214,2,0))-6)</f>
        <v xml:space="preserve"> La Alta Dirección periódicamente evalúa los resultados de las evaluaciones (continuas e independientes)  para concluir acerca de la efectividad del Sistema de Control Intern</v>
      </c>
      <c r="D70" s="116" t="s">
        <v>580</v>
      </c>
      <c r="E70" s="116" t="str">
        <f>+VLOOKUP(A70,'Actividades de Monitoreo'!$D$17:$M$172,3,0)</f>
        <v>Dimensión de Control Interno
Líneas Estratégica</v>
      </c>
      <c r="F70" s="116" t="str">
        <f>+VLOOKUP(A70,'Actividades de Monitoreo'!$D$17:$M$172,10,0)</f>
        <v>Mantenimiento del control</v>
      </c>
      <c r="G70" s="116">
        <f>+VLOOKUP(A70,'Actividades de Monitoreo'!$D$13:$P$214,13,0)</f>
        <v>385.96539999999999</v>
      </c>
      <c r="H70" s="118">
        <f t="shared" si="2"/>
        <v>70</v>
      </c>
      <c r="I70" s="116" t="str">
        <f t="shared" si="7"/>
        <v>Cuando en el análisis de los requerimientos en los diferenes componentes del MECI se cuente con aspectos evaluados en nivel 1 (presente) y 1 (funcionando); 2 (presente) y 1 (funcionando).</v>
      </c>
      <c r="J70" s="116" t="s">
        <v>581</v>
      </c>
      <c r="K70" s="116">
        <f>+IF(ISBLANK(VLOOKUP(A70,'Actividades de Monitoreo'!$D$20:$H$172,5,0)),"",VLOOKUP(A70,'Actividades de Monitoreo'!$D$20:$H$172,5,0))</f>
        <v>3</v>
      </c>
      <c r="L70" s="116">
        <f>+IF(ISBLANK(VLOOKUP(A70,'Actividades de Monitoreo'!$D$20:$L$172,9,0)),"",VLOOKUP(A70,'Actividades de Monitoreo'!$D$20:$L$172,9,0))</f>
        <v>3</v>
      </c>
      <c r="M70" s="116">
        <f t="shared" si="8"/>
        <v>1</v>
      </c>
      <c r="N70" s="116">
        <f t="shared" si="3"/>
        <v>0.9285714285714286</v>
      </c>
      <c r="O70" s="116"/>
      <c r="P70" s="116"/>
    </row>
    <row r="71" spans="1:16" x14ac:dyDescent="0.25">
      <c r="A71" s="116" t="s">
        <v>585</v>
      </c>
      <c r="B71" s="116" t="str">
        <f t="shared" si="6"/>
        <v>16</v>
      </c>
      <c r="C71" s="116" t="str">
        <f>+MID(VLOOKUP(A71,'Actividades de Monitoreo'!$D$13:$E$214,2,0),6,LEN(VLOOKUP(A71,'Actividades de Monitoreo'!$D$13:$E$214,2,0))-6)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116" t="s">
        <v>580</v>
      </c>
      <c r="E71" s="116" t="str">
        <f>+VLOOKUP(A71,'Actividades de Monitoreo'!$D$17:$M$172,3,0)</f>
        <v>Dimensión de Control Interno
Tercera Línea de Defensa</v>
      </c>
      <c r="F71" s="116" t="str">
        <f>+VLOOKUP(A71,'Actividades de Monitoreo'!$D$17:$M$172,10,0)</f>
        <v>Mantenimiento del control</v>
      </c>
      <c r="G71" s="116">
        <f>+VLOOKUP(A71,'Actividades de Monitoreo'!$D$13:$P$214,13,0)</f>
        <v>386.01229999999998</v>
      </c>
      <c r="H71" s="118">
        <f t="shared" ref="H71:H82" si="9">+_xlfn.RANK.EQ(G71,$G$2:$G$82,1)</f>
        <v>71</v>
      </c>
      <c r="I71" s="116" t="str">
        <f t="shared" si="7"/>
        <v>Cuando en el análisis de los requerimientos en los diferenes componentes del MECI se cuente con aspectos evaluados en nivel 1 (presente) y 1 (funcionando); 2 (presente) y 1 (funcionando).</v>
      </c>
      <c r="J71" s="116" t="s">
        <v>581</v>
      </c>
      <c r="K71" s="116">
        <f>+IF(ISBLANK(VLOOKUP(A71,'Actividades de Monitoreo'!$D$20:$H$172,5,0)),"",VLOOKUP(A71,'Actividades de Monitoreo'!$D$20:$H$172,5,0))</f>
        <v>3</v>
      </c>
      <c r="L71" s="116">
        <f>+IF(ISBLANK(VLOOKUP(A71,'Actividades de Monitoreo'!$D$20:$L$172,9,0)),"",VLOOKUP(A71,'Actividades de Monitoreo'!$D$20:$L$172,9,0))</f>
        <v>3</v>
      </c>
      <c r="M71" s="116">
        <f t="shared" si="8"/>
        <v>1</v>
      </c>
      <c r="N71" s="116">
        <f t="shared" ref="N71:N82" si="10">+AVERAGEIF($D$2:$D$82,D71,$M$2:$M$82)</f>
        <v>0.9285714285714286</v>
      </c>
      <c r="O71" s="116"/>
      <c r="P71" s="116"/>
    </row>
    <row r="72" spans="1:16" x14ac:dyDescent="0.25">
      <c r="A72" s="116" t="s">
        <v>587</v>
      </c>
      <c r="B72" s="116" t="str">
        <f t="shared" si="6"/>
        <v>16</v>
      </c>
      <c r="C72" s="116" t="str">
        <f>+MID(VLOOKUP(A72,'Actividades de Monitoreo'!$D$13:$E$214,2,0),6,LEN(VLOOKUP(A72,'Actividades de Monitoreo'!$D$13:$E$214,2,0))-6)</f>
        <v>Acorde con el Esquema de Líneas de Defensa se han implementado procedimientos de monitoreo continuo como parte de las actividades de la 2a línea de defensa, a fin de contar con información clave para la toma de decisiones</v>
      </c>
      <c r="D72" s="116" t="s">
        <v>580</v>
      </c>
      <c r="E72" s="116" t="str">
        <f>+VLOOKUP(A72,'Actividades de Monitoreo'!$D$17:$M$172,3,0)</f>
        <v>Dimensión de Control Interno
Segunda Línea de Defensa</v>
      </c>
      <c r="F72" s="116" t="str">
        <f>+VLOOKUP(A72,'Actividades de Monitoreo'!$D$17:$M$172,10,0)</f>
        <v>Mantenimiento del control</v>
      </c>
      <c r="G72" s="116">
        <f>+VLOOKUP(A72,'Actividades de Monitoreo'!$D$13:$P$214,13,0)</f>
        <v>386.12360000000001</v>
      </c>
      <c r="H72" s="118">
        <f t="shared" si="9"/>
        <v>72</v>
      </c>
      <c r="I72" s="116" t="str">
        <f t="shared" si="7"/>
        <v>Cuando en el análisis de los requerimientos en los diferenes componentes del MECI se cuente con aspectos evaluados en nivel 1 (presente) y 1 (funcionando); 2 (presente) y 1 (funcionando).</v>
      </c>
      <c r="J72" s="116" t="s">
        <v>581</v>
      </c>
      <c r="K72" s="116">
        <f>+IF(ISBLANK(VLOOKUP(A72,'Actividades de Monitoreo'!$D$20:$H$172,5,0)),"",VLOOKUP(A72,'Actividades de Monitoreo'!$D$20:$H$172,5,0))</f>
        <v>3</v>
      </c>
      <c r="L72" s="116">
        <f>+IF(ISBLANK(VLOOKUP(A72,'Actividades de Monitoreo'!$D$20:$L$172,9,0)),"",VLOOKUP(A72,'Actividades de Monitoreo'!$D$20:$L$172,9,0))</f>
        <v>3</v>
      </c>
      <c r="M72" s="116">
        <f t="shared" si="8"/>
        <v>1</v>
      </c>
      <c r="N72" s="116">
        <f t="shared" si="10"/>
        <v>0.9285714285714286</v>
      </c>
      <c r="O72" s="116"/>
      <c r="P72" s="116"/>
    </row>
    <row r="73" spans="1:16" x14ac:dyDescent="0.25">
      <c r="A73" s="116" t="s">
        <v>589</v>
      </c>
      <c r="B73" s="116" t="str">
        <f t="shared" si="6"/>
        <v>16</v>
      </c>
      <c r="C73" s="116" t="str">
        <f>+MID(VLOOKUP(A73,'Actividades de Monitoreo'!$D$13:$E$214,2,0),6,LEN(VLOOKUP(A73,'Actividades de Monitoreo'!$D$13:$E$214,2,0))-6)</f>
        <v>Frente a las evaluaciones independientes la entidad considera evaluaciones externas de organismos de control, de vigilancia, certificadores, ONG´s u otros que permitan tener una mirada independiente de las operaciones</v>
      </c>
      <c r="D73" s="116" t="s">
        <v>580</v>
      </c>
      <c r="E73" s="116" t="str">
        <f>+VLOOKUP(A73,'Actividades de Monitoreo'!$D$17:$M$172,3,0)</f>
        <v>Dimensión de Control Interno
Líneas de Defensa</v>
      </c>
      <c r="F73" s="116" t="str">
        <f>+VLOOKUP(A73,'Actividades de Monitoreo'!$D$17:$M$172,10,0)</f>
        <v>Mantenimiento del control</v>
      </c>
      <c r="G73" s="116">
        <f>+VLOOKUP(A73,'Actividades de Monitoreo'!$D$13:$P$214,13,0)</f>
        <v>386.21359999999999</v>
      </c>
      <c r="H73" s="118">
        <f t="shared" si="9"/>
        <v>73</v>
      </c>
      <c r="I73" s="116" t="str">
        <f t="shared" si="7"/>
        <v>Cuando en el análisis de los requerimientos en los diferenes componentes del MECI se cuente con aspectos evaluados en nivel 1 (presente) y 1 (funcionando); 2 (presente) y 1 (funcionando).</v>
      </c>
      <c r="J73" s="116" t="s">
        <v>581</v>
      </c>
      <c r="K73" s="116">
        <f>+IF(ISBLANK(VLOOKUP(A73,'Actividades de Monitoreo'!$D$20:$H$172,5,0)),"",VLOOKUP(A73,'Actividades de Monitoreo'!$D$20:$H$172,5,0))</f>
        <v>3</v>
      </c>
      <c r="L73" s="116">
        <f>+IF(ISBLANK(VLOOKUP(A73,'Actividades de Monitoreo'!$D$20:$L$172,9,0)),"",VLOOKUP(A73,'Actividades de Monitoreo'!$D$20:$L$172,9,0))</f>
        <v>3</v>
      </c>
      <c r="M73" s="116">
        <f t="shared" si="8"/>
        <v>1</v>
      </c>
      <c r="N73" s="116">
        <f t="shared" si="10"/>
        <v>0.9285714285714286</v>
      </c>
      <c r="O73" s="116"/>
      <c r="P73" s="116"/>
    </row>
    <row r="74" spans="1:16" x14ac:dyDescent="0.25">
      <c r="A74" s="116" t="s">
        <v>591</v>
      </c>
      <c r="B74" s="116" t="str">
        <f t="shared" si="6"/>
        <v>17</v>
      </c>
      <c r="C74" s="116" t="str">
        <f>+MID(VLOOKUP(A74,'Actividades de Monitoreo'!$D$13:$E$214,2,0),6,LEN(VLOOKUP(A74,'Actividades de Monitoreo'!$D$13:$E$214,2,0))-6)</f>
        <v>A partir de la información de las evaluaciones independientes, se evalúan para determinar su efecto en el Sistema de Control Interno de la entidad y su impacto en el logro de los objetivos, a fin de determinar cursos de acción para su mejora</v>
      </c>
      <c r="D74" s="116" t="s">
        <v>580</v>
      </c>
      <c r="E74" s="116" t="str">
        <f>+VLOOKUP(A74,'Actividades de Monitoreo'!$D$17:$M$172,3,0)</f>
        <v>Dimensión de Control Interno
Líneas de Defensa</v>
      </c>
      <c r="F74" s="116" t="str">
        <f>+VLOOKUP(A74,'Actividades de Monitoreo'!$D$17:$M$172,10,0)</f>
        <v>Mantenimiento del control</v>
      </c>
      <c r="G74" s="116">
        <f>+VLOOKUP(A74,'Actividades de Monitoreo'!$D$13:$P$214,13,0)</f>
        <v>386.32580000000002</v>
      </c>
      <c r="H74" s="118">
        <f t="shared" si="9"/>
        <v>74</v>
      </c>
      <c r="I74" s="116" t="str">
        <f t="shared" si="7"/>
        <v>Cuando en el análisis de los requerimientos en los diferenes componentes del MECI se cuente con aspectos evaluados en nivel 1 (presente) y 1 (funcionando); 2 (presente) y 1 (funcionando).</v>
      </c>
      <c r="J74" s="116" t="s">
        <v>592</v>
      </c>
      <c r="K74" s="116">
        <f>+IF(ISBLANK(VLOOKUP(A74,'Actividades de Monitoreo'!$D$20:$H$172,5,0)),"",VLOOKUP(A74,'Actividades de Monitoreo'!$D$20:$H$172,5,0))</f>
        <v>3</v>
      </c>
      <c r="L74" s="116">
        <f>+IF(ISBLANK(VLOOKUP(A74,'Actividades de Monitoreo'!$D$20:$L$172,9,0)),"",VLOOKUP(A74,'Actividades de Monitoreo'!$D$20:$L$172,9,0))</f>
        <v>3</v>
      </c>
      <c r="M74" s="116">
        <f t="shared" si="8"/>
        <v>1</v>
      </c>
      <c r="N74" s="116">
        <f t="shared" si="10"/>
        <v>0.9285714285714286</v>
      </c>
      <c r="O74" s="116"/>
      <c r="P74" s="116"/>
    </row>
    <row r="75" spans="1:16" x14ac:dyDescent="0.25">
      <c r="A75" s="116" t="s">
        <v>594</v>
      </c>
      <c r="B75" s="116" t="str">
        <f t="shared" si="6"/>
        <v>17</v>
      </c>
      <c r="C75" s="116" t="str">
        <f>+MID(VLOOKUP(A75,'Actividades de Monitoreo'!$D$13:$E$214,2,0),6,LEN(VLOOKUP(A75,'Actividades de Monitoreo'!$D$13:$E$214,2,0))-6)</f>
        <v>Los informes recibidos de entes externos (organismos de control, auditores externos, entidades de vigilancia entre otros) se consolidan y se concluye sobre el impacto en el Sistema de Control Interno, a fin de determinar los cursos de acción</v>
      </c>
      <c r="D75" s="116" t="s">
        <v>580</v>
      </c>
      <c r="E75" s="116" t="str">
        <f>+VLOOKUP(A75,'Actividades de Monitoreo'!$D$17:$M$172,3,0)</f>
        <v>Dimensión de Control Interno
Líneas de Defensa</v>
      </c>
      <c r="F75" s="116" t="str">
        <f>+VLOOKUP(A75,'Actividades de Monitoreo'!$D$17:$M$172,10,0)</f>
        <v>Mantenimiento del control</v>
      </c>
      <c r="G75" s="116">
        <f>+VLOOKUP(A75,'Actividades de Monitoreo'!$D$13:$P$214,13,0)</f>
        <v>386.45690000000002</v>
      </c>
      <c r="H75" s="118">
        <f t="shared" si="9"/>
        <v>75</v>
      </c>
      <c r="I75" s="116" t="str">
        <f t="shared" si="7"/>
        <v>Cuando en el análisis de los requerimientos en los diferenes componentes del MECI se cuente con aspectos evaluados en nivel 1 (presente) y 1 (funcionando); 2 (presente) y 1 (funcionando).</v>
      </c>
      <c r="J75" s="116" t="s">
        <v>592</v>
      </c>
      <c r="K75" s="116">
        <f>+IF(ISBLANK(VLOOKUP(A75,'Actividades de Monitoreo'!$D$20:$H$172,5,0)),"",VLOOKUP(A75,'Actividades de Monitoreo'!$D$20:$H$172,5,0))</f>
        <v>3</v>
      </c>
      <c r="L75" s="116">
        <f>+IF(ISBLANK(VLOOKUP(A75,'Actividades de Monitoreo'!$D$20:$L$172,9,0)),"",VLOOKUP(A75,'Actividades de Monitoreo'!$D$20:$L$172,9,0))</f>
        <v>3</v>
      </c>
      <c r="M75" s="116">
        <f t="shared" si="8"/>
        <v>1</v>
      </c>
      <c r="N75" s="116">
        <f t="shared" si="10"/>
        <v>0.9285714285714286</v>
      </c>
      <c r="O75" s="116"/>
      <c r="P75" s="116"/>
    </row>
    <row r="76" spans="1:16" x14ac:dyDescent="0.25">
      <c r="A76" s="116" t="s">
        <v>596</v>
      </c>
      <c r="B76" s="116" t="str">
        <f t="shared" si="6"/>
        <v>17</v>
      </c>
      <c r="C76" s="116" t="str">
        <f>+MID(VLOOKUP(A76,'Actividades de Monitoreo'!$D$13:$E$214,2,0),6,LEN(VLOOKUP(A76,'Actividades de Monitoreo'!$D$13:$E$214,2,0))-6)</f>
        <v>La entidad cuenta con políticas donde se establezca a quién reportar las deficiencias de control interno como resultado del monitoreo continuo</v>
      </c>
      <c r="D76" s="116" t="s">
        <v>580</v>
      </c>
      <c r="E76" s="116" t="str">
        <f>+VLOOKUP(A76,'Actividades de Monitoreo'!$D$17:$M$172,3,0)</f>
        <v>Dimensión de Control Interno
Líneas de Defensa</v>
      </c>
      <c r="F76" s="116" t="str">
        <f>+VLOOKUP(A76,'Actividades de Monitoreo'!$D$17:$M$172,10,0)</f>
        <v>Mantenimiento del control</v>
      </c>
      <c r="G76" s="116">
        <f>+VLOOKUP(A76,'Actividades de Monitoreo'!$D$13:$P$214,13,0)</f>
        <v>386.56319999999999</v>
      </c>
      <c r="H76" s="118">
        <f t="shared" si="9"/>
        <v>76</v>
      </c>
      <c r="I76" s="116" t="str">
        <f t="shared" si="7"/>
        <v>Cuando en el análisis de los requerimientos en los diferenes componentes del MECI se cuente con aspectos evaluados en nivel 1 (presente) y 1 (funcionando); 2 (presente) y 1 (funcionando).</v>
      </c>
      <c r="J76" s="116" t="s">
        <v>592</v>
      </c>
      <c r="K76" s="116">
        <f>+IF(ISBLANK(VLOOKUP(A76,'Actividades de Monitoreo'!$D$20:$H$172,5,0)),"",VLOOKUP(A76,'Actividades de Monitoreo'!$D$20:$H$172,5,0))</f>
        <v>3</v>
      </c>
      <c r="L76" s="116">
        <f>+IF(ISBLANK(VLOOKUP(A76,'Actividades de Monitoreo'!$D$20:$L$172,9,0)),"",VLOOKUP(A76,'Actividades de Monitoreo'!$D$20:$L$172,9,0))</f>
        <v>3</v>
      </c>
      <c r="M76" s="116">
        <f t="shared" si="8"/>
        <v>1</v>
      </c>
      <c r="N76" s="116">
        <f t="shared" si="10"/>
        <v>0.9285714285714286</v>
      </c>
      <c r="O76" s="116"/>
      <c r="P76" s="116"/>
    </row>
    <row r="77" spans="1:16" x14ac:dyDescent="0.25">
      <c r="A77" s="116" t="s">
        <v>598</v>
      </c>
      <c r="B77" s="116" t="str">
        <f t="shared" si="6"/>
        <v>17</v>
      </c>
      <c r="C77" s="116" t="str">
        <f>+MID(VLOOKUP(A77,'Actividades de Monitoreo'!$D$13:$E$214,2,0),6,LEN(VLOOKUP(A77,'Actividades de Monitoreo'!$D$13:$E$214,2,0))-6)</f>
        <v>La Alta Dirección hace seguimiento a las acciones correctivas relacionadas con las deficiencias comunicadas sobre el Sistema de Control Interno y si se han cumplido en el tiempo establecido</v>
      </c>
      <c r="D77" s="116" t="s">
        <v>580</v>
      </c>
      <c r="E77" s="116" t="str">
        <f>+VLOOKUP(A77,'Actividades de Monitoreo'!$D$17:$M$172,3,0)</f>
        <v>Dimensión de Control Interno
Líneas de Defensa</v>
      </c>
      <c r="F77" s="116" t="str">
        <f>+VLOOKUP(A77,'Actividades de Monitoreo'!$D$17:$M$172,10,0)</f>
        <v>Mantenimiento del control</v>
      </c>
      <c r="G77" s="116">
        <f>+VLOOKUP(A77,'Actividades de Monitoreo'!$D$13:$P$214,13,0)</f>
        <v>386.78539999999998</v>
      </c>
      <c r="H77" s="118">
        <f t="shared" si="9"/>
        <v>77</v>
      </c>
      <c r="I77" s="116" t="str">
        <f t="shared" si="7"/>
        <v>Cuando en el análisis de los requerimientos en los diferenes componentes del MECI se cuente con aspectos evaluados en nivel 1 (presente) y 1 (funcionando); 2 (presente) y 1 (funcionando).</v>
      </c>
      <c r="J77" s="116" t="s">
        <v>592</v>
      </c>
      <c r="K77" s="116">
        <f>+IF(ISBLANK(VLOOKUP(A77,'Actividades de Monitoreo'!$D$20:$H$172,5,0)),"",VLOOKUP(A77,'Actividades de Monitoreo'!$D$20:$H$172,5,0))</f>
        <v>3</v>
      </c>
      <c r="L77" s="116">
        <f>+IF(ISBLANK(VLOOKUP(A77,'Actividades de Monitoreo'!$D$20:$L$172,9,0)),"",VLOOKUP(A77,'Actividades de Monitoreo'!$D$20:$L$172,9,0))</f>
        <v>3</v>
      </c>
      <c r="M77" s="116">
        <f t="shared" si="8"/>
        <v>1</v>
      </c>
      <c r="N77" s="116">
        <f t="shared" si="10"/>
        <v>0.9285714285714286</v>
      </c>
      <c r="O77" s="116"/>
      <c r="P77" s="116"/>
    </row>
    <row r="78" spans="1:16" x14ac:dyDescent="0.25">
      <c r="A78" s="116" t="s">
        <v>600</v>
      </c>
      <c r="B78" s="116" t="str">
        <f t="shared" si="6"/>
        <v>17</v>
      </c>
      <c r="C78" s="116" t="str">
        <f>+MID(VLOOKUP(A78,'Actividades de Monitoreo'!$D$13:$E$214,2,0),6,LEN(VLOOKUP(A78,'Actividades de Monitoreo'!$D$13:$E$214,2,0))-6)</f>
        <v>Los procesos y/o servicios tercerizados, son evaluados acorde con su nivel de riesgos</v>
      </c>
      <c r="D78" s="116" t="s">
        <v>580</v>
      </c>
      <c r="E78" s="116" t="str">
        <f>+VLOOKUP(A78,'Actividades de Monitoreo'!$D$17:$M$172,3,0)</f>
        <v>Dimensión de Control Interno
Líneas de Defensa</v>
      </c>
      <c r="F78" s="116" t="str">
        <f>+VLOOKUP(A78,'Actividades de Monitoreo'!$D$17:$M$172,10,0)</f>
        <v>Deficiencia de control (diseño o ejecución)</v>
      </c>
      <c r="G78" s="116">
        <f>+VLOOKUP(A78,'Actividades de Monitoreo'!$D$13:$P$214,13,0)</f>
        <v>346.87450000000001</v>
      </c>
      <c r="H78" s="118">
        <f t="shared" si="9"/>
        <v>67</v>
      </c>
      <c r="I78" s="116" t="str">
        <f t="shared" si="7"/>
        <v>Cuando en el análisis de los requerimientos en los diferenes componentes del MECI se cuente con aspectos evaluados en nivel 2 (presente) y 2 (funcionando); 3 (presente) y 1 (funcionando); 3 (presente) y 2 (funcionando).</v>
      </c>
      <c r="J78" s="116" t="s">
        <v>592</v>
      </c>
      <c r="K78" s="116">
        <f>+IF(ISBLANK(VLOOKUP(A78,'Actividades de Monitoreo'!$D$20:$H$172,5,0)),"",VLOOKUP(A78,'Actividades de Monitoreo'!$D$20:$H$172,5,0))</f>
        <v>3</v>
      </c>
      <c r="L78" s="116">
        <f>+IF(ISBLANK(VLOOKUP(A78,'Actividades de Monitoreo'!$D$20:$L$172,9,0)),"",VLOOKUP(A78,'Actividades de Monitoreo'!$D$20:$L$172,9,0))</f>
        <v>2</v>
      </c>
      <c r="M78" s="116">
        <f t="shared" si="8"/>
        <v>0.5</v>
      </c>
      <c r="N78" s="116">
        <f t="shared" si="10"/>
        <v>0.9285714285714286</v>
      </c>
      <c r="O78" s="116"/>
      <c r="P78" s="116"/>
    </row>
    <row r="79" spans="1:16" x14ac:dyDescent="0.25">
      <c r="A79" s="116" t="s">
        <v>602</v>
      </c>
      <c r="B79" s="116" t="str">
        <f t="shared" si="6"/>
        <v>17</v>
      </c>
      <c r="C79" s="116" t="str">
        <f>+MID(VLOOKUP(A79,'Actividades de Monitoreo'!$D$13:$E$214,2,0),6,LEN(VLOOKUP(A79,'Actividades de Monitoreo'!$D$13:$E$214,2,0))-6)</f>
        <v>Se evalúa la información suministrada por los usuarios (Sistema PQRD), así como de otras partes interesadas para la mejora del  Sistema de Control Interno de la Entidad</v>
      </c>
      <c r="D79" s="116" t="s">
        <v>580</v>
      </c>
      <c r="E79" s="116" t="str">
        <f>+VLOOKUP(A79,'Actividades de Monitoreo'!$D$17:$M$172,3,0)</f>
        <v xml:space="preserve">
Dimensión de Información y Comunicación 
Dimensión de Control Interno
Líneas de Defensa</v>
      </c>
      <c r="F79" s="116" t="str">
        <f>+VLOOKUP(A79,'Actividades de Monitoreo'!$D$17:$M$172,10,0)</f>
        <v>Deficiencia de control (diseño o ejecución)</v>
      </c>
      <c r="G79" s="116">
        <f>+VLOOKUP(A79,'Actividades de Monitoreo'!$D$13:$P$214,13,0)</f>
        <v>346.98739999999998</v>
      </c>
      <c r="H79" s="118">
        <f t="shared" si="9"/>
        <v>68</v>
      </c>
      <c r="I79" s="116" t="str">
        <f t="shared" si="7"/>
        <v>Cuando en el análisis de los requerimientos en los diferenes componentes del MECI se cuente con aspectos evaluados en nivel 2 (presente) y 2 (funcionando); 3 (presente) y 1 (funcionando); 3 (presente) y 2 (funcionando).</v>
      </c>
      <c r="J79" s="116" t="s">
        <v>592</v>
      </c>
      <c r="K79" s="116">
        <f>+IF(ISBLANK(VLOOKUP(A79,'Actividades de Monitoreo'!$D$20:$H$172,5,0)),"",VLOOKUP(A79,'Actividades de Monitoreo'!$D$20:$H$172,5,0))</f>
        <v>3</v>
      </c>
      <c r="L79" s="116">
        <f>+IF(ISBLANK(VLOOKUP(A79,'Actividades de Monitoreo'!$D$20:$L$172,9,0)),"",VLOOKUP(A79,'Actividades de Monitoreo'!$D$20:$L$172,9,0))</f>
        <v>2</v>
      </c>
      <c r="M79" s="116">
        <f t="shared" si="8"/>
        <v>0.5</v>
      </c>
      <c r="N79" s="116">
        <f t="shared" si="10"/>
        <v>0.9285714285714286</v>
      </c>
      <c r="O79" s="116"/>
      <c r="P79" s="116"/>
    </row>
    <row r="80" spans="1:16" x14ac:dyDescent="0.25">
      <c r="A80" s="116" t="s">
        <v>604</v>
      </c>
      <c r="B80" s="116" t="str">
        <f t="shared" si="6"/>
        <v>17</v>
      </c>
      <c r="C80" s="116" t="str">
        <f>+MID(VLOOKUP(A80,'Actividades de Monitoreo'!$D$13:$E$214,2,0),6,LEN(VLOOKUP(A80,'Actividades de Monitoreo'!$D$13:$E$214,2,0))-6)</f>
        <v>Verificación del avance y cumplimiento de las acciones incluidas en los planes de mejoramiento producto de las autoevaluaciones. (2ª Línea).</v>
      </c>
      <c r="D80" s="116" t="s">
        <v>580</v>
      </c>
      <c r="E80" s="116" t="str">
        <f>+VLOOKUP(A80,'Actividades de Monitoreo'!$D$17:$M$172,3,0)</f>
        <v xml:space="preserve">
Dimensión de Control Interno
Líneas de Defensa</v>
      </c>
      <c r="F80" s="116" t="str">
        <f>+VLOOKUP(A80,'Actividades de Monitoreo'!$D$17:$M$172,10,0)</f>
        <v>Mantenimiento del control</v>
      </c>
      <c r="G80" s="116">
        <f>+VLOOKUP(A80,'Actividades de Monitoreo'!$D$13:$P$214,13,0)</f>
        <v>386.98745000000002</v>
      </c>
      <c r="H80" s="118">
        <f t="shared" si="9"/>
        <v>78</v>
      </c>
      <c r="I80" s="116" t="str">
        <f t="shared" si="7"/>
        <v>Cuando en el análisis de los requerimientos en los diferenes componentes del MECI se cuente con aspectos evaluados en nivel 1 (presente) y 1 (funcionando); 2 (presente) y 1 (funcionando).</v>
      </c>
      <c r="J80" s="116" t="s">
        <v>592</v>
      </c>
      <c r="K80" s="116">
        <f>+IF(ISBLANK(VLOOKUP(A80,'Actividades de Monitoreo'!$D$20:$H$172,5,0)),"",VLOOKUP(A80,'Actividades de Monitoreo'!$D$20:$H$172,5,0))</f>
        <v>3</v>
      </c>
      <c r="L80" s="116">
        <f>+IF(ISBLANK(VLOOKUP(A80,'Actividades de Monitoreo'!$D$20:$L$172,9,0)),"",VLOOKUP(A80,'Actividades de Monitoreo'!$D$20:$L$172,9,0))</f>
        <v>3</v>
      </c>
      <c r="M80" s="116">
        <f t="shared" si="8"/>
        <v>1</v>
      </c>
      <c r="N80" s="116">
        <f t="shared" si="10"/>
        <v>0.9285714285714286</v>
      </c>
      <c r="O80" s="116"/>
      <c r="P80" s="116"/>
    </row>
    <row r="81" spans="1:16" x14ac:dyDescent="0.25">
      <c r="A81" s="116" t="s">
        <v>606</v>
      </c>
      <c r="B81" s="116" t="str">
        <f t="shared" si="6"/>
        <v>17</v>
      </c>
      <c r="C81" s="116" t="str">
        <f>+MID(VLOOKUP(A81,'Actividades de Monitoreo'!$D$13:$E$214,2,0),6,LEN(VLOOKUP(A81,'Actividades de Monitoreo'!$D$13:$E$214,2,0))-6)</f>
        <v>Evaluación de la efectividad de las acciones incluidas en los Planes de mejoramiento producto de las auditorías internas y de entes externos. (3ª Línea</v>
      </c>
      <c r="D81" s="116" t="s">
        <v>580</v>
      </c>
      <c r="E81" s="116" t="str">
        <f>+VLOOKUP(A81,'Actividades de Monitoreo'!$D$17:$M$172,3,0)</f>
        <v xml:space="preserve">
Dimensión de Control Interno
Líneas de Defensa</v>
      </c>
      <c r="F81" s="116" t="str">
        <f>+VLOOKUP(A81,'Actividades de Monitoreo'!$D$17:$M$172,10,0)</f>
        <v>Mantenimiento del control</v>
      </c>
      <c r="G81" s="116">
        <f>+VLOOKUP(A81,'Actividades de Monitoreo'!$D$13:$P$214,13,0)</f>
        <v>386.98745600000001</v>
      </c>
      <c r="H81" s="118">
        <f t="shared" si="9"/>
        <v>79</v>
      </c>
      <c r="I81" s="116" t="str">
        <f t="shared" si="7"/>
        <v>Cuando en el análisis de los requerimientos en los diferenes componentes del MECI se cuente con aspectos evaluados en nivel 1 (presente) y 1 (funcionando); 2 (presente) y 1 (funcionando).</v>
      </c>
      <c r="J81" s="116" t="s">
        <v>592</v>
      </c>
      <c r="K81" s="116">
        <f>+IF(ISBLANK(VLOOKUP(A81,'Actividades de Monitoreo'!$D$20:$H$172,5,0)),"",VLOOKUP(A81,'Actividades de Monitoreo'!$D$20:$H$172,5,0))</f>
        <v>3</v>
      </c>
      <c r="L81" s="116">
        <f>+IF(ISBLANK(VLOOKUP(A81,'Actividades de Monitoreo'!$D$20:$L$172,9,0)),"",VLOOKUP(A81,'Actividades de Monitoreo'!$D$20:$L$172,9,0))</f>
        <v>3</v>
      </c>
      <c r="M81" s="116">
        <f t="shared" si="8"/>
        <v>1</v>
      </c>
      <c r="N81" s="116">
        <f t="shared" si="10"/>
        <v>0.9285714285714286</v>
      </c>
      <c r="O81" s="116"/>
      <c r="P81" s="116"/>
    </row>
    <row r="82" spans="1:16" x14ac:dyDescent="0.25">
      <c r="A82" s="116" t="s">
        <v>608</v>
      </c>
      <c r="B82" s="116" t="str">
        <f t="shared" si="6"/>
        <v>17</v>
      </c>
      <c r="C82" s="116" t="str">
        <f>+MID(VLOOKUP(A82,'Actividades de Monitoreo'!$D$13:$E$214,2,0),6,LEN(VLOOKUP(A82,'Actividades de Monitoreo'!$D$13:$E$214,2,0))-6)</f>
        <v>Las deficiencias de control interno son reportadas a los responsables de nivel jerárquico superior, para tomar la acciones correspondientes</v>
      </c>
      <c r="D82" s="116" t="s">
        <v>580</v>
      </c>
      <c r="E82" s="116" t="str">
        <f>+VLOOKUP(A82,'Actividades de Monitoreo'!$D$17:$M$172,3,0)</f>
        <v xml:space="preserve">
Dimensión de Control Interno
Líneas de Defensa</v>
      </c>
      <c r="F82" s="116" t="str">
        <f>+VLOOKUP(A82,'Actividades de Monitoreo'!$D$17:$M$172,10,0)</f>
        <v>Mantenimiento del control</v>
      </c>
      <c r="G82" s="116">
        <f>+VLOOKUP(A82,'Actividades de Monitoreo'!$D$13:$P$214,13,0)</f>
        <v>387.01229999999998</v>
      </c>
      <c r="H82" s="118">
        <f t="shared" si="9"/>
        <v>80</v>
      </c>
      <c r="I82" s="116" t="str">
        <f t="shared" si="7"/>
        <v>Cuando en el análisis de los requerimientos en los diferenes componentes del MECI se cuente con aspectos evaluados en nivel 1 (presente) y 1 (funcionando); 2 (presente) y 1 (funcionando).</v>
      </c>
      <c r="J82" s="116" t="s">
        <v>592</v>
      </c>
      <c r="K82" s="116">
        <f>+IF(ISBLANK(VLOOKUP(A82,'Actividades de Monitoreo'!$D$20:$H$172,5,0)),"",VLOOKUP(A82,'Actividades de Monitoreo'!$D$20:$H$172,5,0))</f>
        <v>3</v>
      </c>
      <c r="L82" s="116">
        <f>+IF(ISBLANK(VLOOKUP(A82,'Actividades de Monitoreo'!$D$20:$L$172,9,0)),"",VLOOKUP(A82,'Actividades de Monitoreo'!$D$20:$L$172,9,0))</f>
        <v>3</v>
      </c>
      <c r="M82" s="116">
        <f t="shared" si="8"/>
        <v>1</v>
      </c>
      <c r="N82" s="116">
        <f t="shared" si="10"/>
        <v>0.9285714285714286</v>
      </c>
      <c r="O82" s="116"/>
      <c r="P82" s="116"/>
    </row>
  </sheetData>
  <sheetProtection password="D72A"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f5ade0b-ccac-4c4b-9873-0b8ebc8646ed">
      <Terms xmlns="http://schemas.microsoft.com/office/infopath/2007/PartnerControls"/>
    </lcf76f155ced4ddcb4097134ff3c332f>
    <TaxCatchAll xmlns="dff2b73d-50ba-46a8-836e-e5cca1de02b2" xsi:nil="true"/>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1E79C0-A829-44C7-85DB-08445202C538}">
  <ds:schemaRefs>
    <ds:schemaRef ds:uri="http://schemas.microsoft.com/office/2006/metadata/properties"/>
    <ds:schemaRef ds:uri="http://schemas.microsoft.com/office/infopath/2007/PartnerControls"/>
    <ds:schemaRef ds:uri="ef5ade0b-ccac-4c4b-9873-0b8ebc8646ed"/>
    <ds:schemaRef ds:uri="dff2b73d-50ba-46a8-836e-e5cca1de02b2"/>
    <ds:schemaRef ds:uri="http://schemas.microsoft.com/sharepoint/v3"/>
  </ds:schemaRefs>
</ds:datastoreItem>
</file>

<file path=customXml/itemProps2.xml><?xml version="1.0" encoding="utf-8"?>
<ds:datastoreItem xmlns:ds="http://schemas.openxmlformats.org/officeDocument/2006/customXml" ds:itemID="{CE1B851B-21AD-4C1F-B824-A299009D34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82D6D5-3EBF-4F16-97C6-DE0A28D9F3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3</vt:i4>
      </vt:variant>
    </vt:vector>
  </HeadingPairs>
  <TitlesOfParts>
    <vt:vector size="15" baseType="lpstr">
      <vt:lpstr>Instructivo</vt:lpstr>
      <vt:lpstr>Definiciones</vt:lpstr>
      <vt:lpstr>Ambiente de Control</vt:lpstr>
      <vt:lpstr>Evaluación de riesgos</vt:lpstr>
      <vt:lpstr>Actividades de control</vt:lpstr>
      <vt:lpstr>Info y Comunicación</vt:lpstr>
      <vt:lpstr>Actividades de Monitoreo</vt:lpstr>
      <vt:lpstr>Analisis de Resultados</vt:lpstr>
      <vt:lpstr>Conclusiones</vt:lpstr>
      <vt:lpstr>resumen</vt:lpstr>
      <vt:lpstr>Datos</vt:lpstr>
      <vt:lpstr>Hoja1</vt:lpstr>
      <vt:lpstr>ADMINISTRACION_DE_RIESGOS_2025</vt:lpstr>
      <vt:lpstr>Conclusiones!Área_de_impresión</vt:lpstr>
      <vt:lpstr>resumen!Área_de_impresión</vt:lpstr>
    </vt:vector>
  </TitlesOfParts>
  <Manager/>
  <Company>Ernst &amp; Young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Diana Gomez</dc:creator>
  <cp:keywords/>
  <dc:description/>
  <cp:lastModifiedBy>Diana del Pilar Romero</cp:lastModifiedBy>
  <cp:revision/>
  <dcterms:created xsi:type="dcterms:W3CDTF">2010-10-04T16:34:45Z</dcterms:created>
  <dcterms:modified xsi:type="dcterms:W3CDTF">2026-07-26T20:30:29Z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0x0101000D04ACE57DE4D542B9E5C31E6EED5A3C</vt:lpwstr>
  </property>
  <property fmtid="{D5CDD505-2E9C-101B-9397-08002B2CF9AE}" pid="3" name="MediaServiceImageTags">
    <vt:lpwstr/>
  </property>
  <property fmtid="{D5CDD505-2E9C-101B-9397-08002B2CF9AE}" pid="4" name="MSIP_Label_5fac521f-e930-485b-97f4-efbe7db8e98f_Enabled">
    <vt:lpwstr>true</vt:lpwstr>
  </property>
  <property fmtid="{D5CDD505-2E9C-101B-9397-08002B2CF9AE}" pid="5" name="MSIP_Label_5fac521f-e930-485b-97f4-efbe7db8e98f_SetDate">
    <vt:lpwstr>2023-07-06T14:04:40Z</vt:lpwstr>
  </property>
  <property fmtid="{D5CDD505-2E9C-101B-9397-08002B2CF9AE}" pid="6" name="MSIP_Label_5fac521f-e930-485b-97f4-efbe7db8e98f_Method">
    <vt:lpwstr>Standard</vt:lpwstr>
  </property>
  <property fmtid="{D5CDD505-2E9C-101B-9397-08002B2CF9AE}" pid="7" name="MSIP_Label_5fac521f-e930-485b-97f4-efbe7db8e98f_Name">
    <vt:lpwstr>defa4170-0d19-0005-0004-bc88714345d2</vt:lpwstr>
  </property>
  <property fmtid="{D5CDD505-2E9C-101B-9397-08002B2CF9AE}" pid="8" name="MSIP_Label_5fac521f-e930-485b-97f4-efbe7db8e98f_SiteId">
    <vt:lpwstr>9ecb216e-449b-4584-bc82-26bce78574fb</vt:lpwstr>
  </property>
  <property fmtid="{D5CDD505-2E9C-101B-9397-08002B2CF9AE}" pid="9" name="MSIP_Label_5fac521f-e930-485b-97f4-efbe7db8e98f_ActionId">
    <vt:lpwstr>1ff646a5-6572-414b-81cf-59281c1adcad</vt:lpwstr>
  </property>
  <property fmtid="{D5CDD505-2E9C-101B-9397-08002B2CF9AE}" pid="10" name="MSIP_Label_5fac521f-e930-485b-97f4-efbe7db8e98f_ContentBits">
    <vt:lpwstr>0</vt:lpwstr>
  </property>
</Properties>
</file>