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C:\Users\luzma\OneDrive\Escritorio\"/>
    </mc:Choice>
  </mc:AlternateContent>
  <xr:revisionPtr revIDLastSave="0" documentId="8_{685F564E-0946-484D-8883-F67E5CDD7B8A}" xr6:coauthVersionLast="47" xr6:coauthVersionMax="47" xr10:uidLastSave="{00000000-0000-0000-0000-000000000000}"/>
  <workbookProtection workbookAlgorithmName="SHA-512" workbookHashValue="zFT3vmPGC/YIeAdd0q3eejjHR9vPJdhRh+tpgob5PjSHfzg0cxLnySTPHA3V8XoUsazwriK6Ur/Q7xYS3mRimA==" workbookSaltValue="axrRn/01DgIZ8QJlr7Sxhw==" workbookSpinCount="100000" lockStructure="1"/>
  <bookViews>
    <workbookView xWindow="-120" yWindow="-120" windowWidth="21840" windowHeight="13140" tabRatio="729" firstSheet="2" activeTab="3"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2" i="22" l="1"/>
  <c r="B223" i="13"/>
  <c r="B222" i="13"/>
  <c r="F221" i="13"/>
  <c r="B221" i="13"/>
  <c r="F220" i="13"/>
  <c r="F219" i="13"/>
  <c r="F218" i="13"/>
  <c r="F217" i="13"/>
  <c r="F216" i="13"/>
  <c r="F215" i="13"/>
  <c r="F214" i="13"/>
  <c r="F213" i="13"/>
  <c r="F212" i="13"/>
  <c r="F211" i="13"/>
  <c r="H210" i="13"/>
  <c r="F210" i="13"/>
  <c r="N11" i="1" l="1"/>
  <c r="O11" i="1" s="1"/>
  <c r="N53" i="1"/>
  <c r="O53" i="1" s="1"/>
  <c r="N29" i="1"/>
  <c r="O29" i="1" s="1"/>
  <c r="N47" i="1"/>
  <c r="O47" i="1" s="1"/>
  <c r="N23" i="1"/>
  <c r="O23" i="1" s="1"/>
  <c r="N41" i="1"/>
  <c r="O41" i="1" s="1"/>
  <c r="N17" i="1"/>
  <c r="O17" i="1" s="1"/>
  <c r="N59" i="1"/>
  <c r="O59" i="1" s="1"/>
  <c r="N35" i="1"/>
  <c r="O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W62" i="24"/>
  <c r="W61" i="24"/>
  <c r="W60" i="24"/>
  <c r="W59" i="24"/>
  <c r="N59" i="24"/>
  <c r="W58" i="24"/>
  <c r="W57" i="24"/>
  <c r="W56" i="24"/>
  <c r="W55" i="24"/>
  <c r="W54" i="24"/>
  <c r="W53" i="24"/>
  <c r="N53" i="24"/>
  <c r="O53" i="24" s="1"/>
  <c r="W52" i="24"/>
  <c r="W51" i="24"/>
  <c r="W50" i="24"/>
  <c r="W49" i="24"/>
  <c r="W48" i="24"/>
  <c r="W47" i="24"/>
  <c r="AH47" i="24" s="1"/>
  <c r="N47" i="24"/>
  <c r="W46" i="24"/>
  <c r="W45" i="24"/>
  <c r="W44" i="24"/>
  <c r="W43" i="24"/>
  <c r="W42" i="24"/>
  <c r="W41" i="24"/>
  <c r="N41" i="24"/>
  <c r="O41" i="24" s="1"/>
  <c r="W40" i="24"/>
  <c r="W39" i="24"/>
  <c r="W38" i="24"/>
  <c r="W37" i="24"/>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W21" i="24"/>
  <c r="W20" i="24"/>
  <c r="W19" i="24"/>
  <c r="W18" i="24"/>
  <c r="W17" i="24"/>
  <c r="N17" i="24"/>
  <c r="O17" i="24" s="1"/>
  <c r="W16" i="24"/>
  <c r="W15" i="24"/>
  <c r="W14" i="24"/>
  <c r="W13" i="24"/>
  <c r="W12" i="24"/>
  <c r="W11" i="24"/>
  <c r="AL12" i="24" s="1"/>
  <c r="AK12" i="24" s="1"/>
  <c r="N11" i="24"/>
  <c r="O11" i="24" s="1"/>
  <c r="W10" i="24"/>
  <c r="W9" i="24"/>
  <c r="W8" i="24"/>
  <c r="W7" i="24"/>
  <c r="W6" i="24"/>
  <c r="W5" i="24"/>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X12" i="22"/>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A61" i="1"/>
  <c r="T61" i="1"/>
  <c r="AA60" i="1"/>
  <c r="T60" i="1"/>
  <c r="AA59" i="1"/>
  <c r="T59" i="1"/>
  <c r="K59" i="1"/>
  <c r="AA58" i="1"/>
  <c r="T58" i="1"/>
  <c r="AA57" i="1"/>
  <c r="T57" i="1"/>
  <c r="AI58" i="1" s="1"/>
  <c r="AH58" i="1" s="1"/>
  <c r="AA56" i="1"/>
  <c r="T56" i="1"/>
  <c r="AA55" i="1"/>
  <c r="T55" i="1"/>
  <c r="AI56" i="1" s="1"/>
  <c r="AH56" i="1" s="1"/>
  <c r="AA54" i="1"/>
  <c r="T54" i="1"/>
  <c r="AA53" i="1"/>
  <c r="T53" i="1"/>
  <c r="K53" i="1"/>
  <c r="Q53" i="1" s="1"/>
  <c r="AA52" i="1"/>
  <c r="T52" i="1"/>
  <c r="AA51" i="1"/>
  <c r="T51" i="1"/>
  <c r="AA50" i="1"/>
  <c r="T50" i="1"/>
  <c r="AA49" i="1"/>
  <c r="T49" i="1"/>
  <c r="AA48" i="1"/>
  <c r="T48" i="1"/>
  <c r="AA47" i="1"/>
  <c r="T47" i="1"/>
  <c r="AE47" i="1" s="1"/>
  <c r="K47" i="1"/>
  <c r="Q47" i="1" s="1"/>
  <c r="AA46" i="1"/>
  <c r="T46" i="1"/>
  <c r="AA45" i="1"/>
  <c r="T45" i="1"/>
  <c r="AA44" i="1"/>
  <c r="T44" i="1"/>
  <c r="AI45" i="1" s="1"/>
  <c r="AH45" i="1" s="1"/>
  <c r="AA43" i="1"/>
  <c r="T43" i="1"/>
  <c r="AA42" i="1"/>
  <c r="T42" i="1"/>
  <c r="AA41" i="1"/>
  <c r="T41" i="1"/>
  <c r="K41" i="1"/>
  <c r="Q41" i="1" s="1"/>
  <c r="AA40" i="1"/>
  <c r="T40" i="1"/>
  <c r="AA39" i="1"/>
  <c r="T39" i="1"/>
  <c r="AA38" i="1"/>
  <c r="T38" i="1"/>
  <c r="AA37" i="1"/>
  <c r="T37" i="1"/>
  <c r="AA36" i="1"/>
  <c r="T36" i="1"/>
  <c r="AA35" i="1"/>
  <c r="T35" i="1"/>
  <c r="K35" i="1"/>
  <c r="Q35" i="1" s="1"/>
  <c r="AA34" i="1"/>
  <c r="T34" i="1"/>
  <c r="AA33" i="1"/>
  <c r="T33" i="1"/>
  <c r="AE34" i="1" s="1"/>
  <c r="AA32" i="1"/>
  <c r="T32" i="1"/>
  <c r="AA31" i="1"/>
  <c r="T31" i="1"/>
  <c r="AA30" i="1"/>
  <c r="T30" i="1"/>
  <c r="AA29" i="1"/>
  <c r="T29" i="1"/>
  <c r="K29" i="1"/>
  <c r="Q29" i="1" s="1"/>
  <c r="AA28" i="1"/>
  <c r="T28" i="1"/>
  <c r="AA27" i="1"/>
  <c r="T27" i="1"/>
  <c r="AA26" i="1"/>
  <c r="T26" i="1"/>
  <c r="AA25" i="1"/>
  <c r="T25" i="1"/>
  <c r="AA24" i="1"/>
  <c r="T24" i="1"/>
  <c r="AA23" i="1"/>
  <c r="T23" i="1"/>
  <c r="AI23" i="1" s="1"/>
  <c r="AH23" i="1" s="1"/>
  <c r="K23" i="1"/>
  <c r="AA22" i="1"/>
  <c r="T22" i="1"/>
  <c r="AA21" i="1"/>
  <c r="T21" i="1"/>
  <c r="AA20" i="1"/>
  <c r="T20" i="1"/>
  <c r="AA19" i="1"/>
  <c r="T19" i="1"/>
  <c r="AA18" i="1"/>
  <c r="T18" i="1"/>
  <c r="AA17" i="1"/>
  <c r="T17" i="1"/>
  <c r="K17" i="1"/>
  <c r="AA16" i="1"/>
  <c r="T16" i="1"/>
  <c r="AA15" i="1"/>
  <c r="T15" i="1"/>
  <c r="AA14" i="1"/>
  <c r="T14" i="1"/>
  <c r="AA13" i="1"/>
  <c r="T13" i="1"/>
  <c r="AA12" i="1"/>
  <c r="T12" i="1"/>
  <c r="AA11" i="1"/>
  <c r="T11" i="1"/>
  <c r="K11" i="1"/>
  <c r="AA10" i="1"/>
  <c r="T10" i="1"/>
  <c r="AA9" i="1"/>
  <c r="T9" i="1"/>
  <c r="AA8" i="1"/>
  <c r="T8" i="1"/>
  <c r="AA7" i="1"/>
  <c r="T7" i="1"/>
  <c r="AI8" i="1" s="1"/>
  <c r="AH8" i="1" s="1"/>
  <c r="AA6" i="1"/>
  <c r="T6" i="1"/>
  <c r="AA5" i="1"/>
  <c r="K5" i="1"/>
  <c r="L5" i="1" s="1"/>
  <c r="AH22" i="24" l="1"/>
  <c r="AJ22" i="24" s="1"/>
  <c r="AL63" i="24"/>
  <c r="AK63" i="24" s="1"/>
  <c r="AL15" i="24"/>
  <c r="AK15" i="24" s="1"/>
  <c r="AI10" i="1"/>
  <c r="AH10" i="1" s="1"/>
  <c r="AI32" i="1"/>
  <c r="AH32" i="1" s="1"/>
  <c r="AI21" i="1"/>
  <c r="AH21" i="1" s="1"/>
  <c r="AI43" i="1"/>
  <c r="AH43" i="1" s="1"/>
  <c r="AI54" i="1"/>
  <c r="AH54" i="1" s="1"/>
  <c r="AH39" i="24"/>
  <c r="AJ39" i="24" s="1"/>
  <c r="AL60" i="24"/>
  <c r="AK60" i="24" s="1"/>
  <c r="L23" i="1"/>
  <c r="Q23" i="1"/>
  <c r="AL44" i="24"/>
  <c r="AK44" i="24" s="1"/>
  <c r="AI26" i="1"/>
  <c r="AH26" i="1" s="1"/>
  <c r="AI28" i="1"/>
  <c r="AH28" i="1" s="1"/>
  <c r="AI37" i="1"/>
  <c r="AH37" i="1" s="1"/>
  <c r="AI61" i="1"/>
  <c r="AH61" i="1" s="1"/>
  <c r="AE63" i="1"/>
  <c r="AH14" i="24"/>
  <c r="AL21" i="24"/>
  <c r="AK21" i="24" s="1"/>
  <c r="AL38" i="24"/>
  <c r="AK38" i="24" s="1"/>
  <c r="AL62" i="24"/>
  <c r="AK62" i="24" s="1"/>
  <c r="L59" i="1"/>
  <c r="Q59" i="1"/>
  <c r="AL42" i="24"/>
  <c r="AK42" i="24" s="1"/>
  <c r="AL46" i="24"/>
  <c r="AK46" i="24" s="1"/>
  <c r="L17" i="1"/>
  <c r="Q17" i="1"/>
  <c r="L11" i="1"/>
  <c r="AE11" i="1" s="1"/>
  <c r="Q11" i="1"/>
  <c r="AE13" i="1"/>
  <c r="AF13" i="1" s="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J63" i="24" s="1"/>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AG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F30" i="1" s="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I63" i="24"/>
  <c r="AM63" i="24" s="1"/>
  <c r="AI30" i="24"/>
  <c r="AJ30" i="24"/>
  <c r="AJ14" i="24"/>
  <c r="AI14" i="24"/>
  <c r="AJ51" i="24"/>
  <c r="AI47" i="24"/>
  <c r="AJ47" i="24"/>
  <c r="AI52" i="24"/>
  <c r="AJ49" i="24"/>
  <c r="AI49" i="24"/>
  <c r="AM49" i="24" s="1"/>
  <c r="AI24" i="24"/>
  <c r="AI41" i="24"/>
  <c r="AM41" i="24" s="1"/>
  <c r="AH12" i="24"/>
  <c r="AH16" i="24"/>
  <c r="AI18" i="24"/>
  <c r="AM18" i="24" s="1"/>
  <c r="AL19" i="24"/>
  <c r="AK19" i="24" s="1"/>
  <c r="AI22" i="24"/>
  <c r="AH29" i="24"/>
  <c r="AH33" i="24"/>
  <c r="AI35" i="24"/>
  <c r="AM35" i="24" s="1"/>
  <c r="AL36" i="24"/>
  <c r="AK36" i="24" s="1"/>
  <c r="AI39" i="24"/>
  <c r="AM39" i="24" s="1"/>
  <c r="AL40" i="24"/>
  <c r="AK40" i="24" s="1"/>
  <c r="AH50" i="24"/>
  <c r="AL53" i="24"/>
  <c r="AK53" i="24" s="1"/>
  <c r="AL57" i="24"/>
  <c r="AK57" i="24" s="1"/>
  <c r="O59"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H20" i="24"/>
  <c r="O29" i="24"/>
  <c r="AH37" i="24"/>
  <c r="AH54" i="24"/>
  <c r="AH58" i="24"/>
  <c r="AH48" i="24"/>
  <c r="AH19" i="24"/>
  <c r="AI25" i="24"/>
  <c r="AH36" i="24"/>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X48" i="22"/>
  <c r="Z48" i="22" s="1"/>
  <c r="AA48" i="22" s="1"/>
  <c r="AC47" i="22"/>
  <c r="AD47" i="22" s="1"/>
  <c r="X17" i="22"/>
  <c r="Z17" i="22" s="1"/>
  <c r="AA17" i="22" s="1"/>
  <c r="AC17" i="22"/>
  <c r="AD17" i="22" s="1"/>
  <c r="AF57" i="1"/>
  <c r="AG63" i="1"/>
  <c r="AF63" i="1"/>
  <c r="AF47" i="1"/>
  <c r="AG47" i="1"/>
  <c r="AF31" i="1"/>
  <c r="AG31" i="1"/>
  <c r="AF34" i="1"/>
  <c r="AG34" i="1"/>
  <c r="AF51" i="1"/>
  <c r="AG51" i="1"/>
  <c r="AG13" i="1"/>
  <c r="AE18" i="1"/>
  <c r="AE22" i="1"/>
  <c r="AF24" i="1"/>
  <c r="AE39" i="1"/>
  <c r="AE56" i="1"/>
  <c r="AI63" i="1"/>
  <c r="AH63" i="1" s="1"/>
  <c r="AI34" i="1"/>
  <c r="AH34" i="1" s="1"/>
  <c r="AI51" i="1"/>
  <c r="AH51" i="1" s="1"/>
  <c r="L53" i="1"/>
  <c r="AE33" i="1"/>
  <c r="AI24" i="1"/>
  <c r="AH24" i="1" s="1"/>
  <c r="AE38" i="1"/>
  <c r="L47" i="1"/>
  <c r="AE55" i="1"/>
  <c r="AF61" i="1"/>
  <c r="AJ61" i="1" s="1"/>
  <c r="AE21" i="1"/>
  <c r="AE15" i="1"/>
  <c r="AI18" i="1"/>
  <c r="AH18" i="1" s="1"/>
  <c r="AE32" i="1"/>
  <c r="L41" i="1"/>
  <c r="AE49" i="1"/>
  <c r="AE26" i="1"/>
  <c r="AI29" i="1"/>
  <c r="AH29" i="1" s="1"/>
  <c r="AE43" i="1"/>
  <c r="AE64" i="1"/>
  <c r="AE50" i="1"/>
  <c r="AI13" i="1"/>
  <c r="AH13" i="1" s="1"/>
  <c r="AE9" i="1"/>
  <c r="AE20" i="1"/>
  <c r="L29" i="1"/>
  <c r="AE37" i="1"/>
  <c r="AE58" i="1"/>
  <c r="AI30" i="1"/>
  <c r="AH30" i="1" s="1"/>
  <c r="AE48" i="1"/>
  <c r="AE12" i="1"/>
  <c r="AE29" i="1"/>
  <c r="AE8" i="1"/>
  <c r="AE19" i="1"/>
  <c r="AJ40" i="24" l="1"/>
  <c r="AG52" i="1"/>
  <c r="AI46" i="24"/>
  <c r="AM46" i="24" s="1"/>
  <c r="AI56" i="24"/>
  <c r="AM56" i="24" s="1"/>
  <c r="AM7" i="24"/>
  <c r="AG30" i="1"/>
  <c r="AJ7" i="24"/>
  <c r="AI62" i="24"/>
  <c r="AM62" i="24" s="1"/>
  <c r="AI45" i="24"/>
  <c r="AM45" i="24" s="1"/>
  <c r="AH11" i="22"/>
  <c r="AF17" i="1"/>
  <c r="AF16" i="1"/>
  <c r="AJ16" i="1" s="1"/>
  <c r="AM52" i="24"/>
  <c r="AM59" i="24"/>
  <c r="AM25" i="24"/>
  <c r="AJ47" i="1"/>
  <c r="AM22" i="24"/>
  <c r="AJ57" i="1"/>
  <c r="AF14" i="1"/>
  <c r="AJ14" i="1" s="1"/>
  <c r="AJ27" i="1"/>
  <c r="AF42" i="1"/>
  <c r="AJ42" i="1" s="1"/>
  <c r="AG27" i="1"/>
  <c r="AF45" i="1"/>
  <c r="AJ45" i="1" s="1"/>
  <c r="AI8" i="24"/>
  <c r="AM8" i="24" s="1"/>
  <c r="AM14" i="24"/>
  <c r="AG10" i="1"/>
  <c r="AI15" i="24"/>
  <c r="AM15" i="24" s="1"/>
  <c r="AI28" i="24"/>
  <c r="AM28" i="24" s="1"/>
  <c r="AI34" i="24"/>
  <c r="AM34" i="24" s="1"/>
  <c r="AI13" i="24"/>
  <c r="AM13" i="24" s="1"/>
  <c r="AJ31" i="1"/>
  <c r="AI42" i="24"/>
  <c r="AM42" i="24" s="1"/>
  <c r="AI32" i="24"/>
  <c r="AM32" i="24" s="1"/>
  <c r="AI11" i="24"/>
  <c r="AM11" i="24" s="1"/>
  <c r="AG5" i="1"/>
  <c r="AE6" i="1" s="1"/>
  <c r="AG6" i="1" s="1"/>
  <c r="AE7" i="1" s="1"/>
  <c r="AI31" i="24"/>
  <c r="AM31" i="24" s="1"/>
  <c r="AI5" i="24"/>
  <c r="AJ5" i="24"/>
  <c r="AH6" i="24" s="1"/>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38" i="1"/>
  <c r="AF38" i="1"/>
  <c r="AJ38" i="1" s="1"/>
  <c r="AG7" i="1" l="1"/>
  <c r="AF7" i="1"/>
  <c r="AF6" i="1"/>
  <c r="D49" i="11"/>
  <c r="C49" i="11"/>
  <c r="D48" i="11"/>
  <c r="D47" i="11"/>
  <c r="C48" i="11"/>
  <c r="C47" i="11"/>
  <c r="N5" i="1" l="1"/>
  <c r="O5" i="1" s="1"/>
  <c r="P5" i="1" s="1"/>
  <c r="Q5" i="24"/>
  <c r="R5" i="24" s="1"/>
  <c r="Q23" i="24"/>
  <c r="R23" i="24" s="1"/>
  <c r="Q35" i="24"/>
  <c r="Q47" i="24"/>
  <c r="R47" i="24" s="1"/>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AI12" i="1" s="1"/>
  <c r="AH12" i="1" s="1"/>
  <c r="AJ12" i="1" s="1"/>
  <c r="Q5" i="1"/>
  <c r="AH5" i="1" l="1"/>
  <c r="AJ5" i="1" s="1"/>
  <c r="AI6" i="1"/>
  <c r="S5" i="24"/>
  <c r="AL5" i="24" s="1"/>
  <c r="T5" i="24"/>
  <c r="AK5" i="24" l="1"/>
  <c r="AM5" i="24" s="1"/>
  <c r="AL6" i="24"/>
  <c r="AK6" i="24" s="1"/>
  <c r="AM6" i="24" s="1"/>
  <c r="AH6" i="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P3" authorId="3"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4"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5"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6"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7"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<sst xmlns="http://schemas.openxmlformats.org/spreadsheetml/2006/main" count="1430" uniqueCount="867">
  <si>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</si>
  <si>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</si>
  <si>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</si>
  <si>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</si>
  <si>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</si>
  <si>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</si>
  <si>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</si>
  <si>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</si>
  <si>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</si>
  <si>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</si>
  <si>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</si>
  <si>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</si>
  <si>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</si>
  <si>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</si>
  <si>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</si>
  <si>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</si>
  <si>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</si>
  <si>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</si>
  <si>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</si>
  <si>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</si>
  <si>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</si>
  <si>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</si>
  <si>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</si>
  <si>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</si>
  <si>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</si>
  <si>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</si>
  <si>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</si>
  <si>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</si>
  <si>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</si>
  <si>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</si>
  <si>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</si>
  <si>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</si>
  <si>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</si>
  <si>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</si>
  <si>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</si>
  <si>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</si>
  <si>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</si>
  <si>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</si>
  <si>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</si>
  <si>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</si>
  <si>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</si>
  <si>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</si>
  <si>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</si>
  <si>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</si>
  <si>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</si>
  <si>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</si>
  <si>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</si>
  <si>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</si>
  <si>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</si>
  <si>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</si>
  <si>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</si>
  <si>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</si>
  <si>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</si>
  <si>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</si>
  <si>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</si>
  <si>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</si>
  <si>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</si>
  <si>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</si>
  <si>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</si>
  <si>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</si>
  <si>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</si>
  <si>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</si>
  <si>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</si>
  <si>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</si>
  <si>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</si>
  <si>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</si>
  <si>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</si>
  <si>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</si>
  <si>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</si>
  <si>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</si>
  <si>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</si>
  <si>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</si>
  <si>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Gestión Integral de Residuos Sólidos </t>
  </si>
  <si>
    <t>FINANCIERO</t>
  </si>
  <si>
    <t>Asignación de presupuesto para el cumplimiento de las metas y objetivos del proceso.</t>
  </si>
  <si>
    <t>LEGALES Y REGLAMENTARIOS</t>
  </si>
  <si>
    <t>Normativa definida para la prestación del servicio.</t>
  </si>
  <si>
    <t>PROCEDIMIENTOS ASOCIADOS</t>
  </si>
  <si>
    <t xml:space="preserve">Procedimientos de supervisión y control implementados para la prestación del servicio. </t>
  </si>
  <si>
    <t>INFORMACION</t>
  </si>
  <si>
    <t>Uso de herramientas de visualización de información (PowerBI)</t>
  </si>
  <si>
    <t>Posibilidad de investigaciones por incumplimiento en la prestación del servicio público de aseo en los componentes de recolección, barrido y limpieza y disposición final, por las debilidades en el desarrollo de las actividades de supervisión y control.</t>
  </si>
  <si>
    <t>Investigaciones de entes de control.
Sanciones disciplinarias.
Afectación en la Salud Pública.
Daño al medio ambiente, contaminación visual, olores, proliferación de vectores.
Afectación a la imagen institucional.
Incumplimiento de los objetivos trazados por la Entidad. 
Reprocesos en el desarrollo de la operación asociada al proceso de GIRS</t>
  </si>
  <si>
    <t>PERSONAL</t>
  </si>
  <si>
    <t>Equipo interdisciplinario para el cumplimiento de las metas y objetivos del proceso.</t>
  </si>
  <si>
    <t>SOCIALES Y CULTURALES</t>
  </si>
  <si>
    <t xml:space="preserve">Paro de los trabajadores de los operadores del servicio de aseo </t>
  </si>
  <si>
    <t>Lineamientos técnicos de la Gestión de Residuos Solidos documentados en el SIG</t>
  </si>
  <si>
    <t>Concesionarios y organizaciones de recicladores de oficio con experiencia en la prestación del servicio de aseo.</t>
  </si>
  <si>
    <t xml:space="preserve">Comunicación de los operadores con la ciudadanía </t>
  </si>
  <si>
    <t>Aceptación de la implementación de programas y proyectos establecidos por la Unidad por la por parte de la comunidad.</t>
  </si>
  <si>
    <t>AMBIENTALES</t>
  </si>
  <si>
    <t>Generación de residuos sólidos urbanos para la recolección, disposición final y aprovechamiento.</t>
  </si>
  <si>
    <t>Existencia del registro de prestadores del servicio de aseo por parte de la SSPD.</t>
  </si>
  <si>
    <t>COMUNICACIÓN INTERNA</t>
  </si>
  <si>
    <t>Sinergia entre las subdirecciones para el logro de las metas de los diferentes programas del PGIRS</t>
  </si>
  <si>
    <t>Se cuenta con la reglamentación del PGIRS (Decreto 345 de 2020)</t>
  </si>
  <si>
    <t>RESPONSABLES DEL PROCESO</t>
  </si>
  <si>
    <t>Las subdirecciones de cada proceso tienen definidos los responsables de los programas.</t>
  </si>
  <si>
    <t>Posibilidad de investigaciones  por incumplimiento del Plan de Gestión Integral de Residuos Sólidos, debido a la inoportunidad en el seguimiento al plan.</t>
  </si>
  <si>
    <t>Investigaciones de entes de control.
Sanciones disciplinarias.
Afectación a la imagen institucional.</t>
  </si>
  <si>
    <t>Asignación de presupuesto para el cumplimiento de las metas, objetivos, programas y proyectos del proceso.</t>
  </si>
  <si>
    <t xml:space="preserve">Documentos Técnicos definidos para cada uno de los programas del plan. </t>
  </si>
  <si>
    <t xml:space="preserve">El proceso cuenta con los recursos para el pago a operadores e interventorías para garantizar la prestación del servicio </t>
  </si>
  <si>
    <t>Normativa definida para el pago de los servicios (Ley 80 y complementaria)</t>
  </si>
  <si>
    <t xml:space="preserve">Existen procedimientos asociados que definen las actividades y responsables de las actividades. </t>
  </si>
  <si>
    <t>Posibilidad del beneficio propio o de un tercero por la autorización  del pago de concesionarios, interventorías o contratistas sin el cumplimiento de las obligaciones contractuales, por debilidades en la supervisión.</t>
  </si>
  <si>
    <t xml:space="preserve">Detrimento patrimonial
Deficiencias en la prestación de los servicios que garantiza la UAESP
Sanciones por parte de entes de control
</t>
  </si>
  <si>
    <t>Personal idoneo y capacitado para la supervisión y control de las actividades</t>
  </si>
  <si>
    <t xml:space="preserve">Trafico de influencias </t>
  </si>
  <si>
    <t xml:space="preserve">Capacidad técnica para verificar el cumplimiento de los operadores e interventorías. </t>
  </si>
  <si>
    <t>El proceso cuenta con los recursos para la entrega de acciones afirmativas en el marco del cumplimiento de las sentencias de la Corte Constitucional.</t>
  </si>
  <si>
    <t>Normativa definida por la corte constitucional en el marco de acciones afirmativas.</t>
  </si>
  <si>
    <t xml:space="preserve">Registro único de recicladores de oficio-RURO y registro único de organizaciones de recicladores-RUOR. </t>
  </si>
  <si>
    <t>Posibilidad de beneficio propio o de un tercero por la entrega inadecuada de bienes y servicios a recicladores de oficio u organizaciones en el marco de acciones afirmativas, debido a falta de verificación del cumplimiento de los requisitos definidos, debilidades en el control, y falta de seguimiento en el proceso.</t>
  </si>
  <si>
    <t>Detrimento patrimonial
Deficiencias en la prestación de los servicios que garantiza la UAESP
Sanciones por parte de entes de control
Afectación a la imagen institucional.
Afectación a la imagen institucional.</t>
  </si>
  <si>
    <t>Personal idoneo y capacitado para la supervisión de la ejecución y control de las actividades</t>
  </si>
  <si>
    <t>Responsabilidad social para la atención a recicladores de oficio y organizaciones de recicladores como población vulnerable.</t>
  </si>
  <si>
    <t xml:space="preserve">Capacidad técnica para verificar el cumplimiento de las actividades de las organizaciones de recicladores de oficio </t>
  </si>
  <si>
    <t>El proceso cuenta con el personal para recopilar la información de los registros RURO y RUOR.</t>
  </si>
  <si>
    <t xml:space="preserve">Se cuenta con los procedimiento para el registro único de recicladores de oficio y el registro único de organizaciones de recicladores de oficio RURO y RUOR. </t>
  </si>
  <si>
    <t xml:space="preserve">Registro único de recicladores de oficio-RURO y registro único de organizaciones de recicladores-RUOR en el servidor de la Entidad. </t>
  </si>
  <si>
    <t>Posibilidad de perdida de la integridad, confidencialidad y disponibilidad de la información de bases de datos de la gestión del proceso, por uso inadecuado del usuario y falta de claridad en la administración, custodia y consulta.</t>
  </si>
  <si>
    <t>Afectación a la imagen institucional
Incumplimiento de los objetivos trazados por la Entidad. 
Reprocesos en el desarrollo de la operación asociada al proceso de GIRS</t>
  </si>
  <si>
    <t>OBJETIVO DEL PROCESO</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</si>
  <si>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</si>
  <si>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ECONOMICOS Y FINANCIEROS</t>
  </si>
  <si>
    <t>DISEÑO DEL PROCESO</t>
  </si>
  <si>
    <t xml:space="preserve">POLÍTICOS </t>
  </si>
  <si>
    <t>INTERACCIONES CON OTROS PROCESOS</t>
  </si>
  <si>
    <t>APLICACIONES</t>
  </si>
  <si>
    <t>TRANSVERSALIDAD</t>
  </si>
  <si>
    <t>HARDWARE</t>
  </si>
  <si>
    <t>TECNOLÓGICOS</t>
  </si>
  <si>
    <t xml:space="preserve">TECNOLOGÍA </t>
  </si>
  <si>
    <t>ESTRATÉGICOS</t>
  </si>
  <si>
    <t>COMUNICACIÓN ENTRE LOS PROCESOS</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</si>
  <si>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</si>
  <si>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</si>
  <si>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</si>
  <si>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</si>
  <si>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</si>
  <si>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</si>
  <si>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</si>
  <si>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</si>
  <si>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</si>
  <si>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</si>
  <si>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</si>
  <si>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</si>
  <si>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</si>
  <si>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</si>
  <si>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</si>
  <si>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</si>
  <si>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</si>
  <si>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</si>
  <si>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</si>
  <si>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</si>
  <si>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</si>
  <si>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</si>
  <si>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</si>
  <si>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</si>
  <si>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</si>
  <si>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</si>
  <si>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</si>
  <si>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</si>
  <si>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</si>
  <si>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</si>
  <si>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</si>
  <si>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</si>
  <si>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</si>
  <si>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</si>
  <si>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</si>
  <si>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</si>
  <si>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</si>
  <si>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</si>
  <si>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</si>
  <si>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</si>
  <si>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</si>
  <si>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</si>
  <si>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</si>
  <si>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</si>
  <si>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</si>
  <si>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</si>
  <si>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</si>
  <si>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</si>
  <si>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</si>
  <si>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</si>
  <si>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es adecuada?</t>
  </si>
  <si>
    <t>¿La fuente de información que se utiliza   confiable?</t>
  </si>
  <si>
    <t>¿Las observaciones, desviaciones o diferencias identificadas  investigadas y resueltas de manera oportuna?</t>
  </si>
  <si>
    <t>Implementación</t>
  </si>
  <si>
    <t>Calificación</t>
  </si>
  <si>
    <t>Documentación</t>
  </si>
  <si>
    <t>Frecuencia</t>
  </si>
  <si>
    <t>Inicia con la formulación de los modelos de la prestación del servicio de aseo en todos sus componentes, continua con la contratación y con la definición de los lineamientos e instrumentos de planeación que orientan el hacer en el manejo integral de residuos, luego da paso a la implementación de los instrumentos de planeación, verificación, seguimiento y medición y finaliza con la identificación de acciones de mejora para fortalecer la gestión del proceso.</t>
  </si>
  <si>
    <t>Posibilidad de investigaciones por incumplimiento en la prestación del servicio público de aseo en los componentes de recolección, barrido y limpieza y disposición final, por las debilidades en el desarrollo de las actividades de supervisión y control</t>
  </si>
  <si>
    <t>Económico y Reputacional</t>
  </si>
  <si>
    <t>incumplimiento en la prestación del servicio público de aseo en los componentes de recolección, barrido y limpieza y disposición fina</t>
  </si>
  <si>
    <t xml:space="preserve"> debilidades en el desarrollo de las actividades de supervisión y control.</t>
  </si>
  <si>
    <t>Usuarios, productos y practicas , organizacionales</t>
  </si>
  <si>
    <t xml:space="preserve">     El riesgo afecta la imagen de la entidad con efecto publicitario sostenido a nivel de sector administrativo, nivel departamental o municipal</t>
  </si>
  <si>
    <t>Seguimiento al  plan de supervisión y control</t>
  </si>
  <si>
    <t>Si</t>
  </si>
  <si>
    <t>Preventivo</t>
  </si>
  <si>
    <t>Manual</t>
  </si>
  <si>
    <t>Documentado</t>
  </si>
  <si>
    <t>Continua</t>
  </si>
  <si>
    <t>Con registro</t>
  </si>
  <si>
    <t>Reducir (mitigar)</t>
  </si>
  <si>
    <t>Realizar la socialización de la actualización del Procediminto de Supervisión y Control a las Subdirecciones de Recoelcción, Barrido y Limpieza y Disposición Final.</t>
  </si>
  <si>
    <t xml:space="preserve">Subdirector RBL y Disposición Final </t>
  </si>
  <si>
    <t>22/01/2023
06-02-2023
03/03/2023
06-03-2023
10/04/2023
13-04-2023</t>
  </si>
  <si>
    <r>
      <rPr>
        <b/>
        <sz val="11"/>
        <color rgb="FF000000"/>
        <rFont val="Arial Narrow"/>
        <family val="2"/>
      </rPr>
      <t>SDF 22-01-2023:</t>
    </r>
    <r>
      <rPr>
        <sz val="11"/>
        <color rgb="FF000000"/>
        <rFont val="Arial Narrow"/>
        <family val="2"/>
      </rPr>
      <t xml:space="preserve"> en el mes de enero por disponibilidad de agenda del subdirector no es posible hacer sociabilización
</t>
    </r>
    <r>
      <rPr>
        <b/>
        <sz val="11"/>
        <color rgb="FF000000"/>
        <rFont val="Arial Narrow"/>
        <family val="2"/>
      </rPr>
      <t xml:space="preserve">SRBL 06-02-2023 </t>
    </r>
    <r>
      <rPr>
        <sz val="11"/>
        <color rgb="FF000000"/>
        <rFont val="Arial Narrow"/>
        <family val="2"/>
      </rPr>
      <t xml:space="preserve">Se solicalizó  a través de correo electrónico la actualización del procedimiento de supervisión y control y los formatos asociados. Se adjunta copia del correo 
</t>
    </r>
    <r>
      <rPr>
        <b/>
        <sz val="11"/>
        <color rgb="FF000000"/>
        <rFont val="Arial Narrow"/>
        <family val="2"/>
      </rPr>
      <t xml:space="preserve">SRBL10/04/2023 </t>
    </r>
    <r>
      <rPr>
        <sz val="11"/>
        <color rgb="FF000000"/>
        <rFont val="Arial Narrow"/>
        <family val="2"/>
      </rPr>
      <t xml:space="preserve">Actividad cumplida en el mes anterior.
</t>
    </r>
    <r>
      <rPr>
        <b/>
        <sz val="11"/>
        <color rgb="FF000000"/>
        <rFont val="Arial Narrow"/>
        <family val="2"/>
      </rPr>
      <t>SDF 03-03-2023:</t>
    </r>
    <r>
      <rPr>
        <sz val="11"/>
        <color rgb="FF000000"/>
        <rFont val="Arial Narrow"/>
        <family val="2"/>
      </rPr>
      <t xml:space="preserve"> Se socialización Plan de supervision monitoreo y control con la SDF el 01-02-2023 y validacion de los lideres y Subdirector.
</t>
    </r>
    <r>
      <rPr>
        <b/>
        <sz val="11"/>
        <color rgb="FF000000"/>
        <rFont val="Arial Narrow"/>
        <family val="2"/>
      </rPr>
      <t xml:space="preserve">SRBL 06-03-2023 </t>
    </r>
    <r>
      <rPr>
        <sz val="11"/>
        <color rgb="FF000000"/>
        <rFont val="Arial Narrow"/>
        <family val="2"/>
      </rPr>
      <t xml:space="preserve">Se realiza seguimiento a la implementación del nuevo procedimiento y nuevos formatos. Se adjunta correos 
</t>
    </r>
    <r>
      <rPr>
        <b/>
        <sz val="11"/>
        <color rgb="FF000000"/>
        <rFont val="Arial Narrow"/>
        <family val="2"/>
      </rPr>
      <t xml:space="preserve">SDF13/04/2023: </t>
    </r>
    <r>
      <rPr>
        <sz val="11"/>
        <color rgb="FF000000"/>
        <rFont val="Arial Narrow"/>
        <family val="2"/>
      </rPr>
      <t>Actividad realizada en el mes de febrero</t>
    </r>
  </si>
  <si>
    <t>10/05/2023
10/05/2023
13/06/2023
14-07-2023
27/07/2023</t>
  </si>
  <si>
    <t>SDF 10-05-2023 Acividad cumplida en primer trimestre
SRBL 10-05-2023 Acividad cumplida en primer trimestre
SDF 13-06-2023 Acividad cumplida en primer trimestre
SRBL 13-06-2023 Acividad cumplida en primer trimestre
SDF 14-07-2023 Acividad cumplida en primer trimestre
SRBL 27-07-2023 Acividad cumplida en primer trimestre</t>
  </si>
  <si>
    <t>10/08/2023
08/09/2023
15/08/2013
11/10/2023</t>
  </si>
  <si>
    <t>SRBL 10/08/2023 Actividad cumplida en primer trimestre
SRBL 08/09/2023 Actividad cumplida en primer trimestre
SDF 15/08/2023 Actividad cumplida en primer trimestre
SDF 14/09/2023 Actividad cumplida en primer trimestre
SRBL 11/10/2023 Actividad cumplida en primer trimestre</t>
  </si>
  <si>
    <t>21/10/2023
10/11/2023
20/11/2023
11/12/2023
12/12/2023
10/01/2024</t>
  </si>
  <si>
    <r>
      <rPr>
        <b/>
        <sz val="11"/>
        <color rgb="FF000000"/>
        <rFont val="Arial Narrow"/>
      </rPr>
      <t xml:space="preserve">SDF 21-10-2023 </t>
    </r>
    <r>
      <rPr>
        <sz val="11"/>
        <color rgb="FF000000"/>
        <rFont val="Arial Narrow"/>
      </rPr>
      <t xml:space="preserve">Actividad cumplida en primer trimestre
SRBL-10-11-2023 Actividad cumplida en primer trimestre
SDF 20-11-2023 Actividad cumplida en primer trimestre
SRBL-11-12-2023 Actividad cumplida en primer trimestre
SDF 12-12-2023 Actividad cumplida en primer trimestre
SRBL-10-01-2024 Actividad cumplida en primer trimestre
SDF 11-01-2024 Actividad cumplida en primer trimestre DE 2023
</t>
    </r>
  </si>
  <si>
    <t>22/01/2023
03/03/2023
06/03/2023
10/04/2023
13-04-2023</t>
  </si>
  <si>
    <r>
      <rPr>
        <b/>
        <sz val="11"/>
        <color rgb="FF000000"/>
        <rFont val="Arial Narrow"/>
        <family val="2"/>
      </rPr>
      <t>SDF 22-01-2023:</t>
    </r>
    <r>
      <rPr>
        <sz val="11"/>
        <color rgb="FF000000"/>
        <rFont val="Arial Narrow"/>
        <family val="2"/>
      </rPr>
      <t xml:space="preserve"> para el mes de enero se realizo seguimiento al Plan de Supervión Monitore y Control
</t>
    </r>
    <r>
      <rPr>
        <b/>
        <sz val="11"/>
        <color rgb="FF000000"/>
        <rFont val="Arial Narrow"/>
        <family val="2"/>
      </rPr>
      <t>SRBL 06-02-2023</t>
    </r>
    <r>
      <rPr>
        <sz val="11"/>
        <color rgb="FF000000"/>
        <rFont val="Arial Narrow"/>
        <family val="2"/>
      </rPr>
      <t xml:space="preserve"> Se realizó seguimiento al plan de Supervisión y control del mes de enero. Se adjunta formato con seguimiento 
</t>
    </r>
    <r>
      <rPr>
        <b/>
        <sz val="11"/>
        <color rgb="FF000000"/>
        <rFont val="Arial Narrow"/>
        <family val="2"/>
      </rPr>
      <t>SDF 03-03-2023:</t>
    </r>
    <r>
      <rPr>
        <sz val="11"/>
        <color rgb="FF000000"/>
        <rFont val="Arial Narrow"/>
        <family val="2"/>
      </rPr>
      <t xml:space="preserve">  para el mes de febrero se realizo seguimiento al Plan de Supervión Monitore y Control
SRBL 06-03-2023 Se realizó seguimiento al plan de Supervisión y control del mes de febrero. Se adjunta formato con seguimiento
</t>
    </r>
    <r>
      <rPr>
        <b/>
        <sz val="11"/>
        <color rgb="FF000000"/>
        <rFont val="Arial Narrow"/>
        <family val="2"/>
      </rPr>
      <t>SRBL 10/04/2023</t>
    </r>
    <r>
      <rPr>
        <sz val="11"/>
        <color rgb="FF000000"/>
        <rFont val="Arial Narrow"/>
        <family val="2"/>
      </rPr>
      <t xml:space="preserve"> Se realizó seguimiento al plan de Supervisión y control del mes de marzo. Se adjunta formato con seguimiento
</t>
    </r>
    <r>
      <rPr>
        <b/>
        <sz val="11"/>
        <color rgb="FF000000"/>
        <rFont val="Arial Narrow"/>
        <family val="2"/>
      </rPr>
      <t xml:space="preserve">SDF13/04/2023 </t>
    </r>
    <r>
      <rPr>
        <sz val="11"/>
        <color rgb="FF000000"/>
        <rFont val="Arial Narrow"/>
        <family val="2"/>
      </rPr>
      <t>para el mes de marzo se realizo seguimiento al Plan de Supervión Monitore y Control</t>
    </r>
  </si>
  <si>
    <t>Subdirector Disposición Final
Subdirector de RBL
Subdirección de Aprovechamiento</t>
  </si>
  <si>
    <t xml:space="preserve">acta de reunión
SRBL plan de supervisión y control </t>
  </si>
  <si>
    <t>Efectivo</t>
  </si>
  <si>
    <t>10/05/2023
10/05/2023
13/06/2023
13/06/2023
14/07/2023
27/07/2023</t>
  </si>
  <si>
    <t>SDF 10-05-2023: Se realiza seguimiento al Plan de Supervisión Monitoreo y Control del mes de abril
SRBL 10-05-2023: Se realiza seguimiento al Plan de Supervisión Monitoreo y Control del mes de abril
SDF 13-06-2023: Se realiza seguimiento al Plan de Supervisión Monitoreo y Control del mes de mayo
SRBL 13-06-2023: Se realiza seguimiento al Plan de Supervisión Monitoreo y Control del mes de mayo
SDF 14-07-2023: Se realiza seguimiento al Plan de Supervisión Monitoreo y Control del mes de junio
SRBL 27-07-2023: Se realiza seguimiento al Plan de Supervisión Monitoreo y Control del mes de junio</t>
  </si>
  <si>
    <t>Subdirector Disposición Final
Subdirector de RBL</t>
  </si>
  <si>
    <t xml:space="preserve">SDF Plan de Supervision Monitoreo y Control
SRBL Plan de Supervision Monitoreo y Control </t>
  </si>
  <si>
    <t>10/08/2023
08/09/2023
15/08/2023
14-09-2023
11/10/2023</t>
  </si>
  <si>
    <t xml:space="preserve">SRBL 10/08/2023 Se realizó seguimiento al Plan de Supervisión, Monitoreo y control  del mes de Julio.
SRBL 08/09/2023 Se realizó seguimiento al Plan de Supervisión, Monitoreo y control  del mes de agosto.
SDF 15/08/2023 Se realizó seguimiento al Plan de Supervisión, Monitoreo y control  del mes de Julio.
SDF 14/09/2023 Se realizó seguimiento al Plan de Supervisión, Monitoreo y control  del mes de Agosto
SRBL 11/10/2023Se realizó seguimiento al Plan de Supervisión, Monitoreo y control  del mes de septiembre
</t>
  </si>
  <si>
    <t>Subdirector de RBL
Subdirector de SDF</t>
  </si>
  <si>
    <t xml:space="preserve">SRBL Plan de Supervisión, Monitoreo yControl
SDF: Plan de Supervisión, Monitoreo yControl  </t>
  </si>
  <si>
    <t>21/10/2023
10/11/2023
20/11/2023
11/12/2023
12/12/2023
10/01/2024
11/01/2024</t>
  </si>
  <si>
    <r>
      <rPr>
        <b/>
        <sz val="11"/>
        <color rgb="FF000000"/>
        <rFont val="Arial Narrow"/>
      </rPr>
      <t>SDF 21-10-2023</t>
    </r>
    <r>
      <rPr>
        <sz val="11"/>
        <color rgb="FF000000"/>
        <rFont val="Arial Narrow"/>
      </rPr>
      <t xml:space="preserve"> Se Realizó seguimiento al Plan de Supervisión, Monitoreo y control del mes de septiembre
SRBL-10-11-2023 Se Realizó seguimiento al Plan de Supervisión, Monitoreo y control del mes de octubre
SDF 20-11-2023 Se Realizó seguimiento al Plan de Supervisión, Monitoreo y control del mes de octubre
SRBL-11-12-2023 Se Realizó seguimiento al Plan de Supervisión, Monitoreo y control del mes de noviembre
SDF 12-12-2023 Se Realizó seguimiento al Plan de Supervisión, Monitoreo y control del mes de noviembre
SRBL-10-01-2024 Se Realizó seguimiento al Plan de Supervisión, Monitoreo y control del mes de diciembre
SDF 11-01-2024 Se Realizó seguimiento al Plan de Supervisión, Monitoreo y control del mes de diciembre
</t>
    </r>
  </si>
  <si>
    <t>Subdirector de Disposición Final
Subdirector RBL</t>
  </si>
  <si>
    <t>SRBL planes de supervisión, monitoreo y control</t>
  </si>
  <si>
    <t>Solicitar al servidor a cargo del proceso la ejecución de inmediata de las acciones a lugar</t>
  </si>
  <si>
    <t>26/04/2023
19/07/2023
17/10/2023</t>
  </si>
  <si>
    <t>19/05/2023 - OCL - RBL
22/05/2023 SDF
22/09/2023</t>
  </si>
  <si>
    <r>
      <t xml:space="preserve">19/05/2023 - OCL - RBL: Con base en la revisión de las siguientes evidencias: 
1. Plan de Supervision Monitoreo y Control SEGUIMIENTO, de los meses de enero, febrero, marzo y abril.
La OCI no puede validar el control, toda vez que en los siguientes campos la información suministrada no es clara:
- Responsables (Quién): no esta diligenciada y no se permite establecer la persona o personas que llevaron a cabo la actividad.
- Observaciones: El proceso no actualiza esta columna mes a mes y la información que contiene no es precisa, ya que donde deberían estar número colocan equis (X) como se observa en el siguiente ejemplo:
"MENSUAL. Se plantean XX verificaciones mensuales (X en campo y X en SIGAB)."
Finalmente, la OCI solo encontró el plan correspondiente a la Ase 01.
Nota: La OCI recomienda, diligenciar los campos de la matriz de manera que la información contenidad de fe de la ejecución del control.
</t>
    </r>
    <r>
      <rPr>
        <b/>
        <sz val="11"/>
        <color rgb="FF000000"/>
        <rFont val="Arial Narrow"/>
        <family val="2"/>
      </rPr>
      <t xml:space="preserve">JAG-SDF </t>
    </r>
    <r>
      <rPr>
        <sz val="11"/>
        <color rgb="FF000000"/>
        <rFont val="Arial Narrow"/>
        <family val="2"/>
      </rPr>
      <t xml:space="preserve">La Subdirección de dispocisión final realiza el seguimiento mensual al plan de supervisión y control, dando cumplimiento a la ejecución del control propuesto para evitar la materialización del riesgo
</t>
    </r>
    <r>
      <rPr>
        <b/>
        <sz val="11"/>
        <color rgb="FF000000"/>
        <rFont val="Arial Narrow"/>
        <family val="2"/>
      </rPr>
      <t>22/09/2023-OCL - SDF</t>
    </r>
    <r>
      <rPr>
        <sz val="11"/>
        <color rgb="FF000000"/>
        <rFont val="Arial Narrow"/>
        <family val="2"/>
      </rPr>
      <t>:  De acuerdo con la manifestación del proceso y la revisión de las siguientes evidencias correspondientes al mes de junio de 2023:
-  GIR-FM-08 V2 Plan de supervisión monitoreo y control SDF - Agosto 2023 Definitivo
-  GIR-FM-08 V2 Plan de supervisión monitoreo y control SDF - Julio 2023 Definitivo
La OCI, verificó la ejecución del control.</t>
    </r>
  </si>
  <si>
    <r>
      <t xml:space="preserve">19/05/2023 - OCL - RBL: De acuerdo con las evidencias suministradas por el proceso, la OCI, no puede puede verificar la efectividad del control.
</t>
    </r>
    <r>
      <rPr>
        <b/>
        <sz val="11"/>
        <color theme="1"/>
        <rFont val="Arial Narrow"/>
        <family val="2"/>
      </rPr>
      <t xml:space="preserve">JAG-SDF </t>
    </r>
    <r>
      <rPr>
        <sz val="11"/>
        <color theme="1"/>
        <rFont val="Arial Narrow"/>
        <family val="2"/>
      </rPr>
      <t xml:space="preserve">El control es efectivo y apoya la no materialización del riesgo por parte del proceso.
</t>
    </r>
    <r>
      <rPr>
        <b/>
        <sz val="11"/>
        <color theme="1"/>
        <rFont val="Arial Narrow"/>
        <family val="2"/>
      </rPr>
      <t xml:space="preserve">22/09/2023-OCL - SDF: </t>
    </r>
    <r>
      <rPr>
        <sz val="11"/>
        <color theme="1"/>
        <rFont val="Arial Narrow"/>
        <family val="2"/>
      </rPr>
      <t>Con base en la revisión de las evidencias y la manifestación del proceso, la OCI verificó que el control fue efectivo.</t>
    </r>
  </si>
  <si>
    <r>
      <t xml:space="preserve">19/05/2023 - OCL - RBL:  De acuedo con el seguimiento de la segunda línea de defensa y la revisión de la siguiente evidencia: Correo socializando actualizacion de documentos SIG.
La OCI, veridfica la ejecución de la acción.
</t>
    </r>
    <r>
      <rPr>
        <b/>
        <sz val="11"/>
        <color theme="1"/>
        <rFont val="Arial Narrow"/>
        <family val="2"/>
      </rPr>
      <t xml:space="preserve">JAG-SDF </t>
    </r>
    <r>
      <rPr>
        <sz val="11"/>
        <color theme="1"/>
        <rFont val="Arial Narrow"/>
        <family val="2"/>
      </rPr>
      <t xml:space="preserve">En el mes de febrero se realiza la acción y se verifica el cumplimiento con el acta de la reunión firmada por el Subdirector y el Gestor de la Subdirección. La actividad fue cumplida por el proceso.
</t>
    </r>
    <r>
      <rPr>
        <b/>
        <sz val="11"/>
        <color theme="1"/>
        <rFont val="Arial Narrow"/>
        <family val="2"/>
      </rPr>
      <t>22/09/2023-OCL - SDF:</t>
    </r>
    <r>
      <rPr>
        <sz val="11"/>
        <color theme="1"/>
        <rFont val="Arial Narrow"/>
        <family val="2"/>
      </rPr>
      <t xml:space="preserve">  De acuerdo con la manifestación del proceso y la revisión de las siguientes evidencias correspondientes al mes de junio de 2023:
-  Acta de reunión socialización procedimientos y aprobación de Plan de supervisión monitoreao y control 2023
La OCI, verificó el cumplimiento de la acción.</t>
    </r>
  </si>
  <si>
    <t xml:space="preserve">Informes de supervision y control </t>
  </si>
  <si>
    <t>Solicitar a la Subdirección de Asuntos Legales a través de Talento Humano una capacitación sobre supervisión a contratos de interventoría y concensión.</t>
  </si>
  <si>
    <t>22/01/2023
06/02/2023
03/03/2023
06-03-2023
13-04-2023</t>
  </si>
  <si>
    <r>
      <rPr>
        <b/>
        <sz val="11"/>
        <color rgb="FF000000"/>
        <rFont val="Arial Narrow"/>
        <family val="2"/>
      </rPr>
      <t>SDF 22-01-2023:</t>
    </r>
    <r>
      <rPr>
        <sz val="11"/>
        <color rgb="FF000000"/>
        <rFont val="Arial Narrow"/>
        <family val="2"/>
      </rPr>
      <t xml:space="preserve"> Esta pendiente el ingreso del personal para poder solicitar capacitación
</t>
    </r>
    <r>
      <rPr>
        <b/>
        <sz val="11"/>
        <color rgb="FF000000"/>
        <rFont val="Arial Narrow"/>
        <family val="2"/>
      </rPr>
      <t>SRBL 06-02-2023</t>
    </r>
    <r>
      <rPr>
        <sz val="11"/>
        <color rgb="FF000000"/>
        <rFont val="Arial Narrow"/>
        <family val="2"/>
      </rPr>
      <t xml:space="preserve">  Esta pendiente el ingreso del personal para poder solicitar capacitación
</t>
    </r>
    <r>
      <rPr>
        <b/>
        <sz val="11"/>
        <color rgb="FF000000"/>
        <rFont val="Arial Narrow"/>
        <family val="2"/>
      </rPr>
      <t>SDF 03-03-2023:</t>
    </r>
    <r>
      <rPr>
        <sz val="11"/>
        <color rgb="FF000000"/>
        <rFont val="Arial Narrow"/>
        <family val="2"/>
      </rPr>
      <t xml:space="preserve"> Se solicita a TH la capacitación sobre supervisión de contratos.
</t>
    </r>
    <r>
      <rPr>
        <b/>
        <sz val="11"/>
        <color rgb="FF000000"/>
        <rFont val="Arial Narrow"/>
        <family val="2"/>
      </rPr>
      <t xml:space="preserve">SRBL 06/03/2023 </t>
    </r>
    <r>
      <rPr>
        <sz val="11"/>
        <color rgb="FF000000"/>
        <rFont val="Arial Narrow"/>
        <family val="2"/>
      </rPr>
      <t xml:space="preserve">. Se solicitó al Area de talento humano, través de correo electrónico del 03-03-2023, coordinar la capacitación con la SAL. Se adjunta copia del correo.
</t>
    </r>
    <r>
      <rPr>
        <b/>
        <sz val="11"/>
        <color rgb="FF000000"/>
        <rFont val="Arial Narrow"/>
        <family val="2"/>
      </rPr>
      <t xml:space="preserve">SRBL 10/04/2023 </t>
    </r>
    <r>
      <rPr>
        <sz val="11"/>
        <color rgb="FF000000"/>
        <rFont val="Arial Narrow"/>
        <family val="2"/>
      </rPr>
      <t xml:space="preserve">A la fecha no se ha recibido respuesta del área de talento humano
</t>
    </r>
    <r>
      <rPr>
        <b/>
        <sz val="11"/>
        <color rgb="FF000000"/>
        <rFont val="Arial Narrow"/>
        <family val="2"/>
      </rPr>
      <t xml:space="preserve"> SDF 13-03-2023:</t>
    </r>
    <r>
      <rPr>
        <sz val="11"/>
        <color rgb="FF000000"/>
        <rFont val="Arial Narrow"/>
        <family val="2"/>
      </rPr>
      <t xml:space="preserve"> Se solicita a TH la capacitación sobre supervisión de contratos Ppor correo 03-03-2023 y 29-03-2023 aun no se tiene respuesta
</t>
    </r>
  </si>
  <si>
    <t>10/05/2023
10/05/2023
13/06/2023
14-07-2023
27/07/2023</t>
  </si>
  <si>
    <t xml:space="preserve">SDF 10-05-2023 Acividad cumplida el 27 04-2023 Se adjunta soporte 
SRBL 10-05-2023 Acividad cumplida el 27 04-2023 Se adjunta soporte 
SDF 13-06-2023 Acividad cumplida el 27 04-2023 Se adjunta soporte 
SRBL 13/06-2023 Acividad cumplida el 27 04-2023 Se adjunta soporte 
SDF 14-07-2023 Acividad cumplida el 27 04-2023 Se adjunta soporte
SRBL 27/07/2023 Acividad cumplida el 27 04-2023. 
</t>
  </si>
  <si>
    <t>10/08/2023
08/09/2023
15/08/2013
11/10/2023</t>
  </si>
  <si>
    <t>SRBL 10/08/2023 Actividad cumplida en primer trimestre
SRBL  08/09/2023 Actividad cumplida en primer trimestre
SDF 15/08/2023 Actividad cumplida en primer trimestre
SDF 14/09/2023 Actividad cumplida en primer trimestre
SRBL  11/10/2023 Actividad cumplida en primer trimestre</t>
  </si>
  <si>
    <t>21/10/2023
10-11-2023
20-11-2023
11/12/2023
12-12-2023
10/01/2024
11/01/2024</t>
  </si>
  <si>
    <t xml:space="preserve">SDF 21-10-2023 Actividad cumplida en primer trimestre
SRBL  10-11-2023 Actividad cumplida en primer trimestre
SDF 20-11-2023 Actividad cumplida en primer trimestre
SRBL  11-12-2023 Actividad cumplida en primer trimestre
SDF 12-12-2023 Actividad cumplida en primer trimestre
SRBL  10-01-2024 Actividad cumplida en primer trimestre
SDF 11-01-2024 Actividad cumplida en primer trimestre 2023
</t>
  </si>
  <si>
    <t>22/01/2023
03/03/2023</t>
  </si>
  <si>
    <r>
      <rPr>
        <b/>
        <sz val="11"/>
        <color rgb="FF000000"/>
        <rFont val="Arial Narrow"/>
        <family val="2"/>
      </rPr>
      <t>SDF 22-01-2023:</t>
    </r>
    <r>
      <rPr>
        <sz val="11"/>
        <color rgb="FF000000"/>
        <rFont val="Arial Narrow"/>
        <family val="2"/>
      </rPr>
      <t xml:space="preserve"> esta en proceso de revisión del informe del mes de diciembre 2022 entregado en enero 2023.
</t>
    </r>
    <r>
      <rPr>
        <b/>
        <sz val="11"/>
        <color rgb="FF000000"/>
        <rFont val="Arial Narrow"/>
        <family val="2"/>
      </rPr>
      <t xml:space="preserve">SRBL 06-02-2023 </t>
    </r>
    <r>
      <rPr>
        <sz val="11"/>
        <color rgb="FF000000"/>
        <rFont val="Arial Narrow"/>
        <family val="2"/>
      </rPr>
      <t xml:space="preserve">Se revisaron y aprobaron los informes de supervisión y control del mes de dciembre, entregados en enero de 2023. 
</t>
    </r>
    <r>
      <rPr>
        <b/>
        <sz val="11"/>
        <color rgb="FF000000"/>
        <rFont val="Arial Narrow"/>
        <family val="2"/>
      </rPr>
      <t>SDF 03-03-2023:</t>
    </r>
    <r>
      <rPr>
        <sz val="11"/>
        <color rgb="FF000000"/>
        <rFont val="Arial Narrow"/>
        <family val="2"/>
      </rPr>
      <t xml:space="preserve"> esta en proceso de revisión del informe del mes de enero, entregado en febrero 2023.
</t>
    </r>
    <r>
      <rPr>
        <b/>
        <sz val="11"/>
        <color rgb="FF000000"/>
        <rFont val="Arial Narrow"/>
        <family val="2"/>
      </rPr>
      <t>SRBL 06/03/2023</t>
    </r>
    <r>
      <rPr>
        <sz val="11"/>
        <color rgb="FF000000"/>
        <rFont val="Arial Narrow"/>
        <family val="2"/>
      </rPr>
      <t xml:space="preserve"> . Se revisaron y aprobaron los informes de supervisión y control del mes de enero, entregados en febrero de 2023
SRBL 10/04/2023 . Se revisaron y aprobaron los informes de supervisión y control del mes de febrero, entregados en marzo de 2023
</t>
    </r>
    <r>
      <rPr>
        <b/>
        <sz val="11"/>
        <color rgb="FF000000"/>
        <rFont val="Arial Narrow"/>
        <family val="2"/>
      </rPr>
      <t>SDF 13-04-2023:</t>
    </r>
    <r>
      <rPr>
        <sz val="11"/>
        <color rgb="FF000000"/>
        <rFont val="Arial Narrow"/>
        <family val="2"/>
      </rPr>
      <t xml:space="preserve"> esta en proceso de revisión de los informes del mes febrero, entregado en marzo 2023. Se publica el informe diciembre en la pagina
</t>
    </r>
  </si>
  <si>
    <t xml:space="preserve">Subdirector Disposición Final
Subdirector de RBL
</t>
  </si>
  <si>
    <t xml:space="preserve">correo solicitud
SRBL Informes de supervisión y control </t>
  </si>
  <si>
    <t>10/05/2023
10/05/2023
13-06-2023
13/06/2023
14-07-2023
27/07/2023</t>
  </si>
  <si>
    <t>SDF 10-05-2023: Se revisaron los informes de  Supervision y Control del mes de frebreo y marzo pendiente publicacion del mes de enero
SRBL10-05-2023: Se revisaron los informes de  Supervision y Control del mes  marzo.
SDF 13-06-2023: Se revisaro el informe de  Supervision y Control del mes de abril, se publica frebreo y marzo, pendiente revición de mayo que no ha llegado informe de interventoria.
SRBL13-06-2023: Se revisaron los informes de  Supervision y Control del mes  abril.
SDF 14-07-2023: Se revisaro el informe de  Supervision y Control del mes de mayo, pendiente publicación de abril, pendiente revición de junio que no ha llegado informe de interventoria.
SRBL 27/07/2023: Se revisaron los informes de  Supervision y Control del mes  mayo</t>
  </si>
  <si>
    <t>link depublicacion de informes
SRBL Informes de Superviisón y Control</t>
  </si>
  <si>
    <t>10/08/2023
08/09/2023
15/08/2023
11/10/2023</t>
  </si>
  <si>
    <t>SRBL 10/08/2023 Se revisaron los informes de supervisión y control de junio
SRBL 08/09/2023 Se revisaron los informes de supervisión y control de julio
SDF 15/08/2023 Se revisaro el informe de Supervisiòn y Control del mes de junio, se publica informe de abril, esta pendiente publicaciòn de mayo y junio que esta en revisiòn.
SDF 14/09/2023 Se reviso el informe de Supervisiòn y Control del mes de julio, se publica informe de mayo y junio.
SRBL 11/10/2023 Se revisaron los informes de supervisión y control de agosto</t>
  </si>
  <si>
    <t>Subdirector de Disposiciòn Final
Subdirector de RBL</t>
  </si>
  <si>
    <t>SDF: Informes de Supervisiòn y Control
SRBL: Informes de Supervisiòn y Control</t>
  </si>
  <si>
    <r>
      <rPr>
        <b/>
        <sz val="11"/>
        <color rgb="FF000000"/>
        <rFont val="Arial Narrow"/>
      </rPr>
      <t xml:space="preserve">SDF 21-10-2023 </t>
    </r>
    <r>
      <rPr>
        <sz val="11"/>
        <color rgb="FF000000"/>
        <rFont val="Arial Narrow"/>
      </rPr>
      <t xml:space="preserve">Se Realizó revisión del informe de supervisión y control de agosto y la publicación del informe de Julio
SRBL  10-11-2023 Se revisaron los informes de supervisión, monitoreo y control de septiembre 
SDF 20-11-2023 Se Realizó revisión del informe de supervisión y control de septiembre y la publicación del informe de agosto
SRBL  11-12-2023 Se revisaron los informes de supervisión, monitoreo y control de octubre 
SDF 12-12-2023 Se Realizó revisión del informe de supervisión y control de octubre esta pendiente paar firma y  publicación 
SRBL  10-01-2024 Se revisaron los informes de supervisión, monitoreo y control de noviembre
SDF 11-01-2024 Se Realizó revisión del informe de supervisión y control de noviembre se firma y sube informe de octubre  pendiente para firma y  publicación el mes de noviembre </t>
    </r>
  </si>
  <si>
    <t>SDF: Informes de Supervisión y control
SRBL Informes de Supervisión, monitoreo y control</t>
  </si>
  <si>
    <t>19/05/2023 - OCL - RBL
22/05/2023 - JAG-SDF
22/05/2023 SDF - RBL</t>
  </si>
  <si>
    <r>
      <rPr>
        <sz val="11"/>
        <color rgb="FF000000"/>
        <rFont val="Arial Narrow"/>
      </rPr>
      <t xml:space="preserve">19/05/2023 - OCL - RBL: De acuerdo con la revisión de las siguientes evidencias:
- Diciembre: Informes de supervisión y control, Ase 1,2,3,4 y 5
- Enero: Informes de supervisión y control, Ase 1,2,3,4 y 5
- Febrero: Informes de supervisión y control, Ase 1,2,3,4 y 5 e Informes de supervisión comercial y financiero.
- Marzo: Informes de supervisión y control, Ase 1,2,3 (faltan 4 y 5) e Informe mensual de supervisión, monitoreo marzo 2023.
La OCI, verifica el cumplimiento parcial del control, ya que para el mes de marzo faltan los informes de las Ase 4 y 5.
Nota: La OCI, recomienda allegar las evidencias de acuerdo con la oportunidad establecida.
</t>
    </r>
    <r>
      <rPr>
        <b/>
        <sz val="11"/>
        <color rgb="FF000000"/>
        <rFont val="Arial Narrow"/>
      </rPr>
      <t xml:space="preserve">JAG-SDF </t>
    </r>
    <r>
      <rPr>
        <sz val="11"/>
        <color rgb="FF000000"/>
        <rFont val="Arial Narrow"/>
      </rPr>
      <t xml:space="preserve">El control se ha aplicado de manera parcial, a la fecha de seguimiento se ha publicado el informe de supervisión y control del período de enero y aunque el proceso reporta a abril, los otros 3 informes no se pueden verificar, ni en su elaboración ni en su revisión.
</t>
    </r>
    <r>
      <rPr>
        <b/>
        <sz val="11"/>
        <color rgb="FF000000"/>
        <rFont val="Arial Narrow"/>
      </rPr>
      <t xml:space="preserve">22/09/2023-OCL - SDF: </t>
    </r>
    <r>
      <rPr>
        <sz val="11"/>
        <color rgb="FF000000"/>
        <rFont val="Arial Narrow"/>
      </rPr>
      <t xml:space="preserve"> De acuerdo con la manifestación del proceso y la revisión de las siguientes evidencias correspondientes al mes de junio de 2023:
-  GIR-FM-08 V2 Plan de supervisión monitoreo y control SDF - Agosto 2023 Definitivo
-  GIR-FM-08 V2 Plan de supervisión monitoreo y control SDF - Julio 2023 Definitivo
La OCI, verificó la ejecución del control.
</t>
    </r>
    <r>
      <rPr>
        <b/>
        <sz val="11"/>
        <color rgb="FF000000"/>
        <rFont val="Arial Narrow"/>
      </rPr>
      <t>22/09/2023-OCL - RBL:</t>
    </r>
    <r>
      <rPr>
        <sz val="11"/>
        <color rgb="FF000000"/>
        <rFont val="Arial Narrow"/>
      </rPr>
      <t xml:space="preserve">  De acuerdo con la manifestación del proceso y la revisión de las siguientes evidencias correspondientes al mes de junio de 2023:
Julio:
Plan de Supervision Monitoreo y Control ASE  3 -JULIO  2023, Plan de Supervision Monitoreo y Control ASE  4 -JULIO 2023, Plan de Supervision, Monitoreo y Control ASE 1 JULIO 2023, Plan de supervisión, monitoreo y control ASE 2 JULIO  2023 y Plan de Supervision, Monitoreo y Control ASE 5  JULIO 2023
Agosto:
-  Copia de Plan de Supervision, Monitoreo y Control ASE 5  AGOSTO 2023, Plan de Supervision Monitoreo y Control ASE  3 -AGOSTO  2023, Plan de Supervision Monitoreo y Control ASE  4 -AGOSTO 2023, Plan de Supervision, Monitoreo y Control ASE 1 AGOSTO 2023 y Plan de supervisión, monitoreo y control ASE 2 AGOSTO  2023.
La OCI, verificó la ejecución del control.</t>
    </r>
  </si>
  <si>
    <r>
      <t xml:space="preserve">19/05/2023 - OCL - RBL: De acuerdo con las evidencias suministradas por el proceso, la OCI, verifica el cumplimiento parcial del control.
</t>
    </r>
    <r>
      <rPr>
        <b/>
        <sz val="11"/>
        <color theme="1"/>
        <rFont val="Arial Narrow"/>
        <family val="2"/>
      </rPr>
      <t xml:space="preserve">JAG-SDF </t>
    </r>
    <r>
      <rPr>
        <sz val="11"/>
        <color theme="1"/>
        <rFont val="Arial Narrow"/>
        <family val="2"/>
      </rPr>
      <t xml:space="preserve">De acuerdo con las evidencias suministradas por el proceso y los informes publicados, se verifica el cumplimiento parcial del control.
</t>
    </r>
    <r>
      <rPr>
        <b/>
        <sz val="11"/>
        <color theme="1"/>
        <rFont val="Arial Narrow"/>
        <family val="2"/>
      </rPr>
      <t>22/09/2023-OCL - SDF:</t>
    </r>
    <r>
      <rPr>
        <sz val="11"/>
        <color theme="1"/>
        <rFont val="Arial Narrow"/>
        <family val="2"/>
      </rPr>
      <t xml:space="preserve"> Con base en la revisión de las evidencias y la manifestación del proceso, la OCI verificó que el control fue efectivo.
</t>
    </r>
    <r>
      <rPr>
        <b/>
        <sz val="11"/>
        <color theme="1"/>
        <rFont val="Arial Narrow"/>
        <family val="2"/>
      </rPr>
      <t>22/09/2023-OCL - RBL:</t>
    </r>
    <r>
      <rPr>
        <sz val="11"/>
        <color theme="1"/>
        <rFont val="Arial Narrow"/>
        <family val="2"/>
      </rPr>
      <t xml:space="preserve"> Con base en la revisión de las evidencias y la manifestación del proceso, la OCI verificó que el control fue efectivo.</t>
    </r>
  </si>
  <si>
    <r>
      <t xml:space="preserve">19/05/2023 - OCL - RBL:  De acuedo con el seguimiento de la segunda línea de defensa y la revisión de las siguientes evidencias: 
- Correo_ solicitando a talento humano capacitación. 03032023, correo respuesta talento humano sobre capacitación 29032023 y Abril_27 supervisión de contratos (1)
La OCI, veridfica la ejecución de la acción.
</t>
    </r>
    <r>
      <rPr>
        <b/>
        <sz val="11"/>
        <color theme="1"/>
        <rFont val="Arial Narrow"/>
        <family val="2"/>
      </rPr>
      <t>JAG-SDF:</t>
    </r>
    <r>
      <rPr>
        <sz val="11"/>
        <color theme="1"/>
        <rFont val="Arial Narrow"/>
        <family val="2"/>
      </rPr>
      <t xml:space="preserve"> Se cumplió con la actividad propuesta de realizar la capacitación sobre supervisión a contratos.
</t>
    </r>
    <r>
      <rPr>
        <b/>
        <sz val="11"/>
        <color theme="1"/>
        <rFont val="Arial Narrow"/>
        <family val="2"/>
      </rPr>
      <t xml:space="preserve">22/09/2023-OCL - SDF: </t>
    </r>
    <r>
      <rPr>
        <sz val="11"/>
        <color theme="1"/>
        <rFont val="Arial Narrow"/>
        <family val="2"/>
      </rPr>
      <t xml:space="preserve"> Actividad cumplida en primer trimestre: evidencia: Capacitación Abril_27 supervisión de contratos
</t>
    </r>
    <r>
      <rPr>
        <b/>
        <sz val="11"/>
        <color theme="1"/>
        <rFont val="Arial Narrow"/>
        <family val="2"/>
      </rPr>
      <t xml:space="preserve">22/09/2023-OCL - RBL: </t>
    </r>
    <r>
      <rPr>
        <sz val="11"/>
        <color theme="1"/>
        <rFont val="Arial Narrow"/>
        <family val="2"/>
      </rPr>
      <t xml:space="preserve"> Actividad cumplida en primer trimestre</t>
    </r>
  </si>
  <si>
    <t xml:space="preserve">Presentar ante el comité primario los resultados del seguimiento del plan de supervisión y control y las posibles acciones a tomar para atender desviaciones identificadas </t>
  </si>
  <si>
    <t>Detectivo</t>
  </si>
  <si>
    <t>22/01/2023
06/02/2023
03/03/2023
06/03/2023
10/04/2023</t>
  </si>
  <si>
    <r>
      <rPr>
        <b/>
        <sz val="11"/>
        <color rgb="FF000000"/>
        <rFont val="Arial Narrow"/>
        <family val="2"/>
      </rPr>
      <t>SDF 22-01-2023:</t>
    </r>
    <r>
      <rPr>
        <sz val="11"/>
        <color rgb="FF000000"/>
        <rFont val="Arial Narrow"/>
        <family val="2"/>
      </rPr>
      <t xml:space="preserve"> En el mes de enero no se programo comite primario.
</t>
    </r>
    <r>
      <rPr>
        <b/>
        <sz val="11"/>
        <color rgb="FF000000"/>
        <rFont val="Arial Narrow"/>
        <family val="2"/>
      </rPr>
      <t>SRBL 06/02/2023</t>
    </r>
    <r>
      <rPr>
        <sz val="11"/>
        <color rgb="FF000000"/>
        <rFont val="Arial Narrow"/>
        <family val="2"/>
      </rPr>
      <t xml:space="preserve">  En el mes de enero no se programó comité primario.
</t>
    </r>
    <r>
      <rPr>
        <b/>
        <sz val="11"/>
        <color rgb="FF000000"/>
        <rFont val="Arial Narrow"/>
        <family val="2"/>
      </rPr>
      <t>SDF 03-03-2023:</t>
    </r>
    <r>
      <rPr>
        <sz val="11"/>
        <color rgb="FF000000"/>
        <rFont val="Arial Narrow"/>
        <family val="2"/>
      </rPr>
      <t xml:space="preserve"> En el mes de enero no se programo comite primario.
</t>
    </r>
    <r>
      <rPr>
        <b/>
        <sz val="11"/>
        <color rgb="FF000000"/>
        <rFont val="Arial Narrow"/>
        <family val="2"/>
      </rPr>
      <t>SRBL 06/03/2023</t>
    </r>
    <r>
      <rPr>
        <sz val="11"/>
        <color rgb="FF000000"/>
        <rFont val="Arial Narrow"/>
        <family val="2"/>
      </rPr>
      <t xml:space="preserve">  En el mes de febrero no se programó comité primario.
</t>
    </r>
    <r>
      <rPr>
        <b/>
        <sz val="11"/>
        <color rgb="FF000000"/>
        <rFont val="Arial Narrow"/>
        <family val="2"/>
      </rPr>
      <t>SRBL 10/04/2023</t>
    </r>
    <r>
      <rPr>
        <sz val="11"/>
        <color rgb="FF000000"/>
        <rFont val="Arial Narrow"/>
        <family val="2"/>
      </rPr>
      <t xml:space="preserve">  El 17  de marzo   se realizó  comité primario. se adjunta acta 
</t>
    </r>
    <r>
      <rPr>
        <b/>
        <sz val="11"/>
        <color rgb="FF000000"/>
        <rFont val="Arial Narrow"/>
        <family val="2"/>
      </rPr>
      <t xml:space="preserve">SDF 13-04-2023: </t>
    </r>
    <r>
      <rPr>
        <sz val="11"/>
        <color rgb="FF000000"/>
        <rFont val="Arial Narrow"/>
        <family val="2"/>
      </rPr>
      <t>En el mes de marzo se realizo comite de los meses de enero y febrero pendiente acta se adjunta presentaciones</t>
    </r>
  </si>
  <si>
    <r>
      <rPr>
        <b/>
        <sz val="11"/>
        <color rgb="FF000000"/>
        <rFont val="Arial Narrow"/>
        <family val="2"/>
      </rPr>
      <t>SDF 22-01-2023:</t>
    </r>
    <r>
      <rPr>
        <sz val="11"/>
        <color rgb="FF000000"/>
        <rFont val="Arial Narrow"/>
        <family val="2"/>
      </rPr>
      <t xml:space="preserve"> En el mes de enero no se programo comite primario.
</t>
    </r>
    <r>
      <rPr>
        <b/>
        <sz val="11"/>
        <color rgb="FF000000"/>
        <rFont val="Arial Narrow"/>
        <family val="2"/>
      </rPr>
      <t>SRBL 06/02/2023</t>
    </r>
    <r>
      <rPr>
        <sz val="11"/>
        <color rgb="FF000000"/>
        <rFont val="Arial Narrow"/>
        <family val="2"/>
      </rPr>
      <t xml:space="preserve">  En el mes de enero no se programó comité primario
</t>
    </r>
    <r>
      <rPr>
        <b/>
        <sz val="11"/>
        <color rgb="FF000000"/>
        <rFont val="Arial Narrow"/>
        <family val="2"/>
      </rPr>
      <t>SDF 03-03-2023:</t>
    </r>
    <r>
      <rPr>
        <sz val="11"/>
        <color rgb="FF000000"/>
        <rFont val="Arial Narrow"/>
        <family val="2"/>
      </rPr>
      <t xml:space="preserve"> En el mes de febrero no se programo comite primario.
</t>
    </r>
    <r>
      <rPr>
        <b/>
        <sz val="11"/>
        <color rgb="FF000000"/>
        <rFont val="Arial Narrow"/>
        <family val="2"/>
      </rPr>
      <t xml:space="preserve">SRBL 10/04/2023 </t>
    </r>
    <r>
      <rPr>
        <sz val="11"/>
        <color rgb="FF000000"/>
        <rFont val="Arial Narrow"/>
        <family val="2"/>
      </rPr>
      <t xml:space="preserve"> El 17  de marzo   se realizó  comité primario.  No se encontraron desviaciones en el cumplimiento del plan de supervisión y control. se adjunta acta
</t>
    </r>
    <r>
      <rPr>
        <b/>
        <sz val="11"/>
        <color rgb="FF000000"/>
        <rFont val="Arial Narrow"/>
        <family val="2"/>
      </rPr>
      <t>SDF 13-04-2023: En</t>
    </r>
    <r>
      <rPr>
        <sz val="11"/>
        <color rgb="FF000000"/>
        <rFont val="Arial Narrow"/>
        <family val="2"/>
      </rPr>
      <t xml:space="preserve"> el mes de marzo se realizo comite de los meses de enero y febrero se presenta cumplimiento de acuerdo a lo programado.
</t>
    </r>
  </si>
  <si>
    <t>SRBL 10/04/2023 Acta de comité primario
SDF pendiente acta se adjunta presentaciones</t>
  </si>
  <si>
    <t>10/05/2023
10/05/2023
13-06-2023
13/06/2023
14/07/2023
27/07/2023</t>
  </si>
  <si>
    <t>SDF 10-05-2023: para el mes de abril no se programo comite primario
SRBL 10-05-2023: para el mes de abril no se programó comité primario
SDF 10-06-2023: Se realizo comite primario de marzo - abril en el mes de mayo. 
SRBL 13-06-2023: para el mes de mayo  no se programó comité primario
SDF 14-07-2023: para el mes de junio no se programo comite primario pendiente para mes de julio
SRBL 27/07/2023: Se realizó Comité primario el 27 de junio. Se adjunta acta.</t>
  </si>
  <si>
    <t>Pendiente Comite primario
SRBL acta de comité primario</t>
  </si>
  <si>
    <t>10/08/2023
15/08/2023
14/09/2023
11/10/2023</t>
  </si>
  <si>
    <t xml:space="preserve">SRBL 10/08/20 Para el mes de julio no se programó comité primario
SRBL 08/09/20 Para el mes de agosto no se programó comité primario
SDF15/08/2023 Para el mes de julio se realizò comite primario y presento estado del Plan de Supervisiòn y Control
SDF14/09/2023 Para el mes de agosto no se realizò comite primario se adjunta  Plan de Supervisiòn y Control de agosto.
SRBL 11/10/2023 El 28 de Septiembre se realizó el comité Primario. el acta se encuentra en elaboración, uan vez terminada y firmada se subirá la evidencia 
</t>
  </si>
  <si>
    <t>SRBL Acta de Comtté Primario
SDF Acta de Comite Primario</t>
  </si>
  <si>
    <r>
      <rPr>
        <b/>
        <sz val="11"/>
        <color rgb="FF000000"/>
        <rFont val="Arial Narrow"/>
      </rPr>
      <t xml:space="preserve">SDF 21/10/2023: </t>
    </r>
    <r>
      <rPr>
        <sz val="11"/>
        <color rgb="FF000000"/>
        <rFont val="Arial Narrow"/>
      </rPr>
      <t xml:space="preserve">El 19 de septiembre se realizó el comite primario,  aun no se tiene el acta se adjunta el plan de supervisión y control del mes de septiembre
SRBL 10/11/2023: En octubre no se realizó el comite primario, se tiene programado para diciembre. 
SDF 20/11/2023: para el mes de octubre no se realizo comite primario, se adjunta el plan de supervisión y control del mes de octubre
SRBL 11/12/2023: En noviembre no se realizó el comite primario, se tiene programado para diciembre. 
SDF 12/12/2023: para el mes de noviembre no se realizo comite primario, se adjunta el plan de supervisión y control del mes de noviembre
SRBL 10/01/2024: En diciembre  se realizó el comite primario, en  donde se realizó el seguimiento a los planes de supervisión y control.
SDF 11/01/2024: para el mes de diciembre se realizo comite primario, se adjunta el plan de supervisión y control del mes de diciembre y presentaciòn del Plan de supervisiòn e indicadores del comite, pndiente acta
</t>
    </r>
  </si>
  <si>
    <t>Acta de comité primario</t>
  </si>
  <si>
    <t>19/05/2023 - OCL - RBL
22/05/2023 SDF</t>
  </si>
  <si>
    <r>
      <t xml:space="preserve">19/05/2023 - OCL - RBL: De acuerdo con lo manifestado por la primera línea, el seguimiento de la segunda línea y con base en la revisión de la siguiente evidencia:
- acta comité primario  SRBL primer trimestre 2023 (2), en su numeral 4.1.2. SEGUIMIENTO PLAN DE SUPERVISIÓN, MONITOREO Y CONTROL – ENERO Y FEBRERO.
Nota: La OCI, recomienda cargar las actas firmadas.
</t>
    </r>
    <r>
      <rPr>
        <b/>
        <sz val="11"/>
        <color theme="1"/>
        <rFont val="Arial Narrow"/>
        <family val="2"/>
      </rPr>
      <t xml:space="preserve">JAG-SDF </t>
    </r>
    <r>
      <rPr>
        <sz val="11"/>
        <color theme="1"/>
        <rFont val="Arial Narrow"/>
        <family val="2"/>
      </rPr>
      <t xml:space="preserve">El control se ha aplicado para los meses de enero y febrero, para los otros dos meses no se ha realizado.
</t>
    </r>
    <r>
      <rPr>
        <b/>
        <sz val="11"/>
        <color theme="1"/>
        <rFont val="Arial Narrow"/>
        <family val="2"/>
      </rPr>
      <t xml:space="preserve">22/09/2023-OCL - SDF: </t>
    </r>
    <r>
      <rPr>
        <sz val="11"/>
        <color theme="1"/>
        <rFont val="Arial Narrow"/>
        <family val="2"/>
      </rPr>
      <t xml:space="preserve"> De acuerdo con la manifestación del proceso y la revisión de las evidencias correspondientes La OCI, verificó la ejecución del control.
</t>
    </r>
    <r>
      <rPr>
        <b/>
        <sz val="11"/>
        <color theme="1"/>
        <rFont val="Arial Narrow"/>
        <family val="2"/>
      </rPr>
      <t>22/09/2023-OCL - RBL</t>
    </r>
    <r>
      <rPr>
        <sz val="11"/>
        <color theme="1"/>
        <rFont val="Arial Narrow"/>
        <family val="2"/>
      </rPr>
      <t>:  Con corte a la fecha de revisión el proceso no realizó el cargue de las evidencias por lo que la OCI no pudo verificar el cumplimiento de la ejecución del control.
Nota: La OCI, recomienda al proceso cargar las evidencias de acuerdo con los criterios de oportunidad y calidad esperados.</t>
    </r>
  </si>
  <si>
    <r>
      <t xml:space="preserve">19/05/2023 - OCL - RBL: De acuerdo con las evidencias suministradas por el proceso, la OCI, verifica el cumplimiento del control.
</t>
    </r>
    <r>
      <rPr>
        <b/>
        <sz val="11"/>
        <color theme="1"/>
        <rFont val="Arial Narrow"/>
        <family val="2"/>
      </rPr>
      <t>JAG-SDF</t>
    </r>
    <r>
      <rPr>
        <sz val="11"/>
        <color theme="1"/>
        <rFont val="Arial Narrow"/>
        <family val="2"/>
      </rPr>
      <t xml:space="preserve"> De acuerdo con el reporte y la evidencia, se identifica que el control es efectivo
</t>
    </r>
    <r>
      <rPr>
        <b/>
        <sz val="11"/>
        <color theme="1"/>
        <rFont val="Arial Narrow"/>
        <family val="2"/>
      </rPr>
      <t>22/09/2023-OCL - SDF</t>
    </r>
    <r>
      <rPr>
        <sz val="11"/>
        <color theme="1"/>
        <rFont val="Arial Narrow"/>
        <family val="2"/>
      </rPr>
      <t xml:space="preserve">: Con base en la revisión de las evidencias y la manifestación del proceso, la OCI verificó que el control fue efectivo.
</t>
    </r>
    <r>
      <rPr>
        <b/>
        <sz val="11"/>
        <color theme="1"/>
        <rFont val="Arial Narrow"/>
        <family val="2"/>
      </rPr>
      <t>22/09/2023-OCL - RBL:</t>
    </r>
    <r>
      <rPr>
        <sz val="11"/>
        <color theme="1"/>
        <rFont val="Arial Narrow"/>
        <family val="2"/>
      </rPr>
      <t xml:space="preserve"> El proceso no aporta evidencias por tal razón no la OCI no verificó la efectividad del control.</t>
    </r>
  </si>
  <si>
    <r>
      <t xml:space="preserve">19/05/2023 - OCL - RBL: N/A
JAG-SDF N/A
</t>
    </r>
    <r>
      <rPr>
        <b/>
        <sz val="11"/>
        <color theme="1"/>
        <rFont val="Arial Narrow"/>
        <family val="2"/>
      </rPr>
      <t>22/09/2023 - OCL: SDF/RBL: N/A</t>
    </r>
  </si>
  <si>
    <t>Administrar la prestación efectiva de los servicios orientados a la gestión integral de los residuos sólidos, generando acciones de planeación, coordinación, control y supervisión en función del desarrollo y ejecución de las políticas, planes, programas y</t>
  </si>
  <si>
    <t>Inicia en la planeación de la Gestión Integral de Residuos y finaliza en la supervisión y / o control de la gestión Integral de residuos</t>
  </si>
  <si>
    <t>Posibilidad de investigaciones  por incumplimiento del Plan de Gestión Integral de Residuos Sólidos, debido a la inoportunidad en el seguimiento al plan</t>
  </si>
  <si>
    <t>Incumplimiento del Plan de Gestión Integral de Residuos Sólidos</t>
  </si>
  <si>
    <t>Inoportunidad en el seguimiento al plan.</t>
  </si>
  <si>
    <t>Ejecucion y Administracion de procesos</t>
  </si>
  <si>
    <t xml:space="preserve">     El riesgo afecta la imagen de la entidad con algunos usuarios de relevancia frente al logro de los objetivos</t>
  </si>
  <si>
    <t>Seguimiento Plan de Gestión Integral de Residuos Solidos PGIRS</t>
  </si>
  <si>
    <t>Realizar seguimiento del PGIRS en el Comité Primario</t>
  </si>
  <si>
    <t xml:space="preserve">Subdirector RBL, Aprovechamiento y Disposición Final </t>
  </si>
  <si>
    <t xml:space="preserve">22/01/2023
03/03/2023
10/04/2023
13-04-2023
</t>
  </si>
  <si>
    <r>
      <rPr>
        <b/>
        <sz val="11"/>
        <color rgb="FF000000"/>
        <rFont val="Arial Narrow"/>
        <family val="2"/>
      </rPr>
      <t>SDF 22-01-2023:</t>
    </r>
    <r>
      <rPr>
        <sz val="11"/>
        <color rgb="FF000000"/>
        <rFont val="Arial Narrow"/>
        <family val="2"/>
      </rPr>
      <t xml:space="preserve"> En el mes de enero no se programo comite primario. Pendiente envio de Informe de PGIRS
</t>
    </r>
    <r>
      <rPr>
        <b/>
        <sz val="11"/>
        <color rgb="FF000000"/>
        <rFont val="Arial Narrow"/>
        <family val="2"/>
      </rPr>
      <t>SRBL 06/02/2023</t>
    </r>
    <r>
      <rPr>
        <sz val="11"/>
        <color rgb="FF000000"/>
        <rFont val="Arial Narrow"/>
        <family val="2"/>
      </rPr>
      <t xml:space="preserve">  En el mes de enero no se programó comité primario.
</t>
    </r>
    <r>
      <rPr>
        <b/>
        <sz val="11"/>
        <color rgb="FF000000"/>
        <rFont val="Arial Narrow"/>
        <family val="2"/>
      </rPr>
      <t>SDF 03-03-2023:</t>
    </r>
    <r>
      <rPr>
        <sz val="11"/>
        <color rgb="FF000000"/>
        <rFont val="Arial Narrow"/>
        <family val="2"/>
      </rPr>
      <t xml:space="preserve"> En el mes de enero no se programo comite primario. Pendiente envio de Informe de PGIRS
SRBL 06/03/2023  En el mes de febrero no se programó comité primario.
</t>
    </r>
    <r>
      <rPr>
        <sz val="11"/>
        <color rgb="FF0070C0"/>
        <rFont val="Arial Narrow"/>
        <family val="2"/>
      </rPr>
      <t>.</t>
    </r>
    <r>
      <rPr>
        <b/>
        <sz val="11"/>
        <color rgb="FF0070C0"/>
        <rFont val="Arial Narrow"/>
        <family val="2"/>
      </rPr>
      <t>SAPROV 07/03/2023</t>
    </r>
    <r>
      <rPr>
        <sz val="11"/>
        <color rgb="FF0070C0"/>
        <rFont val="Arial Narrow"/>
        <family val="2"/>
      </rPr>
      <t xml:space="preserve">: el comite primario se realiza de forma trimestral. para el 1er trimestre el comite se realizara en el 28 de marzo.
</t>
    </r>
    <r>
      <rPr>
        <b/>
        <sz val="11"/>
        <color rgb="FF000000"/>
        <rFont val="Arial Narrow"/>
        <family val="2"/>
      </rPr>
      <t>SDF 13-04-2023:</t>
    </r>
    <r>
      <rPr>
        <sz val="11"/>
        <color rgb="FF000000"/>
        <rFont val="Arial Narrow"/>
        <family val="2"/>
      </rPr>
      <t xml:space="preserve"> En el mes de marzo se realizo comite de los meses de enero y febrero pendiente acta se adjunta matriz
SRBL 10/04/2023 EL 17 de marzo se programó comité primario y se  realizó seguimiento al avance de PGIRS. se adjunta acta
</t>
    </r>
    <r>
      <rPr>
        <sz val="11"/>
        <color rgb="FF0070C0"/>
        <rFont val="Arial Narrow"/>
        <family val="2"/>
      </rPr>
      <t xml:space="preserve">SAPROV 10/04/2023: el comite primario se realizó el 28 de marzo. (se anexa presentación  y lista de asistencia, Acta de reunión en elaboración)
</t>
    </r>
  </si>
  <si>
    <r>
      <rPr>
        <sz val="11"/>
        <color rgb="FF000000"/>
        <rFont val="Arial Narrow"/>
        <family val="2"/>
      </rPr>
      <t xml:space="preserve">10/05/2023
10/05/2023
</t>
    </r>
    <r>
      <rPr>
        <sz val="11"/>
        <color rgb="FF4F81BD"/>
        <rFont val="Arial Narrow"/>
        <family val="2"/>
      </rPr>
      <t>10/05/2023
13/06/2023
13/06/2023
14-07-2023
27/07/2023</t>
    </r>
  </si>
  <si>
    <r>
      <rPr>
        <sz val="11"/>
        <color rgb="FF000000"/>
        <rFont val="Arial Narrow"/>
        <family val="2"/>
      </rPr>
      <t xml:space="preserve">SDF 10-05-2023: en el mes de abril no se programo comite primario
SRBL10-05-2023: en el mes de abril no se programó comité primario
</t>
    </r>
    <r>
      <rPr>
        <b/>
        <sz val="11"/>
        <color rgb="FF4F81BD"/>
        <rFont val="Arial Narrow"/>
        <family val="2"/>
      </rPr>
      <t xml:space="preserve">SAPROV: 10/05/2023: </t>
    </r>
    <r>
      <rPr>
        <sz val="11"/>
        <color rgb="FF4F81BD"/>
        <rFont val="Arial Narrow"/>
        <family val="2"/>
      </rPr>
      <t xml:space="preserve">  El comité primario se realizo el  28 de marzo de 2023, para el mes de abril no se programo por periodicidad trimestral
SDF 13-06-2023: en el mes de mayo presento avances de PGIRS en comite primario
SRBL13-06-2023: en el mes de mayo no se programó comité primario
</t>
    </r>
    <r>
      <rPr>
        <b/>
        <sz val="11"/>
        <color rgb="FF4F81BD"/>
        <rFont val="Arial Narrow"/>
        <family val="2"/>
      </rPr>
      <t>SAPROV 10/07/2023:</t>
    </r>
    <r>
      <rPr>
        <sz val="11"/>
        <color rgb="FF4F81BD"/>
        <rFont val="Arial Narrow"/>
        <family val="2"/>
      </rPr>
      <t xml:space="preserve"> En el mes de junio fue realizado el segundo comité primario de la vigencia, en este comité se realizó la revisión del avance del primer trimestre del PGIRS, teniendo en cuenta que a la fecha del comité no se tenía consolidada la Tabla de Verificación del PGIRS, se carga la presentación realizada en el comité. Durante el mes de julio se consolidará el avance de los programas a cargo de la Subdirección de Aprovechamiento del primer semestre. 
</t>
    </r>
    <r>
      <rPr>
        <sz val="11"/>
        <color rgb="FF000000"/>
        <rFont val="Arial Narrow"/>
        <family val="2"/>
      </rPr>
      <t xml:space="preserve">SDF 14-07-2023: en el mes de junio no se programo comite primario pendiente comite en Julio
SRBL 27/07/2023:  Se realizó el seguimiento a PGIRS en el comité primario realizado el 27 de junio de 2023, se adjunta acta.
</t>
    </r>
  </si>
  <si>
    <t>10/08/2023
8/09/2023
15-08-2023
14-09-2023
11/10/2023</t>
  </si>
  <si>
    <r>
      <rPr>
        <sz val="11"/>
        <color rgb="FF000000"/>
        <rFont val="Arial Narrow"/>
      </rPr>
      <t xml:space="preserve">SRBL 10/08/2023 Para el mes de julio no se programó comité primario
SRBL 8/09/2023 Para el mes de agosto no se programó comité primario 
SDF 15/08/2023 Para el mes de julio se presentaron avances del PGIRS en el comité primario
SDF 14/09/2023 Para el mes de agosto se presentaron avances del PGIRS en el seguimiento de metas (meta 289)no se realizò comité primario
</t>
    </r>
    <r>
      <rPr>
        <sz val="11"/>
        <color rgb="FF1F497D"/>
        <rFont val="Arial Narrow"/>
      </rPr>
      <t xml:space="preserve">
SAPROV 14/09/2023: Durante agosto no se realizó comité primario, se tiene programado en el mes de septiembre
SRBL 11/10/2023 El 28 de septiembre se realizó el Comité Primario, se esta elaborando el acta, una vez se tenga firmada se subirá al drive. </t>
    </r>
  </si>
  <si>
    <t>11/08/2023
21/10/2023
08/11/2023
10-11-2023
20/11/2023
11/12/2023
12/12/2023
10/01/2024
11/01/2024</t>
  </si>
  <si>
    <r>
      <rPr>
        <b/>
        <sz val="11"/>
        <color rgb="FF000000"/>
        <rFont val="Arial Narrow"/>
      </rPr>
      <t xml:space="preserve">SDF 21/10/2023 </t>
    </r>
    <r>
      <rPr>
        <sz val="11"/>
        <color rgb="FF000000"/>
        <rFont val="Arial Narrow"/>
      </rPr>
      <t xml:space="preserve">En elmes de septiembre se realizo comite primario y presento avances de PGIRS adicional en el seguimiento de metas (meta 289)
</t>
    </r>
    <r>
      <rPr>
        <b/>
        <sz val="11"/>
        <color rgb="FF4F81BD"/>
        <rFont val="Arial Narrow"/>
      </rPr>
      <t xml:space="preserve">
APROV: 11/08/2023</t>
    </r>
    <r>
      <rPr>
        <sz val="11"/>
        <color rgb="FF4F81BD"/>
        <rFont val="Arial Narrow"/>
      </rPr>
      <t xml:space="preserve">.  En el mes  de junio  se adelanto el  comité Primario  donde se presentó  el  seguimiento  al PGIRS,  ( Ver acta  comite  Numeral "6. SEGUIMIENTO PGIRS, POT Y PPEC".  teniendo en cuenta  la frecuencia trimestral del  comite.  el siguiente seguimiento  se realizará  en el mes de septiembre. </t>
    </r>
    <r>
      <rPr>
        <sz val="11"/>
        <color rgb="FF00B050"/>
        <rFont val="Arial Narrow"/>
      </rPr>
      <t>(Este seguimiento corresponde al tercer Trimestre en su mmento se reportó pero   por rror quedo consignado  en el 4to trimestre.</t>
    </r>
    <r>
      <rPr>
        <sz val="11"/>
        <color rgb="FF4F81BD"/>
        <rFont val="Arial Narrow"/>
      </rPr>
      <t xml:space="preserve">)
SAPROV: 8/11/2023.    Serealizó el comite el 15 de  septiembre  donde  se reaizó el seguimiento al PGIRS,  
En el mes de octubre  no se tenia programado Comité.  El proximo  comite y conforme la periodicidad esta programado para el mes de diciembre.
Se anexa Listado de asistencia,  presentación del PGIRS 
SAPROV 12/12/2023: durante el mes de noviembre no se realizó comité primario.
SAPROV 11/01/2024.  Se realizó el  comite primario el  27 de diciembre de 2023,   en el cual se  trato el seguimiento al PGIRS.   el acta se encuentra en proceso. se anexa lista  de asistencia,  citacion y Agenda y  link de la grabación en el minuto: 2:15:49   donde se realizó el  seguimiento:  
https://uaespdc-my.sharepoint.com/:v:/g/personal/brisa_salamanca_uaesp_gov_co/ETW0LTOE54ZOiwLFvXXQfaoBMEEnHfqHPLKazFvicw1ZvA?referrer=Teams.TEAMS-WEB&amp;referrerScenario=MeetingChicletGetLink.view.view
</t>
    </r>
    <r>
      <rPr>
        <sz val="11"/>
        <color rgb="FF000000"/>
        <rFont val="Arial Narrow"/>
      </rPr>
      <t xml:space="preserve">SDF 20/11/2023 En elmes de octubre no se realizo comite primario, se adjunta matriz de pgirs mes de octubre y seguimiento de metas (meta 289) de octubre
</t>
    </r>
    <r>
      <rPr>
        <sz val="11"/>
        <color rgb="FF4F81BD"/>
        <rFont val="Arial Narrow"/>
      </rPr>
      <t xml:space="preserve">
</t>
    </r>
    <r>
      <rPr>
        <sz val="11"/>
        <color rgb="FF000000"/>
        <rFont val="Arial Narrow"/>
      </rPr>
      <t xml:space="preserve">SRBL 10-11-2023   En elmes de octubre no se realizó comite primario.
SRBL 11-12-2023   En elmes de Noviembre no se realizó comite primario, se tiene programado para el mes de diciembre.
</t>
    </r>
    <r>
      <rPr>
        <sz val="11"/>
        <color rgb="FF4F81BD"/>
        <rFont val="Arial Narrow"/>
      </rPr>
      <t xml:space="preserve">
</t>
    </r>
    <r>
      <rPr>
        <sz val="11"/>
        <color rgb="FF000000"/>
        <rFont val="Arial Narrow"/>
      </rPr>
      <t xml:space="preserve">SDF 12/12/2023 En el mes de noviembre no se realizo comite primario, se adjunta matriz de pgirs mes de noviembre y seguimiento de metas (meta 289) de noviembre
SRBL 10-01-2024   En elmes de Diciembre  se realizó comite primario. se adjunta acta. 
</t>
    </r>
    <r>
      <rPr>
        <sz val="11"/>
        <color rgb="FF4F81BD"/>
        <rFont val="Arial Narrow"/>
      </rPr>
      <t xml:space="preserve">
</t>
    </r>
    <r>
      <rPr>
        <sz val="11"/>
        <color rgb="FF000000"/>
        <rFont val="Arial Narrow"/>
      </rPr>
      <t xml:space="preserve">SDF 11/01/2024 En el mes de diciembre se realizo comite primario, se adjunta matriz de pgirs mes de diciembre y seguimiento de metas (meta 289) de diciembre, adicional presentaciòn del comite ya que aun no tiene el acta
</t>
    </r>
  </si>
  <si>
    <r>
      <rPr>
        <sz val="11"/>
        <color rgb="FF000000"/>
        <rFont val="Arial Narrow"/>
        <family val="2"/>
      </rPr>
      <t xml:space="preserve">22/01/2023
03/03/2023
</t>
    </r>
    <r>
      <rPr>
        <sz val="11"/>
        <color rgb="FF0070C0"/>
        <rFont val="Arial Narrow"/>
        <family val="2"/>
      </rPr>
      <t>7/03/2023
13-04-2023</t>
    </r>
  </si>
  <si>
    <r>
      <rPr>
        <b/>
        <sz val="11"/>
        <color rgb="FF000000"/>
        <rFont val="Arial Narrow"/>
        <family val="2"/>
      </rPr>
      <t>SDF 22-01-2023:</t>
    </r>
    <r>
      <rPr>
        <sz val="11"/>
        <color rgb="FF000000"/>
        <rFont val="Arial Narrow"/>
        <family val="2"/>
      </rPr>
      <t xml:space="preserve"> En el mes de enero no se programo comite primario. Pendiente envio de Informe de PGIRS
SRBL 06/02/2023  En el mes de enero no se programó comité primario.
</t>
    </r>
    <r>
      <rPr>
        <b/>
        <sz val="11"/>
        <color rgb="FF000000"/>
        <rFont val="Arial Narrow"/>
        <family val="2"/>
      </rPr>
      <t>SDF 03-03-2023:</t>
    </r>
    <r>
      <rPr>
        <sz val="11"/>
        <color rgb="FF000000"/>
        <rFont val="Arial Narrow"/>
        <family val="2"/>
      </rPr>
      <t xml:space="preserve"> En el mes de enero no se programo comite primario. Pendiente envio de Informe de PGIRS
SRBL 06/03/2023  En el mes de febrero no se programó comité primario.
</t>
    </r>
    <r>
      <rPr>
        <b/>
        <sz val="11"/>
        <color rgb="FF0070C0"/>
        <rFont val="Arial Narrow"/>
        <family val="2"/>
      </rPr>
      <t>SAPROV 07/03/202</t>
    </r>
    <r>
      <rPr>
        <sz val="11"/>
        <color rgb="FF0070C0"/>
        <rFont val="Arial Narrow"/>
        <family val="2"/>
      </rPr>
      <t xml:space="preserve">3: Los seguimientos estan pogramados trimestalmente .  el reporte de seguimiento se realizara en el mes de abril.
</t>
    </r>
    <r>
      <rPr>
        <sz val="11"/>
        <color rgb="FF000000"/>
        <rFont val="Arial Narrow"/>
        <family val="2"/>
      </rPr>
      <t>SRBL 10/04/2023 EL 17 de marzo se programó comité primario y se  realizó seguimiento al avance de PGIRS. se adjunta acta</t>
    </r>
    <r>
      <rPr>
        <sz val="11"/>
        <color rgb="FF0070C0"/>
        <rFont val="Arial Narrow"/>
        <family val="2"/>
      </rPr>
      <t xml:space="preserve">.
</t>
    </r>
    <r>
      <rPr>
        <b/>
        <sz val="11"/>
        <color rgb="FF000000"/>
        <rFont val="Arial Narrow"/>
        <family val="2"/>
      </rPr>
      <t>SDF 13-04-2023:</t>
    </r>
    <r>
      <rPr>
        <sz val="11"/>
        <color rgb="FF000000"/>
        <rFont val="Arial Narrow"/>
        <family val="2"/>
      </rPr>
      <t xml:space="preserve"> En el mes de marzo se realizo comite de los meses de enero y febrero pendiente acta se adjunta matriz</t>
    </r>
  </si>
  <si>
    <r>
      <rPr>
        <sz val="11"/>
        <color rgb="FF000000"/>
        <rFont val="Arial Narrow"/>
        <family val="2"/>
      </rPr>
      <t xml:space="preserve">Subdirector Disposición Final
Subdirección de RBL
</t>
    </r>
    <r>
      <rPr>
        <sz val="11"/>
        <color rgb="FF0070C0"/>
        <rFont val="Arial Narrow"/>
        <family val="2"/>
      </rPr>
      <t>Subdirección de Aprovechamiento</t>
    </r>
  </si>
  <si>
    <t>SRBL 10/04/2023 Acta de comité primario
Matriz de PGIRS</t>
  </si>
  <si>
    <t>10/05/2023
10/05/2023
13/06/2023
13/06/2023
10/07/2023
14-07-2023
27/07/2023</t>
  </si>
  <si>
    <r>
      <rPr>
        <sz val="11"/>
        <color rgb="FF000000"/>
        <rFont val="Arial Narrow"/>
        <family val="2"/>
      </rPr>
      <t xml:space="preserve">SDF 10-05-2023: para el mes de abril no se programo comite primario, se adjunta matriz de seguimiento Metas con el reporte de SDF sobre los planes de PGIRS (meta 289 RBL)
SRBL10-05-2023: Se adjunta matriz de seguimiento Metas con el reporte de SRBL sobre los planes de PGIRS (meta 289 RBL)
</t>
    </r>
    <r>
      <rPr>
        <b/>
        <sz val="11"/>
        <color rgb="FF538DD5"/>
        <rFont val="Arial Narrow"/>
        <family val="2"/>
      </rPr>
      <t>SAPROV: 10/05/2023</t>
    </r>
    <r>
      <rPr>
        <sz val="11"/>
        <color rgb="FF538DD5"/>
        <rFont val="Arial Narrow"/>
        <family val="2"/>
      </rPr>
      <t xml:space="preserve">. Durante el mes de abril se logró la consolidación del informe del PGIRS con corte a primer trimestre. (Se anexa tabla se Tabla de Verificación PGIRS 2023)
SDF 13-06-2023: para el mes de mayo  se  presento avances de PGIRS, se adjunta matriz de seguimiento Metas con el reporte de SDF sobre los planes de PGIRS (meta 289 RBL)
SRBL 13-06-2023: para el mes de mayo no se programó comite primario, se adjunta matriz de seguimiento Metas con el seguimiento a PGIRS 
</t>
    </r>
    <r>
      <rPr>
        <sz val="11"/>
        <color rgb="FF000000"/>
        <rFont val="Arial Narrow"/>
        <family val="2"/>
      </rPr>
      <t xml:space="preserve">SAPROV 10/07/2023: Durante el mes de junio no se consolidó información del avance de los programas del PGIRS. La información será solicitada en el mes de Julio, para realizar el reporte y seguimiento del segundo trimestre de la vigencia. 
SDF 14-07-2023: Para el mes de junio no se realizo comite porimario Se adjunta Matriz Seguimiento Metas con reporte SDF sobre los planes de PGIRS (meta 289 RBL)
SRBL  27/07/2023:  se adjunta matriz de seguimiento Metas con el avance  a PGIRS </t>
    </r>
  </si>
  <si>
    <t xml:space="preserve">"Subdirector Disposición Final
Subdirector de RBL"
Subdirecror de Aprovechamiento </t>
  </si>
  <si>
    <t>"Matriz Seguimiento metas
SRBL  Matriz seguimiento metas .
SAPROV: Tabla de verificación PGIR consolidada  1re, trimestre 2023. "</t>
  </si>
  <si>
    <t>10/08/2023
08/09/2023
11/08/2023 
15/08/2023
14-09-2023
11/10/2023</t>
  </si>
  <si>
    <r>
      <rPr>
        <sz val="11"/>
        <color rgb="FF000000"/>
        <rFont val="Arial Narrow"/>
      </rPr>
      <t xml:space="preserve">SRBL 10/08/2023 En el mes de julio no se programó comité primario. Se adjunta Matriz de Seguimiento Metas con reporte de RBL sobre el avance de PGIRS
SRBL 08/09/2023  En el mes de agosto no se programó comité primario. Se adjunta Matriz de Seguimiento Metas con reporte de RBL sobre el avance de PGIRS
</t>
    </r>
    <r>
      <rPr>
        <b/>
        <sz val="11"/>
        <color rgb="FF4F81BD"/>
        <rFont val="Arial Narrow"/>
      </rPr>
      <t>SAPROV: 11/08/2023.</t>
    </r>
    <r>
      <rPr>
        <sz val="11"/>
        <color rgb="FF4F81BD"/>
        <rFont val="Arial Narrow"/>
      </rPr>
      <t xml:space="preserve">  Mediante   memorando No. 20235000087443 del 27 de Julio de 2023 se  remite  a la  Oficina Asesora de Planeación la información con los avances de la gestión de PGIRS adelantada con corte a 30 de junio de 2023, en los programas y proyectos que son de competencia de la Subdirección de Aprovechamiento.  (Anexo memorando )
</t>
    </r>
    <r>
      <rPr>
        <b/>
        <sz val="11"/>
        <color rgb="FF4F81BD"/>
        <rFont val="Arial Narrow"/>
      </rPr>
      <t xml:space="preserve">SAPROV 14/09/2023: </t>
    </r>
    <r>
      <rPr>
        <sz val="11"/>
        <color rgb="FF4F81BD"/>
        <rFont val="Arial Narrow"/>
      </rPr>
      <t xml:space="preserve">El día 14 de septiembre fue enviado a la Oficina Asesora de Planeación el reporte de seguimiento mensual de los progrmas a cargo de la Subdirección. (Anexo correo y docuemtno PGIRS agosto)
</t>
    </r>
    <r>
      <rPr>
        <sz val="11"/>
        <color rgb="FF000000"/>
        <rFont val="Arial Narrow"/>
      </rPr>
      <t xml:space="preserve">SDF 15/08/2023 para el mes de julio se presenta avances de PGIRS, se adjunta seguimiento Metas en el reporte de la SDF sobre los planes de PGIRS (meta 289 RBL)
SDF 14/09/2023 para el mes de agosto se presenta avances de PGIRS, se adjunta seguimiento Metas en el reporte de la SDF sobre los planes de PGIRS (meta 289 RBL)
SRBL 11/10/2023   Se adjunta Matriz de Seguimiento realizado en septiembre Metas con reporte de RBL sobre el avance de PGIRS
</t>
    </r>
  </si>
  <si>
    <r>
      <rPr>
        <sz val="11"/>
        <color rgb="FF4F81BD"/>
        <rFont val="Arial Narrow"/>
        <family val="2"/>
      </rPr>
      <t xml:space="preserve">SAPROV
</t>
    </r>
    <r>
      <rPr>
        <sz val="11"/>
        <color rgb="FF000000"/>
        <rFont val="Arial Narrow"/>
        <family val="2"/>
      </rPr>
      <t xml:space="preserve">
Subdirector de Disposiciòn Final
Subdirector de RBL</t>
    </r>
  </si>
  <si>
    <r>
      <rPr>
        <sz val="11"/>
        <color rgb="FF4F81BD"/>
        <rFont val="Arial Narrow"/>
        <family val="2"/>
      </rPr>
      <t xml:space="preserve">SAPROV: Memorando No. 20235000087443 del 27 de Julio de 2023
Correo reporte y Doocumento  PGIRS agosto
</t>
    </r>
    <r>
      <rPr>
        <sz val="11"/>
        <color rgb="FF000000"/>
        <rFont val="Arial Narrow"/>
        <family val="2"/>
      </rPr>
      <t xml:space="preserve">
Matriz de seguimiento metas
SRBL Matriz de seguimiento metas 
  </t>
    </r>
  </si>
  <si>
    <r>
      <rPr>
        <b/>
        <sz val="11"/>
        <color rgb="FF000000"/>
        <rFont val="Arial Narrow"/>
      </rPr>
      <t>SDF 21/10/2023</t>
    </r>
    <r>
      <rPr>
        <sz val="11"/>
        <color rgb="FF000000"/>
        <rFont val="Arial Narrow"/>
      </rPr>
      <t xml:space="preserve"> En elmes de septiembre se realizo comite primario y presento avances de PGIRS adicional en el seguimiento de metas (meta 289)
SRBL 10/11/2023 En elmes de OCTUBRE no se realizó comite primario, se tiene programado para diciembre. Se adjutna Matriz de seguimiento metas  de octubre. 
</t>
    </r>
    <r>
      <rPr>
        <sz val="11"/>
        <color rgb="FF4F81BD"/>
        <rFont val="Arial Narrow"/>
      </rPr>
      <t xml:space="preserve">SAPROV: 8/11/2023, A nivel interno se realiza el seguimiento trimestral del avance de las actividades del PGIRS, a fin de evidenciar el estado de las actividades.  Se Anexa:   Carpeta con las tablas de verificación del seguimiento trimestral PGIR.
SAPROV 12/12/2023. Semantiene el  seguimiento trimestral del avance de las actividades del PGIRS, a fin de evidenciar el estado de las actividades.  Se Anexa:   Carpeta con las tablas de verificación del seguimiento trimestral PGIR.
SAPROV: 22/12/2023.   El 4 de diciembre   la profesional   de la SAPROV, solicito   la información para el seguimiento ddl PGIRS  segundo semestre de 2023.  Se anexa  correo.
SAROV:11/01/2024. Se realizó seguimiento, se anexa  Tabla Verificación PGIRS Año 3 (2) 
</t>
    </r>
    <r>
      <rPr>
        <sz val="11"/>
        <color rgb="FF000000"/>
        <rFont val="Arial Narrow"/>
      </rPr>
      <t xml:space="preserve">SDF 20/11/2023 En el mes de octubre no se realizo comite primario se adjunta matriz de PGIRS de octubre adicional en el seguimiento de metas (meta 289) del mes de octubre
</t>
    </r>
    <r>
      <rPr>
        <sz val="11"/>
        <color rgb="FF4F81BD"/>
        <rFont val="Arial Narrow"/>
      </rPr>
      <t xml:space="preserve">
</t>
    </r>
    <r>
      <rPr>
        <sz val="11"/>
        <color rgb="FF000000"/>
        <rFont val="Arial Narrow"/>
      </rPr>
      <t>SRBL 11/12/2023 En elmes de Noviembre no se realizó comite primario, se tiene programado para diciembre. Se adjutna Matriz de seguimiento metas  de noviembre.
SDF 12/12/2023 En el mes de noviembre no se realizo comite primario se adjunta matriz de PGIRS de noviembre adicional en el seguimiento de metas (meta 289) del mes de noviembre
SRBL 10/01/2024 En elmes de Diciembre  se realizó comite primario, en donde se realizó seguimiento al PGIRS
SDF 11/01/2024 En el mes de diciembre  se realizo comite primario se adjunta matriz de PGIRS de diciembre adicional en el seguimiento de metas (meta 289) del mes de diciembre</t>
    </r>
  </si>
  <si>
    <r>
      <rPr>
        <sz val="11"/>
        <color rgb="FF000000"/>
        <rFont val="Arial Narrow"/>
      </rPr>
      <t xml:space="preserve">Subdirector de Disposición Final
Subdirección  </t>
    </r>
    <r>
      <rPr>
        <sz val="11"/>
        <color rgb="FF0070C0"/>
        <rFont val="Arial Narrow"/>
      </rPr>
      <t xml:space="preserve">Aprovechamiento - APROV
</t>
    </r>
    <r>
      <rPr>
        <sz val="11"/>
        <color rgb="FF000000"/>
        <rFont val="Arial Narrow"/>
      </rPr>
      <t>Subdirector RBL</t>
    </r>
  </si>
  <si>
    <r>
      <rPr>
        <sz val="11"/>
        <color rgb="FF000000"/>
        <rFont val="Arial Narrow"/>
      </rPr>
      <t xml:space="preserve">Informe seguimiento metas PDD -TABLAS DE VERIFICACIÓN PGIRS DCTO 345
 </t>
    </r>
    <r>
      <rPr>
        <sz val="11"/>
        <color rgb="FF0070C0"/>
        <rFont val="Arial Narrow"/>
      </rPr>
      <t xml:space="preserve">Carpeta con las tablas de verificación del seguimiento trimestral PGIR.
</t>
    </r>
    <r>
      <rPr>
        <sz val="11"/>
        <color rgb="FF000000"/>
        <rFont val="Arial Narrow"/>
      </rPr>
      <t xml:space="preserve">
SRBL Matriz de segumiento metas 
SRBL Acta de comité primario.</t>
    </r>
  </si>
  <si>
    <t>19/05/2023 - OCL - RBL
22/05/2023 SDF-SAPROV
22/09/2023 SDF-RBL-SAPROV</t>
  </si>
  <si>
    <r>
      <t xml:space="preserve">19/05/2023 - OCL - RBL: De acuerdo con lo manifestado por la primera línea, el seguimiento de la segunda línea y con base en la revisión de la siguiente evidencia:
- Acta comité primario  SRBL primer trimestre 2023 (2), en su numeral 1.2. SEGUIMIENTO PGIRS.
La OCI, verifica el umplimiento del control
Nota: La OCI, recomienda cargar las actas firmadas.
</t>
    </r>
    <r>
      <rPr>
        <b/>
        <sz val="11"/>
        <rFont val="Arial Narrow"/>
        <family val="2"/>
      </rPr>
      <t xml:space="preserve">JAG SDF-SAPROV: </t>
    </r>
    <r>
      <rPr>
        <sz val="11"/>
        <rFont val="Arial Narrow"/>
        <family val="2"/>
      </rPr>
      <t xml:space="preserve">Se realizó el reporte y se adjunto evidencia de cumplimiento por parte de las subdirecciones, Se recomienda establecer un criterio transversal para realizar seguimiento al plan de gestión Integral de Residuos solidos para el proceso.
</t>
    </r>
    <r>
      <rPr>
        <b/>
        <sz val="11"/>
        <rFont val="Arial Narrow"/>
        <family val="2"/>
      </rPr>
      <t>22/09/2023-OCL - SDF:</t>
    </r>
    <r>
      <rPr>
        <sz val="11"/>
        <rFont val="Arial Narrow"/>
        <family val="2"/>
      </rPr>
      <t xml:space="preserve">   Con base en la manifestación del proceso y la revisión de las siguientes evidencias:
- Matriz programación, seguimiento de metas y presupuesto 2023 - Agosto SDF Definitivo, Matriz programación, seguimiento de metas y presupuesto 2023 - Julio SDF Definitivo 14-08-2023 y TABLAS DE VERIFICACIÓN PGIRS DCTO 345_20,  la OCI verifica le ejecución del control.
</t>
    </r>
    <r>
      <rPr>
        <b/>
        <sz val="11"/>
        <rFont val="Arial Narrow"/>
        <family val="2"/>
      </rPr>
      <t>22/09/2023-OCL - RBL:</t>
    </r>
    <r>
      <rPr>
        <sz val="11"/>
        <rFont val="Arial Narrow"/>
        <family val="2"/>
      </rPr>
      <t xml:space="preserve">  Con base en la manifestación del proceso y la revisión de las siguientes evidencias:
- Matriz programación, seguimiento de metas y presupuesto 2023 - Agosto RB y Matriz programación, seguimiento de metas y presupuesto 2023 - Agosto RBL,  la OCI verifica le ejecución del control.
</t>
    </r>
    <r>
      <rPr>
        <b/>
        <sz val="11"/>
        <rFont val="Arial Narrow"/>
        <family val="2"/>
      </rPr>
      <t>22/09/2023-OCL - SPROV:</t>
    </r>
    <r>
      <rPr>
        <sz val="11"/>
        <rFont val="Arial Narrow"/>
        <family val="2"/>
      </rPr>
      <t xml:space="preserve">  Con base en la manifestación del proceso y la revisión de las siguientes evidencias:
- Correo_ Seguimiento PGIRS agosto, memorando reporte seguimiento y PGIRS AGO 2023, la OCI verifica le ejecución del control.</t>
    </r>
  </si>
  <si>
    <r>
      <t xml:space="preserve">19/05/2023 - OCL - RBL: De acuerdo con las evidencias suministradas por el proceso, la OCI, verifica el cumplimiento del control.
</t>
    </r>
    <r>
      <rPr>
        <b/>
        <sz val="11"/>
        <rFont val="Arial Narrow"/>
        <family val="2"/>
      </rPr>
      <t xml:space="preserve">JAG SDF-SAPROV: </t>
    </r>
    <r>
      <rPr>
        <sz val="11"/>
        <rFont val="Arial Narrow"/>
        <family val="2"/>
      </rPr>
      <t xml:space="preserve">Se evidencia la efectividad del control.
</t>
    </r>
    <r>
      <rPr>
        <b/>
        <sz val="11"/>
        <rFont val="Arial Narrow"/>
        <family val="2"/>
      </rPr>
      <t>22/09/2023-OCL - SDF</t>
    </r>
    <r>
      <rPr>
        <sz val="11"/>
        <rFont val="Arial Narrow"/>
        <family val="2"/>
      </rPr>
      <t xml:space="preserve">:  Con base en la revisión de las evidencias y la manifestación del proceso, la OCI verificó que el control fue efectivo.
</t>
    </r>
    <r>
      <rPr>
        <b/>
        <sz val="11"/>
        <rFont val="Arial Narrow"/>
        <family val="2"/>
      </rPr>
      <t>22/09/2023-OCL - RBL:</t>
    </r>
    <r>
      <rPr>
        <sz val="11"/>
        <rFont val="Arial Narrow"/>
        <family val="2"/>
      </rPr>
      <t xml:space="preserve">  Con base en la revisión de las evidencias y la manifestación del proceso, la OCI verificó que el control fue efectivo.
</t>
    </r>
    <r>
      <rPr>
        <b/>
        <sz val="11"/>
        <rFont val="Arial Narrow"/>
        <family val="2"/>
      </rPr>
      <t>22/09/2023-OCL - SPROV:</t>
    </r>
    <r>
      <rPr>
        <sz val="11"/>
        <rFont val="Arial Narrow"/>
        <family val="2"/>
      </rPr>
      <t xml:space="preserve">  Con base en la revisión de las evidencias y la manifestación del proceso, la OCI verificó que el control fue efectivo.</t>
    </r>
  </si>
  <si>
    <r>
      <rPr>
        <sz val="11"/>
        <color rgb="FF000000"/>
        <rFont val="Arial Narrow"/>
      </rPr>
      <t xml:space="preserve">19/05/2023 - OCL - RBL: De acuerdo con lo manifestado por la primera línea, el seguimiento de la segunda línea y con base en la revisión de la siguiente evidencia:
- Acta comité primario  SRBL primer trimestre 2023 (2), en su numeral 1.2. SEGUIMIENTO PGIRS.
La OCI, verifica la ejecución de la acción.
Nota: La OCI, recomienda cargar las actas firmadas. En aras de facilitar el seguimiento los procesos deben validar la pertinencia de unificar la acción y el control, toda vez que son iguales.
</t>
    </r>
    <r>
      <rPr>
        <b/>
        <sz val="11"/>
        <color rgb="FF000000"/>
        <rFont val="Arial Narrow"/>
      </rPr>
      <t>JAG-SDF:</t>
    </r>
    <r>
      <rPr>
        <sz val="11"/>
        <color rgb="FF000000"/>
        <rFont val="Arial Narrow"/>
      </rPr>
      <t xml:space="preserve"> No se puede evidenciar el cumplimiento del plan de manejo de riesgos, porque la subdirección no adjunta la evidencia necesaria del seguimiento en el Comité primario (presentación, lista de asistencia, acta, grabación) y no se puede comprobar si el reporte corresponde con la ejecución.
</t>
    </r>
    <r>
      <rPr>
        <b/>
        <sz val="11"/>
        <color rgb="FF000000"/>
        <rFont val="Arial Narrow"/>
      </rPr>
      <t xml:space="preserve">JAG-SAPROV: </t>
    </r>
    <r>
      <rPr>
        <sz val="11"/>
        <color rgb="FF000000"/>
        <rFont val="Arial Narrow"/>
      </rPr>
      <t xml:space="preserve">La Subdirección viene realizando la accion propuesta en el plan de manejo de riesgos y adjunta la evidencia de cumplimiento.
</t>
    </r>
    <r>
      <rPr>
        <b/>
        <sz val="11"/>
        <color rgb="FF000000"/>
        <rFont val="Arial Narrow"/>
      </rPr>
      <t>22/09/2023-OCL - SPROV</t>
    </r>
    <r>
      <rPr>
        <sz val="11"/>
        <color rgb="FF000000"/>
        <rFont val="Arial Narrow"/>
      </rPr>
      <t xml:space="preserve">: Con base en la manifestación del proceso y la revisión de la siguiente evidencia: Acta de reunión Comité Primario 28 de junio, la OCI verifica la ejecución de la acción.
</t>
    </r>
    <r>
      <rPr>
        <b/>
        <sz val="11"/>
        <color rgb="FF000000"/>
        <rFont val="Arial Narrow"/>
      </rPr>
      <t>22/09/2023-OCL - SDF:</t>
    </r>
    <r>
      <rPr>
        <sz val="11"/>
        <color rgb="FF000000"/>
        <rFont val="Arial Narrow"/>
      </rPr>
      <t xml:space="preserve"> Con base en la manifestación del proceso y la revisión de las siguientes evidencias: 2023-07-14 Presentacion PGIRS, GIR-FM-08 V2 Plan de supervisión monitoreo y control SDF - Agosto 2023 Definitivo y GIR-FM-08 V2 Plan de supervisión monitoreo y control SDF - Julio 2023 Definitivo,  la OCI verifica la ejecución de la acción.
</t>
    </r>
    <r>
      <rPr>
        <b/>
        <sz val="11"/>
        <color rgb="FF000000"/>
        <rFont val="Arial Narrow"/>
      </rPr>
      <t>22/09/2023-OCL - RBL:</t>
    </r>
    <r>
      <rPr>
        <sz val="11"/>
        <color rgb="FF000000"/>
        <rFont val="Arial Narrow"/>
      </rPr>
      <t xml:space="preserve"> El proceso no aportó evidencias, sin embargo el proceso realiza la autoevaluación correspondiente. la OCI recomienda al proceso aportar las evidencias.</t>
    </r>
  </si>
  <si>
    <t>Seguimiento del Plan de Accion Institucional por dependencia</t>
  </si>
  <si>
    <r>
      <rPr>
        <b/>
        <sz val="11"/>
        <color rgb="FF000000"/>
        <rFont val="Arial Narrow"/>
        <family val="2"/>
      </rPr>
      <t>SDF 22-01-2023:</t>
    </r>
    <r>
      <rPr>
        <sz val="11"/>
        <color rgb="FF000000"/>
        <rFont val="Arial Narrow"/>
        <family val="2"/>
      </rPr>
      <t xml:space="preserve"> En el mes de enero se presenta infome de metas PDD en remplazo de PAI
</t>
    </r>
    <r>
      <rPr>
        <b/>
        <sz val="11"/>
        <color rgb="FF000000"/>
        <rFont val="Arial Narrow"/>
        <family val="2"/>
      </rPr>
      <t>SDF 03-03-2023:</t>
    </r>
    <r>
      <rPr>
        <sz val="11"/>
        <color rgb="FF000000"/>
        <rFont val="Arial Narrow"/>
        <family val="2"/>
      </rPr>
      <t xml:space="preserve"> En el mes de febrero se presenta infome de metas PDD en remplazo de PAI
</t>
    </r>
  </si>
  <si>
    <r>
      <rPr>
        <sz val="11"/>
        <color rgb="FF000000"/>
        <rFont val="Arial Narrow"/>
        <family val="2"/>
      </rPr>
      <t xml:space="preserve">22/01/2023
06/02/2023
03/03/2023
06/03/2023
</t>
    </r>
    <r>
      <rPr>
        <sz val="11"/>
        <color rgb="FF0070C0"/>
        <rFont val="Arial Narrow"/>
        <family val="2"/>
      </rPr>
      <t>7/03/2023
10/04/2023</t>
    </r>
  </si>
  <si>
    <r>
      <rPr>
        <b/>
        <sz val="11"/>
        <color rgb="FF000000"/>
        <rFont val="Arial Narrow"/>
        <family val="2"/>
      </rPr>
      <t>SDF 22-01-2023:</t>
    </r>
    <r>
      <rPr>
        <sz val="11"/>
        <color rgb="FF000000"/>
        <rFont val="Arial Narrow"/>
        <family val="2"/>
      </rPr>
      <t xml:space="preserve"> En el mes de enero se presenta infome de metas PDD en remplazo de PAI
</t>
    </r>
    <r>
      <rPr>
        <b/>
        <sz val="11"/>
        <color rgb="FF000000"/>
        <rFont val="Arial Narrow"/>
        <family val="2"/>
      </rPr>
      <t xml:space="preserve">SRBL 06/02/2023 en el mes de enero se presentó a la OAP el seguimiento a proyectos MGA en reemplazo del PAI.  
</t>
    </r>
    <r>
      <rPr>
        <sz val="11"/>
        <color rgb="FF000000"/>
        <rFont val="Arial Narrow"/>
        <family val="2"/>
      </rPr>
      <t xml:space="preserve">
</t>
    </r>
    <r>
      <rPr>
        <b/>
        <sz val="11"/>
        <color rgb="FF000000"/>
        <rFont val="Arial Narrow"/>
        <family val="2"/>
      </rPr>
      <t>SDF 03-03-2023:</t>
    </r>
    <r>
      <rPr>
        <sz val="11"/>
        <color rgb="FF000000"/>
        <rFont val="Arial Narrow"/>
        <family val="2"/>
      </rPr>
      <t xml:space="preserve"> En el mes de febrero se presenta infome de metas PDD en remplazo de PAI
SRBL 06/03/2023 en el mes de febrero se presentó a la OAP el seguimiento a proyectos MGA en reemplazo del PAI.  
</t>
    </r>
    <r>
      <rPr>
        <b/>
        <sz val="11"/>
        <color rgb="FF0070C0"/>
        <rFont val="Arial Narrow"/>
        <family val="2"/>
      </rPr>
      <t>SAPROV 07/03/2023</t>
    </r>
    <r>
      <rPr>
        <sz val="11"/>
        <color rgb="FF0070C0"/>
        <rFont val="Arial Narrow"/>
        <family val="2"/>
      </rPr>
      <t xml:space="preserve">: En el mes de febrero se reportó a la Oficina Asesora de Planeación la matriz programación, seguimiento de metas y presupuesto 2023
</t>
    </r>
    <r>
      <rPr>
        <b/>
        <sz val="11"/>
        <color rgb="FF000000"/>
        <rFont val="Arial Narrow"/>
        <family val="2"/>
      </rPr>
      <t>SRBL 10/04/2023</t>
    </r>
    <r>
      <rPr>
        <sz val="11"/>
        <color rgb="FF000000"/>
        <rFont val="Arial Narrow"/>
        <family val="2"/>
      </rPr>
      <t xml:space="preserve"> en el mes de marzo se presentó a la OAP el seguimiento a proyectos MGA en reemplazo del PAI.  
</t>
    </r>
    <r>
      <rPr>
        <sz val="11"/>
        <color rgb="FF0070C0"/>
        <rFont val="Arial Narrow"/>
        <family val="2"/>
      </rPr>
      <t xml:space="preserve">
</t>
    </r>
    <r>
      <rPr>
        <b/>
        <sz val="11"/>
        <color rgb="FF000000"/>
        <rFont val="Arial Narrow"/>
        <family val="2"/>
      </rPr>
      <t>SDF 13-04-2023:</t>
    </r>
    <r>
      <rPr>
        <sz val="11"/>
        <color rgb="FF000000"/>
        <rFont val="Arial Narrow"/>
        <family val="2"/>
      </rPr>
      <t xml:space="preserve"> En el mes de marzo se presenta infome de metas PDD en remplazo de PAI</t>
    </r>
  </si>
  <si>
    <t>Subdirección de Aprovechamiento</t>
  </si>
  <si>
    <t>Informe Metas PDD
SRBL MATRIZ MGA</t>
  </si>
  <si>
    <r>
      <rPr>
        <sz val="11"/>
        <color rgb="FF000000"/>
        <rFont val="Arial Narrow"/>
        <family val="2"/>
      </rPr>
      <t xml:space="preserve">10/05/2023
10/05/2023
</t>
    </r>
    <r>
      <rPr>
        <sz val="11"/>
        <color rgb="FF538DD5"/>
        <rFont val="Arial Narrow"/>
        <family val="2"/>
      </rPr>
      <t xml:space="preserve">10/05/2023
13-06-2023
13-06-2023
</t>
    </r>
    <r>
      <rPr>
        <sz val="11"/>
        <color rgb="FF000000"/>
        <rFont val="Arial Narrow"/>
        <family val="2"/>
      </rPr>
      <t xml:space="preserve">
10/07/2023
27/07/2023</t>
    </r>
  </si>
  <si>
    <r>
      <rPr>
        <sz val="11"/>
        <color rgb="FF000000"/>
        <rFont val="Arial Narrow"/>
        <family val="2"/>
      </rPr>
      <t xml:space="preserve">SDF 10-05-2023: para el mes de abril se presenta matriz de Seguimiento Metas con el reporte de SDF en remplazo del PAI
SRBL 10-05-2023: para el mes de abril se presenta matriz de Seguimiento Metas con el reporte de SRBL en remplazo del PAI
</t>
    </r>
    <r>
      <rPr>
        <b/>
        <sz val="11"/>
        <color rgb="FF538DD5"/>
        <rFont val="Arial Narrow"/>
        <family val="2"/>
      </rPr>
      <t>SAPROV: 10/05/2023:</t>
    </r>
    <r>
      <rPr>
        <sz val="11"/>
        <color rgb="FF000000"/>
        <rFont val="Arial Narrow"/>
        <family val="2"/>
      </rPr>
      <t xml:space="preserve"> </t>
    </r>
    <r>
      <rPr>
        <sz val="11"/>
        <color rgb="FF538DD5"/>
        <rFont val="Arial Narrow"/>
        <family val="2"/>
      </rPr>
      <t xml:space="preserve">En el mes de abril se presentó a la oficina de Planeación la matriz de Seguimiento Metas   Se anexa  matriz y correo reporte
SDF 13-06-2023: para el mes de mayol se presenta matriz de Seguimiento Metas con el reporte de SDF en remplazo del PAI
SRBL 13/06/2023: para el mes de mayo se presenta matriz de Seguimiento Metas con el reporte de SRBL en remplazo del PAI
</t>
    </r>
    <r>
      <rPr>
        <sz val="11"/>
        <color rgb="FF000000"/>
        <rFont val="Arial Narrow"/>
        <family val="2"/>
      </rPr>
      <t xml:space="preserve">
SAPROV 10/07/2023: Se presenta la matriz de programación, seguimiento de metas y presupuesto con corte a mayo, dicha matriz remplazó la matriz del Plan de Acción Institucional PAI.
SDF 14/07/2023: para el mes de junio se presenta matriz de Seguimiento Metas con el reporte de la SDF con los avances en remplazo del PAI.
RBL 27/07/2023: para el mes de junio se presenta matriz de Seguimiento Metas con el reporte de SRBL en remplazo del PAI
</t>
    </r>
  </si>
  <si>
    <t>Subdirector Disposición Final
Subdirector de RBL" 
Subdirector de Aprovechamiento</t>
  </si>
  <si>
    <t>Matriz Seguimiento metas
SRBL  Matriz seguimiento metas 
SAPROV Matriz de programación, seguimiento de metas</t>
  </si>
  <si>
    <r>
      <rPr>
        <sz val="11"/>
        <color rgb="FF000000"/>
        <rFont val="Arial Narrow"/>
      </rPr>
      <t xml:space="preserve">10/08/2023
08/09/2023
</t>
    </r>
    <r>
      <rPr>
        <b/>
        <sz val="11"/>
        <color rgb="FF000000"/>
        <rFont val="Arial Narrow"/>
      </rPr>
      <t>11/08/2023
15/08/2023
14-09-2023 
11/10/2023</t>
    </r>
  </si>
  <si>
    <r>
      <rPr>
        <sz val="11"/>
        <color rgb="FF000000"/>
        <rFont val="Arial Narrow"/>
      </rPr>
      <t xml:space="preserve">SRBL 10/08/2023 Para el mes de julio se presenta matriz de seguimiento con el reporte de la SRBL con los avances en reemplazo del PAI.
SRBL 08/09/2023 Para el mes de agosto se presenta matriz de seguimiento con el reporte de la SRBL con los avances en reemplazo del PAI.
</t>
    </r>
    <r>
      <rPr>
        <b/>
        <sz val="11"/>
        <color rgb="FF4F81BD"/>
        <rFont val="Arial Narrow"/>
      </rPr>
      <t xml:space="preserve">SAPROV: 14/08/2023, </t>
    </r>
    <r>
      <rPr>
        <sz val="11"/>
        <color rgb="FF4F81BD"/>
        <rFont val="Arial Narrow"/>
      </rPr>
      <t xml:space="preserve"> Se reporto Via correo electronico del  14 de agosto de 2023 a la Oficina de Planeación, la  Matriz programación seguimiento de metas y presupuesto con  corte a  30 de julio de 2023</t>
    </r>
    <r>
      <rPr>
        <b/>
        <sz val="11"/>
        <color rgb="FF4F81BD"/>
        <rFont val="Arial Narrow"/>
      </rPr>
      <t>.</t>
    </r>
    <r>
      <rPr>
        <sz val="11"/>
        <color rgb="FF4F81BD"/>
        <rFont val="Arial Narrow"/>
      </rPr>
      <t xml:space="preserve">  (Anexo:  Correo de reporte y matriz)
</t>
    </r>
    <r>
      <rPr>
        <b/>
        <sz val="11"/>
        <color rgb="FF4F81BD"/>
        <rFont val="Arial Narrow"/>
      </rPr>
      <t>SAPROV 14/09/2023:</t>
    </r>
    <r>
      <rPr>
        <sz val="11"/>
        <color rgb="FF4F81BD"/>
        <rFont val="Arial Narrow"/>
      </rPr>
      <t xml:space="preserve"> Se reportó via correo electrónico del 14 de septiembre a la Oficina Asesora de Planeación el formato Anexo. Seguimiento Mensual con corte a 31 de Agosto. ( Anexo correo reporte y matriz) 
</t>
    </r>
    <r>
      <rPr>
        <sz val="11"/>
        <color rgb="FF000000"/>
        <rFont val="Arial Narrow"/>
      </rPr>
      <t>SDF 15/08/2023 En el mes de julio se presenta matrz seguimiento de metas de metas y presuùesto en remplazo del PAI
SDF 14/09/2023 En el mes de agosto se presenta matrz seguimiento de metas de metas y presuùesto en remplazo del PAI
SRBL 11/10/2023 Para el mes de septiembre se presenta matriz de seguimiento con el reporte de la SRBL con los avances en reemplazo del PAI.</t>
    </r>
  </si>
  <si>
    <r>
      <rPr>
        <sz val="11"/>
        <color rgb="FF000000"/>
        <rFont val="Arial Narrow"/>
      </rPr>
      <t xml:space="preserve">Subdirector de RBL
Subdirector de DF
</t>
    </r>
    <r>
      <rPr>
        <sz val="11"/>
        <color rgb="FF4F81BD"/>
        <rFont val="Arial Narrow"/>
      </rPr>
      <t>Subdirector de APROV</t>
    </r>
  </si>
  <si>
    <r>
      <rPr>
        <sz val="11"/>
        <color rgb="FF000000"/>
        <rFont val="Arial Narrow"/>
      </rPr>
      <t xml:space="preserve">Matriz de seguimiento metas
 </t>
    </r>
    <r>
      <rPr>
        <sz val="11"/>
        <color rgb="FF4F81BD"/>
        <rFont val="Arial Narrow"/>
      </rPr>
      <t xml:space="preserve">SAPROV: Correo de reporte y matriz programación seguimiento de metas y presupuesto
</t>
    </r>
    <r>
      <rPr>
        <sz val="11"/>
        <color rgb="FF000000"/>
        <rFont val="Arial Narrow"/>
      </rPr>
      <t>SRBL Matriz de seguimiento metas</t>
    </r>
  </si>
  <si>
    <t>21/10/2023
10-11-2023
20/11/2023
11/12/2023
12/12/2023
10/01/2024
11/01/2024</t>
  </si>
  <si>
    <r>
      <rPr>
        <b/>
        <sz val="11"/>
        <color rgb="FF000000"/>
        <rFont val="Arial Narrow"/>
      </rPr>
      <t xml:space="preserve">SDF 21-10-2023 </t>
    </r>
    <r>
      <rPr>
        <sz val="11"/>
        <color rgb="FF000000"/>
        <rFont val="Arial Narrow"/>
      </rPr>
      <t xml:space="preserve">En el mes de septiembre  se presenta matriz de sehuimientos metas PDD y presupuesto en remplazo del PAI
SRBL 10-11-2023 En el mes de OCTUBRE  se presenta matriz de seguimientos metas PDD y presupuesto en remplazo del PAI
</t>
    </r>
    <r>
      <rPr>
        <sz val="11"/>
        <color rgb="FF0070C0"/>
        <rFont val="Arial Narrow"/>
      </rPr>
      <t>SAPROV: 10-11-2023: En el mes de ocutubre, se  realizan los seguimientos me</t>
    </r>
    <r>
      <rPr>
        <sz val="11"/>
        <color rgb="FF4F81BD"/>
        <rFont val="Arial Narrow"/>
      </rPr>
      <t>tas PDD y presupuesto en remplazo del PAI c</t>
    </r>
    <r>
      <rPr>
        <sz val="11"/>
        <color rgb="FF0070C0"/>
        <rFont val="Arial Narrow"/>
      </rPr>
      <t xml:space="preserve">orrepondiente al mes de septiembre y se reportó a la OAP
</t>
    </r>
    <r>
      <rPr>
        <sz val="11"/>
        <color rgb="FF4F81BD"/>
        <rFont val="Arial Narrow"/>
      </rPr>
      <t xml:space="preserve">Se anexa:  Correos y  matriz de seguimientos metas
SAPROV 11/12/2023: En el mes de noviembre se realizan los seguimientos a las metas PDD y presupuesto correspondiente al mes de Octubre. 
</t>
    </r>
    <r>
      <rPr>
        <sz val="11"/>
        <color rgb="FF0070C0"/>
        <rFont val="Arial Narrow"/>
      </rPr>
      <t xml:space="preserve">SAPROV 11/01/2023:   En el mes de Diciembre  se realizó el seguimiento a las metas PDD y presupuesto correspondiente al mes de Noviembre .
</t>
    </r>
    <r>
      <rPr>
        <sz val="11"/>
        <color rgb="FFFF0000"/>
        <rFont val="Arial Narrow"/>
      </rPr>
      <t xml:space="preserve">
</t>
    </r>
    <r>
      <rPr>
        <sz val="11"/>
        <color rgb="FF000000"/>
        <rFont val="Arial Narrow"/>
      </rPr>
      <t xml:space="preserve">SDF 20-11-2023 En el mes de octubre  se presenta matriz de seguimientos metas PDD y presupuesto en remplazo del PAI
</t>
    </r>
    <r>
      <rPr>
        <sz val="11"/>
        <color rgb="FFFF0000"/>
        <rFont val="Arial Narrow"/>
      </rPr>
      <t xml:space="preserve">
</t>
    </r>
    <r>
      <rPr>
        <sz val="11"/>
        <color rgb="FF000000"/>
        <rFont val="Arial Narrow"/>
      </rPr>
      <t xml:space="preserve">SRBL 11-12-2023 En el mes de Noviembre   se presenta matriz de seguimientos metas PDD y presupuesto en remplazo del PAI
SDF 12-12-2023 En el mes de noviembre  se presenta matriz de seguimientos metas PDD y presupuesto en remplazo del PAI
SRBL 10-01-2024 En el mes de diciembre  se presenta matriz de seguimientos metas PDD y presupuesto en remplazo del PAI
SDF 11-01-2023 En el mes de diciembre  se presenta matriz de seguimientos metas PDD y presupuesto en remplazo del PAI
esupuesto en remplazo del PAI
</t>
    </r>
  </si>
  <si>
    <r>
      <rPr>
        <sz val="11"/>
        <color rgb="FF000000"/>
        <rFont val="Arial Narrow"/>
      </rPr>
      <t xml:space="preserve">Subdirector de Disposición Final
Subdirector RBL
</t>
    </r>
    <r>
      <rPr>
        <sz val="11"/>
        <color rgb="FF0070C0"/>
        <rFont val="Arial Narrow"/>
      </rPr>
      <t>Subdirección Aprovechamiento</t>
    </r>
  </si>
  <si>
    <r>
      <rPr>
        <sz val="11"/>
        <color rgb="FF000000"/>
        <rFont val="Arial Narrow"/>
      </rPr>
      <t xml:space="preserve">SRBL MatrizInforme seguimiento metas PDD y presupuesto
</t>
    </r>
    <r>
      <rPr>
        <sz val="11"/>
        <color rgb="FF538DD5"/>
        <rFont val="Arial Narrow"/>
      </rPr>
      <t>SAPROV: Correos y  matriz de seguimientos metas</t>
    </r>
  </si>
  <si>
    <t xml:space="preserve">Reprogramación del plan </t>
  </si>
  <si>
    <r>
      <rPr>
        <b/>
        <sz val="11"/>
        <color rgb="FF000000"/>
        <rFont val="Arial Narrow"/>
        <family val="2"/>
      </rPr>
      <t>19/05/2023 - OCL - RBL</t>
    </r>
    <r>
      <rPr>
        <sz val="11"/>
        <color rgb="FF000000"/>
        <rFont val="Arial Narrow"/>
        <family val="2"/>
      </rPr>
      <t xml:space="preserve">: Con base en la revisión de las siguientes evidencias: 
1. MGA SPI, febrero, marzo y abril.
La OCI verifica la ejecución del control.
</t>
    </r>
    <r>
      <rPr>
        <b/>
        <sz val="11"/>
        <color rgb="FF000000"/>
        <rFont val="Arial Narrow"/>
        <family val="2"/>
      </rPr>
      <t>JAG SDF-SAPROV:</t>
    </r>
    <r>
      <rPr>
        <sz val="11"/>
        <color rgb="FF000000"/>
        <rFont val="Arial Narrow"/>
        <family val="2"/>
      </rPr>
      <t xml:space="preserve"> Se realizó el reporte y se adjunto evidencia de cumplimiento por parte de las subdirecciones.
</t>
    </r>
    <r>
      <rPr>
        <b/>
        <sz val="11"/>
        <color rgb="FF000000"/>
        <rFont val="Arial Narrow"/>
        <family val="2"/>
      </rPr>
      <t xml:space="preserve">Nota: </t>
    </r>
    <r>
      <rPr>
        <sz val="11"/>
        <color rgb="FF000000"/>
        <rFont val="Arial Narrow"/>
        <family val="2"/>
      </rPr>
      <t xml:space="preserve">La OCI recomienda, modificar la redacción del control, toda vez que este estipula" Seguimiento del Plan de Acción institucional" y el proceso aporta el MGA SPI en su lugar.
</t>
    </r>
    <r>
      <rPr>
        <b/>
        <sz val="11"/>
        <color rgb="FF000000"/>
        <rFont val="Arial Narrow"/>
        <family val="2"/>
      </rPr>
      <t>22/09/2023-OCL - SDF:</t>
    </r>
    <r>
      <rPr>
        <sz val="11"/>
        <color rgb="FF000000"/>
        <rFont val="Arial Narrow"/>
        <family val="2"/>
      </rPr>
      <t xml:space="preserve">   Con base en la manifestación del proceso y la revisión de las siguientes evidencias:
- Matriz programación, seguimiento de metas y presupuesto 2023 - Agosto SDF Definitivo y Matriz programación, seguimiento de metas y presupuesto 2023 - Julio SDF Definitivo 14-08-2023, verifica le ejecución del control.
</t>
    </r>
    <r>
      <rPr>
        <b/>
        <sz val="11"/>
        <color rgb="FF000000"/>
        <rFont val="Arial Narrow"/>
        <family val="2"/>
      </rPr>
      <t xml:space="preserve">22/09/2023-OCL - RBL: </t>
    </r>
    <r>
      <rPr>
        <sz val="11"/>
        <color rgb="FF000000"/>
        <rFont val="Arial Narrow"/>
        <family val="2"/>
      </rPr>
      <t xml:space="preserve"> Con base en la manifestación del proceso y la revisión de las siguientes evidencias:
- Matriz programación, seguimiento de metas y presupuesto 2023 - Agosto RBL y Matriz programación, seguimiento de metas y presupuesto 2023 - JULIO RBL  la OCI verifica le ejecución del control.
</t>
    </r>
    <r>
      <rPr>
        <b/>
        <sz val="11"/>
        <color rgb="FF000000"/>
        <rFont val="Arial Narrow"/>
        <family val="2"/>
      </rPr>
      <t xml:space="preserve">22/09/2023-OCL - SPROV: </t>
    </r>
    <r>
      <rPr>
        <sz val="11"/>
        <color rgb="FF000000"/>
        <rFont val="Arial Narrow"/>
        <family val="2"/>
      </rPr>
      <t xml:space="preserve"> Con base en la manifestación del proceso y la revisión de las siguientes evidencias:
- ANEXO. SEGUIMIENTO MENSUAL VR. AGOSTO, Correo_ Envío PAI JUNIO, Correo_ Seguimiento mensual metas PDD - Agosto y Matriz programación, seguimiento de metas y presupuesto 2023 - Junio (1), la OCI verifica le ejecución del control.</t>
    </r>
  </si>
  <si>
    <r>
      <t xml:space="preserve">19/05/2023 - OCL - RBL: De acuerdo con el seguimiento de la segunda línea de defensa y las evidencias aportadas; la OCI verifica la efectividad del control.
</t>
    </r>
    <r>
      <rPr>
        <b/>
        <sz val="11"/>
        <color theme="1"/>
        <rFont val="Arial Narrow"/>
        <family val="2"/>
      </rPr>
      <t xml:space="preserve">JAG SDF-SAPROV: </t>
    </r>
    <r>
      <rPr>
        <sz val="11"/>
        <color theme="1"/>
        <rFont val="Arial Narrow"/>
        <family val="2"/>
      </rPr>
      <t xml:space="preserve">Se evidencia la efectividad del control.
</t>
    </r>
    <r>
      <rPr>
        <b/>
        <sz val="11"/>
        <color theme="1"/>
        <rFont val="Arial Narrow"/>
        <family val="2"/>
      </rPr>
      <t xml:space="preserve">22/09/2023-OCL - SDF:  </t>
    </r>
    <r>
      <rPr>
        <sz val="11"/>
        <color theme="1"/>
        <rFont val="Arial Narrow"/>
        <family val="2"/>
      </rPr>
      <t xml:space="preserve">Con base en la revisión de las evidencias y la manifestación del proceso, la OCI verificó que el control fue efectivo.
</t>
    </r>
    <r>
      <rPr>
        <b/>
        <sz val="11"/>
        <color theme="1"/>
        <rFont val="Arial Narrow"/>
        <family val="2"/>
      </rPr>
      <t>22/09/2023-OCL - RBL</t>
    </r>
    <r>
      <rPr>
        <sz val="11"/>
        <color theme="1"/>
        <rFont val="Arial Narrow"/>
        <family val="2"/>
      </rPr>
      <t xml:space="preserve">:  Con base en la revisión de las evidencias y la manifestación del proceso, la OCI verificó que el control fue efectivo.
</t>
    </r>
    <r>
      <rPr>
        <b/>
        <sz val="11"/>
        <color theme="1"/>
        <rFont val="Arial Narrow"/>
        <family val="2"/>
      </rPr>
      <t xml:space="preserve">22/09/2023-OCL - SPROV:  </t>
    </r>
    <r>
      <rPr>
        <sz val="11"/>
        <color theme="1"/>
        <rFont val="Arial Narrow"/>
        <family val="2"/>
      </rPr>
      <t>Con base en la revisión de las evidencias y la manifestación del proceso, la OCI verificó que el control fue efectivo.</t>
    </r>
  </si>
  <si>
    <r>
      <t xml:space="preserve">19/05/2023 - OCL - RBL: N/A
JAG SDF-SAPROV: N/A
</t>
    </r>
    <r>
      <rPr>
        <b/>
        <sz val="11"/>
        <color theme="1"/>
        <rFont val="Arial Narrow"/>
        <family val="2"/>
      </rPr>
      <t>22/09/2023-OCL - SDF:  N/A
22/09/2023-OCL - RBL: N/A
22/09/2023-OCL - SPROV: N/A</t>
    </r>
  </si>
  <si>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</si>
  <si>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</si>
  <si>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</si>
  <si>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</si>
  <si>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</si>
  <si>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</si>
  <si>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</si>
  <si>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</si>
  <si>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</si>
  <si>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</si>
  <si>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</si>
  <si>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</si>
  <si>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</si>
  <si>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</si>
  <si>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</si>
  <si>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</si>
  <si>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</si>
  <si>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</si>
  <si>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</si>
  <si>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</si>
  <si>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</si>
  <si>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</si>
  <si>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Posibilidad del beneficio propio o de un tercero por la autorización  del pago de concesionarios, interventorías o contratistas sin el cumplimiento de las obligaciones contractuales, por debilidades en la supervisión</t>
  </si>
  <si>
    <t>Económico</t>
  </si>
  <si>
    <t>Autorización  del pago a los operadores o interventorías, sin el cumplimiento de las obligaciones contractuales,</t>
  </si>
  <si>
    <t>Debilidades en la supervisión.</t>
  </si>
  <si>
    <t>Fraude Interno</t>
  </si>
  <si>
    <t>Revisión de los informes de interventoría y elaboración del Informe de Supervisión y certificación de cumplimiento del Contrato</t>
  </si>
  <si>
    <t>MODERADO</t>
  </si>
  <si>
    <t>Fortalecer el registro de evidencias completas</t>
  </si>
  <si>
    <t>DIRECTAMENTE</t>
  </si>
  <si>
    <t>INDIRECTAMENTE</t>
  </si>
  <si>
    <t>Reducir</t>
  </si>
  <si>
    <t>Solicitar a la Subdirección de Asuntos Legales a través de Talento Humano una capacitación sobre supervisión a contratos.</t>
  </si>
  <si>
    <r>
      <rPr>
        <sz val="11"/>
        <color rgb="FF000000"/>
        <rFont val="Arial Narrow"/>
        <family val="2"/>
      </rPr>
      <t xml:space="preserve">22/01/2023
6/2/2023
03/03/2023
06/03/2023
</t>
    </r>
    <r>
      <rPr>
        <sz val="11"/>
        <color rgb="FF0070C0"/>
        <rFont val="Arial Narrow"/>
        <family val="2"/>
      </rPr>
      <t xml:space="preserve">07/03/2023
13-04-2023
</t>
    </r>
  </si>
  <si>
    <r>
      <rPr>
        <sz val="11"/>
        <color rgb="FF000000"/>
        <rFont val="Arial Narrow"/>
        <family val="2"/>
      </rPr>
      <t xml:space="preserve">SDF 22-01-2023: está pendiente el ingreso del personal para poder solicitar capacitación
SRBL 06/02/2023 Esta pendiente el ingreso de todo el personal para solictar la capacitación.
SDF 03-03-2023: Se solicita a TH la capacitación sobre supervisión de contratos.
SRBL 06/02/2023:  Se solicitó al Area de Talento Humano realizar una capacitación sobre supervisión de contratos. 
SRBL 10/04/2023  Se adjunta aprobación  para el pago del mes de  enero   de la Interventoría Proyeción Capital 
SRBL 10/04/2023 pendiente de la respuesta de Talento humano 
</t>
    </r>
    <r>
      <rPr>
        <b/>
        <sz val="11"/>
        <color rgb="FF0070C0"/>
        <rFont val="Arial Narrow"/>
        <family val="2"/>
      </rPr>
      <t xml:space="preserve">SAPROV: 07/03/2023: </t>
    </r>
    <r>
      <rPr>
        <sz val="11"/>
        <color rgb="FF0070C0"/>
        <rFont val="Arial Narrow"/>
        <family val="2"/>
      </rPr>
      <t xml:space="preserve">Mediante comunicación interna No. 20235000020103 del 23 de febrero se solicitó capacitación para personal de planta de la subdirección que apoya el tema de supervisión,  liquidación y pagos:  En espera de ingreso del personal de contrato para  pedir  programación de la capacitación a este personal.  Es de precisar que en el  Plan de Capacitación Institucional, se encuentra ya programada la Capacitación en Supervisión para el personal.
</t>
    </r>
    <r>
      <rPr>
        <b/>
        <sz val="11"/>
        <color rgb="FF000000"/>
        <rFont val="Arial Narrow"/>
        <family val="2"/>
      </rPr>
      <t>SDF 13-04-2023:</t>
    </r>
    <r>
      <rPr>
        <sz val="11"/>
        <color rgb="FF000000"/>
        <rFont val="Arial Narrow"/>
        <family val="2"/>
      </rPr>
      <t xml:space="preserve"> Se solicita a TH la capacitación sobre supervisión de contratos.</t>
    </r>
  </si>
  <si>
    <t xml:space="preserve">10/05/2023
10/05/2023
10/05/2023
13-06-2023
14-07-2023
27/07/2023
</t>
  </si>
  <si>
    <r>
      <rPr>
        <sz val="11"/>
        <color rgb="FF000000"/>
        <rFont val="Arial Narrow"/>
        <family val="2"/>
      </rPr>
      <t xml:space="preserve">SDF 10-05-2023: En el mes de abril se realizo la capacitacion 27-04-2023 se adjunta evidencia
SRBL 10-05-2023: En el mes de abril se realizó la capacitacion 27-04-2023 se adjunta evidencia
</t>
    </r>
    <r>
      <rPr>
        <b/>
        <sz val="11"/>
        <color rgb="FF000000"/>
        <rFont val="Arial Narrow"/>
        <family val="2"/>
      </rPr>
      <t xml:space="preserve">
</t>
    </r>
    <r>
      <rPr>
        <b/>
        <sz val="11"/>
        <color rgb="FF0070C0"/>
        <rFont val="Arial Narrow"/>
        <family val="2"/>
      </rPr>
      <t>S</t>
    </r>
    <r>
      <rPr>
        <b/>
        <sz val="11"/>
        <color rgb="FF366092"/>
        <rFont val="Arial Narrow"/>
        <family val="2"/>
      </rPr>
      <t xml:space="preserve">APROV: 10/05/2023 </t>
    </r>
    <r>
      <rPr>
        <sz val="11"/>
        <color rgb="FF366092"/>
        <rFont val="Arial Narrow"/>
        <family val="2"/>
      </rPr>
      <t xml:space="preserve">   La Subdirección de Asuntos Legales,  en coordinación  con  la Subdirección Administrativa y Financiera - Talento Humano,  el 27/04/2023,  adelantaron la  capacitación  sobre supervisión de contratos.  (se anexa archivo: registro  Capacitacion Abril_27 supervisión de contratos   se resalta en amarillo  los participantes   por parte de la SAPROV)
</t>
    </r>
    <r>
      <rPr>
        <sz val="11"/>
        <color rgb="FF000000"/>
        <rFont val="Arial Narrow"/>
        <family val="2"/>
      </rPr>
      <t xml:space="preserve">
SDF 13-06-2023: En el mes de abril se realizo la capacitacion 27-04-2023 se adjunta evidencia
SRBL 13-06-2023: En el mes de abril se realizó la capacitacion 27-04-2023 se adjunta evidencia
SDF 14-07-2023: resueto en el primer trimestre (se realizo la capacitacion 27-04-2023) se adjunta evidencia
SRBL 2707/2023: En el mes de abril se realizó la capacitacion 27-04-2023 
</t>
    </r>
  </si>
  <si>
    <r>
      <rPr>
        <sz val="11"/>
        <color rgb="FF000000"/>
        <rFont val="Arial Narrow"/>
      </rPr>
      <t xml:space="preserve">10/08/2023
08/09/2023
</t>
    </r>
    <r>
      <rPr>
        <sz val="11"/>
        <color rgb="FF4F81BD"/>
        <rFont val="Arial Narrow"/>
      </rPr>
      <t xml:space="preserve">11/08/2023
15/08/2023
</t>
    </r>
    <r>
      <rPr>
        <sz val="11"/>
        <color rgb="FF000000"/>
        <rFont val="Arial Narrow"/>
      </rPr>
      <t>14/09/2023
11/10/2023</t>
    </r>
  </si>
  <si>
    <r>
      <rPr>
        <sz val="11"/>
        <color rgb="FF000000"/>
        <rFont val="Arial Narrow"/>
        <family val="2"/>
      </rPr>
      <t xml:space="preserve">SRBL 10/08/2023 La actividad se cumplió en </t>
    </r>
    <r>
      <rPr>
        <b/>
        <sz val="11"/>
        <color rgb="FF000000"/>
        <rFont val="Arial Narrow"/>
        <family val="2"/>
      </rPr>
      <t xml:space="preserve">el segundo trimestre
SRBL 08/09/2023 La actividad se cumplió en el segundo trimestre
</t>
    </r>
    <r>
      <rPr>
        <b/>
        <sz val="11"/>
        <color rgb="FF4F81BD"/>
        <rFont val="Arial Narrow"/>
        <family val="2"/>
      </rPr>
      <t xml:space="preserve">SAPROV: 11/08/2023: </t>
    </r>
    <r>
      <rPr>
        <sz val="11"/>
        <color rgb="FF4F81BD"/>
        <rFont val="Arial Narrow"/>
        <family val="2"/>
      </rPr>
      <t xml:space="preserve">La actividad se cumplió en el 2do. trimestre
</t>
    </r>
    <r>
      <rPr>
        <b/>
        <sz val="11"/>
        <color rgb="FF4F81BD"/>
        <rFont val="Arial Narrow"/>
        <family val="2"/>
      </rPr>
      <t>SAPROV: 14/09/2023</t>
    </r>
    <r>
      <rPr>
        <sz val="11"/>
        <color rgb="FF4F81BD"/>
        <rFont val="Arial Narrow"/>
        <family val="2"/>
      </rPr>
      <t xml:space="preserve">: La actividad se cumplió en el 2do. trimestre
</t>
    </r>
    <r>
      <rPr>
        <sz val="11"/>
        <color rgb="FF000000"/>
        <rFont val="Arial Narrow"/>
        <family val="2"/>
      </rPr>
      <t xml:space="preserve">
SDF 15/08/2023: Se realiza actividad el 27 de abril de 2013
SDF 14/09/2023: Se realiza actividad el 27 de abril de 2013</t>
    </r>
  </si>
  <si>
    <r>
      <rPr>
        <sz val="11"/>
        <color rgb="FF000000"/>
        <rFont val="Arial Narrow"/>
      </rPr>
      <t xml:space="preserve">SDF 21/10/2023: Se realiza actividad el 27 de abril de 2023
SRBL 10/11/2023: La actividad se cumplió en el segundo trimestre.
</t>
    </r>
    <r>
      <rPr>
        <sz val="11"/>
        <color rgb="FF538DD5"/>
        <rFont val="Arial Narrow"/>
      </rPr>
      <t xml:space="preserve">SAPROV: 10/11/2023. La actividad se cumplió en el 2do. trimestre
SAPROV: 11/12/2023. La actividad se cumplió en el 2do. trimestre
SAPROV: 11/01/2024. La actividad se cumplió en el 2do. trimestre
</t>
    </r>
    <r>
      <rPr>
        <sz val="11"/>
        <color rgb="FF000000"/>
        <rFont val="Arial Narrow"/>
      </rPr>
      <t xml:space="preserve">SDF 20/11/2023: Se realiza actividad el 27 de abril de 2023
</t>
    </r>
    <r>
      <rPr>
        <sz val="11"/>
        <color rgb="FF538DD5"/>
        <rFont val="Arial Narrow"/>
      </rPr>
      <t xml:space="preserve">
</t>
    </r>
    <r>
      <rPr>
        <sz val="11"/>
        <color rgb="FF000000"/>
        <rFont val="Arial Narrow"/>
      </rPr>
      <t>SRBL 11/12/2023: La actividad se cumplió en el segundo trimestre.
SDF 12/12/2023: Se realiza actividad el 27 de abril de 2023
SRBL 10/01/2024: La actividad se cumplió en el segundo trimestre.
SDF 11/01/2024 Se realiza actividad el 27 de abril de 2023</t>
    </r>
  </si>
  <si>
    <r>
      <rPr>
        <sz val="11"/>
        <color rgb="FF000000"/>
        <rFont val="Arial Narrow"/>
        <family val="2"/>
      </rPr>
      <t xml:space="preserve">22/01/2023
06/02/2023
03/03/2023
06/032023
</t>
    </r>
    <r>
      <rPr>
        <sz val="11"/>
        <color rgb="FF0070C0"/>
        <rFont val="Arial Narrow"/>
        <family val="2"/>
      </rPr>
      <t>07/03/2023</t>
    </r>
  </si>
  <si>
    <r>
      <rPr>
        <b/>
        <sz val="11"/>
        <color rgb="FF000000"/>
        <rFont val="Arial Narrow"/>
        <family val="2"/>
      </rPr>
      <t>SDF 22-01-2023:</t>
    </r>
    <r>
      <rPr>
        <sz val="11"/>
        <color rgb="FF000000"/>
        <rFont val="Arial Narrow"/>
        <family val="2"/>
      </rPr>
      <t xml:space="preserve"> Se realiza verificación de informe de CGR -INTERVENTORIA para el mes de diciembre 2022 y su respectivo informe SMYC..
</t>
    </r>
    <r>
      <rPr>
        <b/>
        <sz val="11"/>
        <color rgb="FF000000"/>
        <rFont val="Arial Narrow"/>
        <family val="2"/>
      </rPr>
      <t xml:space="preserve">SRBL 6/02/2023 Se adjunta aprobación  para el pago del mes de diciembre  de la Interventoría Proyeción capital
</t>
    </r>
    <r>
      <rPr>
        <sz val="11"/>
        <color rgb="FF000000"/>
        <rFont val="Arial Narrow"/>
        <family val="2"/>
      </rPr>
      <t xml:space="preserve">
</t>
    </r>
    <r>
      <rPr>
        <b/>
        <sz val="11"/>
        <color rgb="FF000000"/>
        <rFont val="Arial Narrow"/>
        <family val="2"/>
      </rPr>
      <t xml:space="preserve">SDF 03-03-2023: </t>
    </r>
    <r>
      <rPr>
        <sz val="11"/>
        <color rgb="FF000000"/>
        <rFont val="Arial Narrow"/>
        <family val="2"/>
      </rPr>
      <t xml:space="preserve">Se realiza verificación de informe de CGR -INTERVENTORIA para el mes de enero y su respectivo informe SMYC..
</t>
    </r>
    <r>
      <rPr>
        <b/>
        <sz val="11"/>
        <color rgb="FF000000"/>
        <rFont val="Arial Narrow"/>
        <family val="2"/>
      </rPr>
      <t xml:space="preserve">SRBL 06/03/2023  Se adjunta aprobación  para el pago del mes de  enero   de la Interventoría Proyeción Capital 
SRBL 10/04/2023  Se adjunta aprobación  para el pago del mes de  febrero  de la Interventoría Proyeción Capital 
</t>
    </r>
    <r>
      <rPr>
        <b/>
        <sz val="11"/>
        <color rgb="FF0070C0"/>
        <rFont val="Arial Narrow"/>
        <family val="2"/>
      </rPr>
      <t>SAPROV: 07/03/2023</t>
    </r>
    <r>
      <rPr>
        <sz val="11"/>
        <color rgb="FF0070C0"/>
        <rFont val="Arial Narrow"/>
        <family val="2"/>
      </rPr>
      <t xml:space="preserve">: Se tiene a cargo la supervisión del CONTRATO DE INTERVENTORIA N° UAESP-517-2022 CELEBRADO ENTRE LA UNIDAD
ADMINISTRATIVA ESPECIAL DE SERVICIOS PÚBLICOS – UAESP Y CONSTRUCCIONES E 
INVERSIONES LJ S.A.S,  Se cuenta  con un  informe de interventoria correspondiente al mes de enero, a la fecha no se han  realizado pagos, por tanto no se tiene informes de Supervisión y certificacion de Cumplimiento. 
</t>
    </r>
    <r>
      <rPr>
        <sz val="11"/>
        <color rgb="FF000000"/>
        <rFont val="Arial Narrow"/>
        <family val="2"/>
      </rPr>
      <t xml:space="preserve">
</t>
    </r>
    <r>
      <rPr>
        <b/>
        <sz val="11"/>
        <color rgb="FF000000"/>
        <rFont val="Arial Narrow"/>
        <family val="2"/>
      </rPr>
      <t xml:space="preserve"> SDF 13-04-2023:</t>
    </r>
    <r>
      <rPr>
        <sz val="11"/>
        <color rgb="FF000000"/>
        <rFont val="Arial Narrow"/>
        <family val="2"/>
      </rPr>
      <t xml:space="preserve"> Se realiza verificación de informe de CGR -INTERVENTORIA para el mes de febrero y su respectivo informe SMYC. </t>
    </r>
  </si>
  <si>
    <t>Subdirector de Disposición Final
Subdirector de Recolección, Barrido y Limpieza</t>
  </si>
  <si>
    <t>Correo de solicitud</t>
  </si>
  <si>
    <t>10/05/2023
10/05/2023
13/06/2023
14/07/2023
27/07/2023</t>
  </si>
  <si>
    <r>
      <rPr>
        <sz val="11"/>
        <color rgb="FF000000"/>
        <rFont val="Arial Narrow"/>
        <family val="2"/>
      </rPr>
      <t xml:space="preserve">SDF 10-05-2023: en abril se realiza verificación del mes de marzo para CGR e interventoria.
SRBL 10/05/2023 Se adjunta aprobación para el pago del mes de marzo de la interventoria proyección Capital 
</t>
    </r>
    <r>
      <rPr>
        <b/>
        <sz val="11"/>
        <color rgb="FF366092"/>
        <rFont val="Arial Narrow"/>
        <family val="2"/>
      </rPr>
      <t>SAPROV: 10/05/2023</t>
    </r>
    <r>
      <rPr>
        <sz val="11"/>
        <color rgb="FF366092"/>
        <rFont val="Arial Narrow"/>
        <family val="2"/>
      </rPr>
      <t xml:space="preserve"> Con  Relación al contrato de Interventoria No. 517 de 2022,  a la fecha  no se ha generado  pagos, por tanto  no se  cuenta   con   informe  de  supervisión  y certificación de  cumplimiento para el periodo</t>
    </r>
    <r>
      <rPr>
        <sz val="11"/>
        <color rgb="FF000000"/>
        <rFont val="Arial Narrow"/>
        <family val="2"/>
      </rPr>
      <t xml:space="preserve">.
SDF 13-06-2023: en mayo se realiza verificación del mes de abril para CGR e interventoria.
SRBL 13/06/2023 Se adjunta aprobación para el pago del mes de abril de la interventoria proyección Capital e informe de interventoría.
SDF 14-07-2023: en junio se realiza realiza verificación del mes de mayo para CGR e interventoria.
SRBL 27/07/2023 Se adjunta aprobación para el pago del mes de mayo de la interventoria proyección Capital e informe de interventoría.
</t>
    </r>
  </si>
  <si>
    <t>Subdirector de Disposición Final
Subdirector de Recoelcción, Barrido y Limpieza</t>
  </si>
  <si>
    <t>informes SYC pendiente publicación
SRBL oficios aprobando pago de interventoría proyección Capital e informe de interventoría</t>
  </si>
  <si>
    <t>10/08/2023
08/09/2023
11/08/2023
15/08/2023
14/09/2023
11/10/2023</t>
  </si>
  <si>
    <r>
      <rPr>
        <sz val="11"/>
        <color rgb="FF000000"/>
        <rFont val="Arial Narrow"/>
      </rPr>
      <t xml:space="preserve">SRBL 10/08/2023 Se adjunta aprobación de pago para junio a la interventoría Proyección Capital y se adjunta informe de junio
</t>
    </r>
    <r>
      <rPr>
        <b/>
        <sz val="11"/>
        <color rgb="FF4F81BD"/>
        <rFont val="Arial Narrow"/>
      </rPr>
      <t xml:space="preserve">
</t>
    </r>
    <r>
      <rPr>
        <sz val="11"/>
        <color rgb="FF000000"/>
        <rFont val="Arial Narrow"/>
      </rPr>
      <t xml:space="preserve">SRBL 08/09/2023 Se adjunta aprobación de pago para julio a la interventoría Proyección Capital y se adjunta informe de julio
</t>
    </r>
    <r>
      <rPr>
        <b/>
        <sz val="11"/>
        <color rgb="FF4F81BD"/>
        <rFont val="Arial Narrow"/>
      </rPr>
      <t xml:space="preserve">
SAPROV: 11/08/2023:</t>
    </r>
    <r>
      <rPr>
        <sz val="11"/>
        <color rgb="FF4F81BD"/>
        <rFont val="Arial Narrow"/>
      </rPr>
      <t xml:space="preserve">  Con relación al contrato  517 de 2022 , se realizo la revisión de los informes  da los cuales  se realizaron algunas observaciones  por esta entidad.
 Como evidencia se cuenta con las actas de comité de los contratos , en las que se relacionan dichas modificaciones  (Anexo actas comites de obra).    
Se anexa la  aprobación de pago corrspondientes  al periodo 2 de mayo 2022 a 31 de agosto 2022, donde   se registra   el informe  y certificación de cumplimiento  Para el periódo objeto de pago.
</t>
    </r>
    <r>
      <rPr>
        <b/>
        <sz val="11"/>
        <color rgb="FF4F81BD"/>
        <rFont val="Arial Narrow"/>
      </rPr>
      <t xml:space="preserve">SAPROV 14/09/2023: </t>
    </r>
    <r>
      <rPr>
        <sz val="11"/>
        <color rgb="FF4F81BD"/>
        <rFont val="Arial Narrow"/>
      </rPr>
      <t xml:space="preserve">En el mes de agosto se ha realizado el seguimiento al contrato 516 de 2022 por medio del contrato de interventoria, de acuerdo con el reporte se cuenta con un avance del 76%. Se anexa el informe de los contratos. 
</t>
    </r>
    <r>
      <rPr>
        <sz val="11"/>
        <color rgb="FF000000"/>
        <rFont val="Arial Narrow"/>
      </rPr>
      <t xml:space="preserve">
SDF 15/08/2023 En el mes de julio se realiza verificaciòn del mes de junio para CGR e interventoria</t>
    </r>
    <r>
      <rPr>
        <sz val="11"/>
        <color rgb="FF4F81BD"/>
        <rFont val="Arial Narrow"/>
      </rPr>
      <t xml:space="preserve">.
</t>
    </r>
    <r>
      <rPr>
        <sz val="11"/>
        <color rgb="FF000000"/>
        <rFont val="Arial Narrow"/>
      </rPr>
      <t>SDF 14/09/2023 En el mes de agosto se realiza verificaciòn del mes de julio para CGR e interventoria</t>
    </r>
    <r>
      <rPr>
        <sz val="11"/>
        <color rgb="FF4F81BD"/>
        <rFont val="Arial Narrow"/>
      </rPr>
      <t xml:space="preserve">.
</t>
    </r>
    <r>
      <rPr>
        <sz val="11"/>
        <color rgb="FF000000"/>
        <rFont val="Arial Narrow"/>
      </rPr>
      <t xml:space="preserve">SRBL 11/10/2023 Se aprobó por partde del supervisor el pago de agosto a la interventoría del servicio de aseo, Consorcio Proyección Capital. SE revisó el informe de agosto presentado por la Interventoría. </t>
    </r>
  </si>
  <si>
    <t>Subdirector de RBL
Subdirector de DF
SAPROV</t>
  </si>
  <si>
    <r>
      <rPr>
        <sz val="11"/>
        <color rgb="FF000000"/>
        <rFont val="Arial Narrow"/>
      </rPr>
      <t xml:space="preserve">
SRBL Oficios aprobando pago de interventoría e informe mensual de interventoría
</t>
    </r>
    <r>
      <rPr>
        <b/>
        <sz val="11"/>
        <color rgb="FF4F81BD"/>
        <rFont val="Arial Narrow"/>
      </rPr>
      <t>SAPROV</t>
    </r>
    <r>
      <rPr>
        <sz val="11"/>
        <color rgb="FF4F81BD"/>
        <rFont val="Arial Narrow"/>
      </rPr>
      <t xml:space="preserve">:  1. actas comites de obra
2. Aprobación de pago corrspondientes  al periodo:  2 de mayo 2022 a 31 de agosto 2022, donde   se registra   el informe  y certificación de cumplimiento  para l periódo objeto de pago.
SAPROV:  1
</t>
    </r>
  </si>
  <si>
    <r>
      <rPr>
        <b/>
        <sz val="11"/>
        <color rgb="FF000000"/>
        <rFont val="Arial Narrow"/>
      </rPr>
      <t>21/10/2023 SDF</t>
    </r>
    <r>
      <rPr>
        <sz val="11"/>
        <color rgb="FF000000"/>
        <rFont val="Arial Narrow"/>
      </rPr>
      <t xml:space="preserve"> En el mes de septiembre se reliza la verificación del mes de agosto par CGR e interventoria
SRBL 10-11-2023 En octubre se aprobó por parte del supervisor el pago de septiembre a la interventoría del servicio de aseo, Consorcio proyección Capital. Se revisó el informe de interventoría del mes de septiembre 
</t>
    </r>
    <r>
      <rPr>
        <b/>
        <sz val="11"/>
        <color rgb="FF538DD5"/>
        <rFont val="Arial Narrow"/>
      </rPr>
      <t>SAPROV 10/11/2023:</t>
    </r>
    <r>
      <rPr>
        <sz val="11"/>
        <color rgb="FF538DD5"/>
        <rFont val="Arial Narrow"/>
      </rPr>
      <t xml:space="preserve">  El contrato de interventoría  517 de 2022 se encuentra en periodo de liquidación del contrato de obra, luego que finalizara el pasado 01 de octubre de 2023, este tiempo de liquidación se tiene definido en cronograma</t>
    </r>
    <r>
      <rPr>
        <sz val="11"/>
        <color rgb="FF4F81BD"/>
        <rFont val="Arial Narrow"/>
      </rPr>
      <t xml:space="preserve"> hasta el 16 de noviembre del 2023.
</t>
    </r>
    <r>
      <rPr>
        <b/>
        <sz val="11"/>
        <color rgb="FF4F81BD"/>
        <rFont val="Arial Narrow"/>
      </rPr>
      <t>SAPROV 11/12/2023:</t>
    </r>
    <r>
      <rPr>
        <sz val="11"/>
        <color rgb="FF4F81BD"/>
        <rFont val="Arial Narrow"/>
      </rPr>
      <t xml:space="preserve"> El contrato finalizo satisfactoriamente el pasado 16 de noviembre de 2023, y en la actualidad se encuentra en periodo de liquidación.
SSAPROV 11/01/20234: El contrato finalizo satisfactoriamente el pasado 16 de noviembre de 2023, y en la actualidad se encuentra en periodo de liquidación.  se cuenta  con los informes  debidamente revisados, firmados y publicados en el SECOP
 Link :   https://community.secop.gov.co/Public/Tendering/OpportunityDetail/Index?noticeUID=CO1.NTC.2483833&amp;isFromPublicArea=True&amp;isModal=False
</t>
    </r>
    <r>
      <rPr>
        <sz val="11"/>
        <color rgb="FF000000"/>
        <rFont val="Arial Narrow"/>
      </rPr>
      <t xml:space="preserve">20/11/2023 SDF En el mes de octubre se reliza la verificación del mes de septiembre para CGR e interventoria
</t>
    </r>
    <r>
      <rPr>
        <sz val="11"/>
        <color rgb="FF4F81BD"/>
        <rFont val="Arial Narrow"/>
      </rPr>
      <t xml:space="preserve">
</t>
    </r>
    <r>
      <rPr>
        <sz val="11"/>
        <color rgb="FF000000"/>
        <rFont val="Arial Narrow"/>
      </rPr>
      <t xml:space="preserve">SRBL 11-12-2023 En noviembre se aprobó por parte del supervisor el pago de octubre a la interventoría del servicio de aseo, Consorcio proyección Capital. Se revisó el informe de interventoría del mes de octubre
12/12/2023 SDF En el mes de noviembre se reliza la verificación del mes de octubre para CGR e interventoria
SRBL 10-01-2024 En diciembre se aprobó por parte del supervisor el pago de noviembre a la interventoría del servicio de aseo, Consorcio proyección Capital. Se revisó el informe de interventoría del mes de noviembre
11/01/2024 SDF En el mes de diciembre se reliza la verificación del mes de noviembre para CGR e interventoria
</t>
    </r>
  </si>
  <si>
    <t>Subdirector de Disposición Final
Subdirector de RBL</t>
  </si>
  <si>
    <r>
      <rPr>
        <sz val="11"/>
        <color rgb="FF000000"/>
        <rFont val="Arial Narrow"/>
      </rPr>
      <t xml:space="preserve">SRBL informe de interventoría, oficios de aprobación. 
</t>
    </r>
    <r>
      <rPr>
        <sz val="11"/>
        <color rgb="FF0070C0"/>
        <rFont val="Arial Narrow"/>
      </rPr>
      <t xml:space="preserve">SAPROV: Actas de recibo de obra.
Informes  supervisión
Informes publicados Secop II. Link 
https://community.secop.gov.co/Public/Tendering/OpportunityDetail/Index?noticeUID=CO1.NTC.2483833&amp;isFromPublicArea=True&amp;isModal=False
</t>
    </r>
  </si>
  <si>
    <t xml:space="preserve">Solicitud de suspensión de actividades del servedor involucrado durante las etapas de investigación </t>
  </si>
  <si>
    <t>11/05/2023
12/09/2023
11/01/2024</t>
  </si>
  <si>
    <r>
      <rPr>
        <b/>
        <sz val="12"/>
        <color rgb="FF000000"/>
        <rFont val="Arial Narrow"/>
      </rPr>
      <t>JAG-SAPROV:</t>
    </r>
    <r>
      <rPr>
        <sz val="12"/>
        <color rgb="FF000000"/>
        <rFont val="Arial Narrow"/>
      </rPr>
      <t xml:space="preserve"> No se evidencia la ejecución del control, puesto que solo se adjunta el informe de interventoría y no la revisión del proceso.
</t>
    </r>
    <r>
      <rPr>
        <b/>
        <sz val="12"/>
        <color rgb="FF000000"/>
        <rFont val="Arial Narrow"/>
      </rPr>
      <t xml:space="preserve">JAG-SDF: </t>
    </r>
    <r>
      <rPr>
        <sz val="12"/>
        <color rgb="FF000000"/>
        <rFont val="Arial Narrow"/>
      </rPr>
      <t xml:space="preserve">En el enlace reportado por el proceso no aparece ningún informe de supervisión.
</t>
    </r>
    <r>
      <rPr>
        <b/>
        <sz val="12"/>
        <color rgb="FF000000"/>
        <rFont val="Arial Narrow"/>
      </rPr>
      <t xml:space="preserve">11/05/2023 OCL - SRBL: </t>
    </r>
    <r>
      <rPr>
        <sz val="12"/>
        <color rgb="FF000000"/>
        <rFont val="Arial Narrow"/>
      </rPr>
      <t xml:space="preserve">De acuerdo con la revisión de las siguientes evidencias "Remisión de factura" de los meses de enero, febrero y abril correspondientes a:
1.  Proambiental 2. Lime. 3. Ciudad Limpia. 4. Bogotá Limpia. 5. Área Limpia. 6. Fiduciaria 7.  Plan de Supervisión Monitoreo y Control SEGUIMIENTO  ABRIL 2023
</t>
    </r>
    <r>
      <rPr>
        <b/>
        <sz val="12"/>
        <color rgb="FF000000"/>
        <rFont val="Arial Narrow"/>
      </rPr>
      <t xml:space="preserve"> </t>
    </r>
    <r>
      <rPr>
        <sz val="12"/>
        <color rgb="FF000000"/>
        <rFont val="Arial Narrow"/>
      </rPr>
      <t xml:space="preserve">La OCI, no puede verificar el cumplimiento del contro, debido a que el proceso adjunta la remisión de la factura, el plan de supervisión  y no el informe de supervisión. 
Recomendación: La OCI, recomienda aportar las evidencias estipuladas en el control.
</t>
    </r>
    <r>
      <rPr>
        <b/>
        <sz val="12"/>
        <color rgb="FF000000"/>
        <rFont val="Arial Narrow"/>
      </rPr>
      <t>12/09/2023 - OCL Segundo Trimestre - SAPROV</t>
    </r>
    <r>
      <rPr>
        <sz val="12"/>
        <color rgb="FF000000"/>
        <rFont val="Arial Narrow"/>
      </rPr>
      <t xml:space="preserve">:  Para este periodo el proceso realizó la siguiente manifestación: "SAPROV: 10/05/2023 Con  Relación al contrato de Interventoría No. 517 de 2022,  a la fecha  no se ha generado  pagos, por tanto  no se  cuenta   con   informe  de  supervisión  y certificación de  cumplimiento para el periodo."
Nota: la OCI recomienda cargar las evidencias, de acuerdo con los criterios de calidad y oportunidad establecidos
</t>
    </r>
    <r>
      <rPr>
        <b/>
        <sz val="12"/>
        <color rgb="FF000000"/>
        <rFont val="Arial Narrow"/>
      </rPr>
      <t>12/09/2023 - OCL Tercer Trimestre - SAPROV:</t>
    </r>
    <r>
      <rPr>
        <sz val="12"/>
        <color rgb="FF000000"/>
        <rFont val="Arial Narrow"/>
      </rPr>
      <t xml:space="preserve">  Con balse en la revisión de las siguientes evidencias:
- 35. ACTA DE COMITE 35 27-06-23_OK, 36. ACTA DE COMITE 36 06-07-23 (1), Contrato 517_informe cert Cumplimiento. La OCI, verificó el cumplimiento del control.
</t>
    </r>
    <r>
      <rPr>
        <b/>
        <sz val="12"/>
        <color rgb="FF000000"/>
        <rFont val="Arial Narrow"/>
      </rPr>
      <t>12/09/2023 - OCL Segundo Trimestre - SDF:</t>
    </r>
    <r>
      <rPr>
        <sz val="12"/>
        <color rgb="FF000000"/>
        <rFont val="Arial Narrow"/>
      </rPr>
      <t xml:space="preserve">  Con base en la revisión de las siguientes evidencias:
-  "PUBLICCION DE INFORMES SDF.docx" el cual remite al siguiente enlace: https://www.uaesp.gov.co/content/informes-supervision-disposicion-final, la OCI verifica el cargue del informe de supervisión y control correspondiente de los meses de: enero a junio de 2023
</t>
    </r>
    <r>
      <rPr>
        <b/>
        <sz val="12"/>
        <color rgb="FF000000"/>
        <rFont val="Arial Narrow"/>
      </rPr>
      <t>12/09/2023 - OCL Tercer Trimestre - SDF</t>
    </r>
    <r>
      <rPr>
        <sz val="12"/>
        <color rgb="FF000000"/>
        <rFont val="Arial Narrow"/>
      </rPr>
      <t xml:space="preserve">:  De acuerdo con la revisión del siguiente enlace: https://www.uaesp.gov.co/content/informes-supervision-disposicion-final, la OCI no pudo verificar el cargue de los informes correspondientes a los meses de Julio - Agosto 2023.
Nota: La OCI, recomienda al proceso cargar las evidencias y realizar seguimiento de acuerdo con los criterios de oportunidad y calidad establecidos.
</t>
    </r>
    <r>
      <rPr>
        <b/>
        <sz val="12"/>
        <color rgb="FF000000"/>
        <rFont val="Arial Narrow"/>
      </rPr>
      <t>12/09/2023 JAG-RBL</t>
    </r>
    <r>
      <rPr>
        <sz val="12"/>
        <color rgb="FF000000"/>
        <rFont val="Arial Narrow"/>
      </rPr>
      <t xml:space="preserve">: No se puede evidenciar el cumplimiento del control, porque indica que se debe revisar el informe de supervisión y no hay evidencia, se debe elaborar el informe de supervisión y no hay evidencia y se debe elaborar la certificación de cumplimiento y no se cuenta con la evidencia. Se debe fortalecer la evidencia o el reporte indicando como se aseguran de cumplir con las acciones de control.
</t>
    </r>
    <r>
      <rPr>
        <b/>
        <sz val="12"/>
        <color rgb="FF000000"/>
        <rFont val="Arial Narrow"/>
      </rPr>
      <t>11/01/2024 - JGS Cuarto Trimestre - SRBL:</t>
    </r>
    <r>
      <rPr>
        <sz val="12"/>
        <color rgb="FF000000"/>
        <rFont val="Arial Narrow"/>
      </rPr>
      <t xml:space="preserve"> Dentro de las evidencias se encontraron tres carpetas correspondientes a los meses de octubre, noviembre y diciembre de 2023, las cuales contienen el Informe de Interventoría para los meses de septiembre, octubre y noviembre respectivamente, así como los radicados de la remisión de facturas dirigidos a cada uno de los cinco concesionarios y a Credicorp Capital Fiduciaria S.A. No se puede evidenciar el cumplimiento del control, toda vez que dentro de las evidencias aportadas no se encontró la documentación concerniente al Informe de Supervisión ni la Certificación de cumplimiento. La OCI recomienda al proceso, realizar el cargue de la información conforme a lo establecido dentro del control.
</t>
    </r>
    <r>
      <rPr>
        <b/>
        <sz val="12"/>
        <color rgb="FF000000"/>
        <rFont val="Arial Narrow"/>
      </rPr>
      <t>11/01/2024 - JGS Cuarto Trimestre - SDF:</t>
    </r>
    <r>
      <rPr>
        <sz val="12"/>
        <color rgb="FF000000"/>
        <rFont val="Arial Narrow"/>
      </rPr>
      <t xml:space="preserve"> A partir del enlace suministrado por la Subdirección de Disposición Final, se encontró el cargue de los Informes de Supervisión y Control hasta el mes de octubre de 2023, estando pendientes los de los meses de noviembre y diciembre de 2023.
</t>
    </r>
    <r>
      <rPr>
        <b/>
        <sz val="12"/>
        <color rgb="FF000000"/>
        <rFont val="Arial Narrow"/>
      </rPr>
      <t>11/01/2024 - Cuarto Trimestre - SAPROV:</t>
    </r>
    <r>
      <rPr>
        <sz val="12"/>
        <color rgb="FF000000"/>
        <rFont val="Arial Narrow"/>
      </rPr>
      <t xml:space="preserve"> El proceso describe para los meses de noviembre y diciembre de 2023, que el Contrato se encuentra en período de liquidación. Como evidencia, el proceso suministró el "Acta de recibimiento de obra del Contrato UAESP 516 de 2022" por parte de la Interventoría, con fecha del 1 de octubre de 2023, documento en el que se hace la aclaración  que queda pendiente la entrega de 2 ítems por parte del contratista. Así mismo, el proceso aportó el Acta de recibido por parte de la Interventoría de estos dos ítems, así como un documento denominado "Acta de recibo de obra", el cual consta de una tabla con la descripción de cada una de las intervenciones realizadas dentro del marco del contrato de obra. Finalmente, el proceso aportó el enlace para la verificación de la documentación en la plataforma del SECOP. La OCI evidencia el cumplimiento del control.</t>
    </r>
  </si>
  <si>
    <r>
      <rPr>
        <b/>
        <sz val="12"/>
        <color rgb="FF000000"/>
        <rFont val="Arial Narrow"/>
      </rPr>
      <t>JAG-SAPROV:</t>
    </r>
    <r>
      <rPr>
        <sz val="12"/>
        <color rgb="FF000000"/>
        <rFont val="Arial Narrow"/>
      </rPr>
      <t xml:space="preserve"> No se puede evaluar la efectividad del control, porque no se cuenta con la evidencia suficiente. 
</t>
    </r>
    <r>
      <rPr>
        <b/>
        <sz val="12"/>
        <color rgb="FF000000"/>
        <rFont val="Arial Narrow"/>
      </rPr>
      <t xml:space="preserve">JAG-SDF: </t>
    </r>
    <r>
      <rPr>
        <sz val="12"/>
        <color rgb="FF000000"/>
        <rFont val="Arial Narrow"/>
      </rPr>
      <t xml:space="preserve">No se puede evaluar la efectividad del control, porque no se cuenta con la evidencia suficiente. 
</t>
    </r>
    <r>
      <rPr>
        <b/>
        <sz val="12"/>
        <color rgb="FF000000"/>
        <rFont val="Arial Narrow"/>
      </rPr>
      <t>11/05/2023 OCL - SRBL:</t>
    </r>
    <r>
      <rPr>
        <sz val="12"/>
        <color rgb="FF000000"/>
        <rFont val="Arial Narrow"/>
      </rPr>
      <t xml:space="preserve"> La OCI no puede verificar la efectividad del control, toda vez que la evidencia no apuntan a la ejecución del control.
</t>
    </r>
    <r>
      <rPr>
        <b/>
        <sz val="12"/>
        <color rgb="FF000000"/>
        <rFont val="Arial Narrow"/>
      </rPr>
      <t>12/09/2023 - OCL Segundo Trimestre - SAPROV:</t>
    </r>
    <r>
      <rPr>
        <sz val="12"/>
        <color rgb="FF000000"/>
        <rFont val="Arial Narrow"/>
      </rPr>
      <t xml:space="preserve"> Para este periodo la OCI no puede verificar la ejecución del control.
</t>
    </r>
    <r>
      <rPr>
        <b/>
        <sz val="12"/>
        <color rgb="FF000000"/>
        <rFont val="Arial Narrow"/>
      </rPr>
      <t>12/09/2023 - OCL, Tercer Trimestre - SAPROV:</t>
    </r>
    <r>
      <rPr>
        <sz val="12"/>
        <color rgb="FF000000"/>
        <rFont val="Arial Narrow"/>
      </rPr>
      <t xml:space="preserve"> Para este periodo la OCI, no puede verificar el control.
</t>
    </r>
    <r>
      <rPr>
        <b/>
        <sz val="12"/>
        <color rgb="FF000000"/>
        <rFont val="Arial Narrow"/>
      </rPr>
      <t>12/09/2023 - OCL Segundo Trimestre - SDF:</t>
    </r>
    <r>
      <rPr>
        <sz val="12"/>
        <color rgb="FF000000"/>
        <rFont val="Arial Narrow"/>
      </rPr>
      <t xml:space="preserve"> Para este periodo la OCI verifica la ejecución del control.
</t>
    </r>
    <r>
      <rPr>
        <b/>
        <sz val="12"/>
        <color rgb="FF000000"/>
        <rFont val="Arial Narrow"/>
      </rPr>
      <t xml:space="preserve">12/09/2023 - OCL, Tercer Trimestre - SDF: </t>
    </r>
    <r>
      <rPr>
        <sz val="12"/>
        <color rgb="FF000000"/>
        <rFont val="Arial Narrow"/>
      </rPr>
      <t xml:space="preserve">Para este periodo la OCI, no puede verificar el control.
</t>
    </r>
    <r>
      <rPr>
        <b/>
        <sz val="12"/>
        <color rgb="FF000000"/>
        <rFont val="Arial Narrow"/>
      </rPr>
      <t>12/09/2023 JAG-RBL:</t>
    </r>
    <r>
      <rPr>
        <sz val="12"/>
        <color rgb="FF000000"/>
        <rFont val="Arial Narrow"/>
      </rPr>
      <t xml:space="preserve"> La OCI no puede verificar la efectividad del control, toda vez que la evidencia no apuntan a la ejecución del control.
</t>
    </r>
    <r>
      <rPr>
        <b/>
        <sz val="12"/>
        <color rgb="FF000000"/>
        <rFont val="Arial Narrow"/>
      </rPr>
      <t>11/01/2024 JGS - RBL:</t>
    </r>
    <r>
      <rPr>
        <sz val="12"/>
        <color rgb="FF000000"/>
        <rFont val="Arial Narrow"/>
      </rPr>
      <t xml:space="preserve"> La OCI no puede verificar la efectividad del control, toda vez que la evidencia aportada por el proceso no soporta la ejecución del control.
</t>
    </r>
    <r>
      <rPr>
        <b/>
        <sz val="12"/>
        <color rgb="FF000000"/>
        <rFont val="Arial Narrow"/>
      </rPr>
      <t>11/01/2024 JGS - SDF:</t>
    </r>
    <r>
      <rPr>
        <sz val="12"/>
        <color rgb="FF000000"/>
        <rFont val="Arial Narrow"/>
      </rPr>
      <t xml:space="preserve"> La OCI no puede verificar la efectividad del control.
</t>
    </r>
    <r>
      <rPr>
        <b/>
        <sz val="12"/>
        <color rgb="FF000000"/>
        <rFont val="Arial Narrow"/>
      </rPr>
      <t>11/01/2024 JGS - SAPROV:</t>
    </r>
    <r>
      <rPr>
        <sz val="12"/>
        <color rgb="FF000000"/>
        <rFont val="Arial Narrow"/>
      </rPr>
      <t xml:space="preserve"> La OCI verifica la efectividad del control.</t>
    </r>
  </si>
  <si>
    <r>
      <rPr>
        <b/>
        <sz val="12"/>
        <color rgb="FF000000"/>
        <rFont val="Arial Narrow"/>
      </rPr>
      <t>JAG-SAPROV:</t>
    </r>
    <r>
      <rPr>
        <sz val="12"/>
        <color rgb="FF000000"/>
        <rFont val="Arial Narrow"/>
      </rPr>
      <t xml:space="preserve"> El proceso cumplió con la actividad propuesta de realizar la capacitación sobre supervisión a contratos
</t>
    </r>
    <r>
      <rPr>
        <b/>
        <sz val="12"/>
        <color rgb="FF000000"/>
        <rFont val="Arial Narrow"/>
      </rPr>
      <t xml:space="preserve">JAG-SDF: </t>
    </r>
    <r>
      <rPr>
        <sz val="12"/>
        <color rgb="FF000000"/>
        <rFont val="Arial Narrow"/>
      </rPr>
      <t xml:space="preserve">Se cumplió con la actividad propuesta de realizar la capacitación sobre supervisión a contratos
</t>
    </r>
    <r>
      <rPr>
        <b/>
        <sz val="12"/>
        <color rgb="FF000000"/>
        <rFont val="Arial Narrow"/>
      </rPr>
      <t>11/05/2023 - OCL - SRBL:</t>
    </r>
    <r>
      <rPr>
        <sz val="12"/>
        <color rgb="FF000000"/>
        <rFont val="Arial Narrow"/>
      </rPr>
      <t xml:space="preserve"> De acuerdo con la revisión de las siguientes evidencias: 
1. RV SOLICITUD DE CAPACITACIÓN DE CONTRATOS 29-03-2023
2. SOLICITUD DE CAPACITACION DE CONTRATOS 03-03-2023
3. Abril_27 supervisión de contratos (1)
La OCI, verifica la ejecución de la acción.
</t>
    </r>
    <r>
      <rPr>
        <b/>
        <sz val="12"/>
        <color rgb="FF000000"/>
        <rFont val="Arial Narrow"/>
      </rPr>
      <t>12/09/2023 - OCL Segundo Trimestre - SAPROV:</t>
    </r>
    <r>
      <rPr>
        <sz val="12"/>
        <color rgb="FF000000"/>
        <rFont val="Arial Narrow"/>
      </rPr>
      <t xml:space="preserve"> Con base en las evidencias aportadas la OCI verifica la ejecución de la acción.
</t>
    </r>
    <r>
      <rPr>
        <b/>
        <sz val="12"/>
        <color rgb="FF000000"/>
        <rFont val="Arial Narrow"/>
      </rPr>
      <t>12/09/2023 - OCL, Tercer Trimestre - SAPROV:</t>
    </r>
    <r>
      <rPr>
        <sz val="12"/>
        <color rgb="FF000000"/>
        <rFont val="Arial Narrow"/>
      </rPr>
      <t xml:space="preserve"> La OCI evidencia el cumplimiento de la actividad en el segundo trimestre del año
</t>
    </r>
    <r>
      <rPr>
        <b/>
        <sz val="12"/>
        <color rgb="FF000000"/>
        <rFont val="Arial Narrow"/>
      </rPr>
      <t>12/09/2023 - OCL Segundo Trimestre - SDF:</t>
    </r>
    <r>
      <rPr>
        <sz val="12"/>
        <color rgb="FF000000"/>
        <rFont val="Arial Narrow"/>
      </rPr>
      <t xml:space="preserve"> Con base en las evidencias aportadas la OCI verídica la ejecución de la acción.
</t>
    </r>
    <r>
      <rPr>
        <b/>
        <sz val="12"/>
        <color rgb="FF000000"/>
        <rFont val="Arial Narrow"/>
      </rPr>
      <t>12/09/2023 - OCL, Tercer Trimestre - SDF:</t>
    </r>
    <r>
      <rPr>
        <sz val="12"/>
        <color rgb="FF000000"/>
        <rFont val="Arial Narrow"/>
      </rPr>
      <t xml:space="preserve"> La OCI evidencia el cumplimiento de la actividad en el segundo trimestre del año
</t>
    </r>
    <r>
      <rPr>
        <b/>
        <sz val="12"/>
        <color rgb="FF000000"/>
        <rFont val="Arial Narrow"/>
      </rPr>
      <t>12/09/2023 JAG-RBL</t>
    </r>
    <r>
      <rPr>
        <sz val="12"/>
        <color rgb="FF000000"/>
        <rFont val="Arial Narrow"/>
      </rPr>
      <t xml:space="preserve">: La OCI evidencia el cumplimiento de la actividad en el segundo trimestre del año
</t>
    </r>
    <r>
      <rPr>
        <b/>
        <sz val="12"/>
        <color rgb="FF000000"/>
        <rFont val="Arial Narrow"/>
      </rPr>
      <t xml:space="preserve">11/01/2024 JGS - RBL, SAPROV, SDF: </t>
    </r>
    <r>
      <rPr>
        <sz val="12"/>
        <color rgb="FF000000"/>
        <rFont val="Arial Narrow"/>
      </rPr>
      <t>La OCI evidencia el cumplimiento de la actividad en el segundo trimestre del año 2023.</t>
    </r>
  </si>
  <si>
    <t>Implementar y hacer el seguimiento al plan de supervisión monitoreo y control</t>
  </si>
  <si>
    <t xml:space="preserve">Presentar ante el comité contratación o quien haga sus veces el resultado del seguimiento al plan de supervisión </t>
  </si>
  <si>
    <r>
      <rPr>
        <b/>
        <sz val="11"/>
        <color rgb="FF000000"/>
        <rFont val="Arial Narrow"/>
        <family val="2"/>
      </rPr>
      <t xml:space="preserve">SDF 22-01-2023: </t>
    </r>
    <r>
      <rPr>
        <sz val="11"/>
        <color rgb="FF000000"/>
        <rFont val="Arial Narrow"/>
        <family val="2"/>
      </rPr>
      <t xml:space="preserve">en el mes de enero por disponibilidad de agenda del subdirector no es posible hacer sociabilización
</t>
    </r>
    <r>
      <rPr>
        <b/>
        <sz val="11"/>
        <color rgb="FF000000"/>
        <rFont val="Arial Narrow"/>
        <family val="2"/>
      </rPr>
      <t xml:space="preserve">
 SRBL 6/02/2023</t>
    </r>
    <r>
      <rPr>
        <sz val="11"/>
        <color rgb="FF000000"/>
        <rFont val="Arial Narrow"/>
        <family val="2"/>
      </rPr>
      <t xml:space="preserve"> Pendiente coordinar con la SAL la fecha de los comités de contratación para presentar los planes de Supervisión Y Control .
</t>
    </r>
    <r>
      <rPr>
        <b/>
        <sz val="11"/>
        <color rgb="FF000000"/>
        <rFont val="Arial Narrow"/>
        <family val="2"/>
      </rPr>
      <t xml:space="preserve">
SDF 01-02-2023</t>
    </r>
    <r>
      <rPr>
        <sz val="11"/>
        <color rgb="FF000000"/>
        <rFont val="Arial Narrow"/>
        <family val="2"/>
      </rPr>
      <t xml:space="preserve">: Se socializa Plan de supervision monitoreo y control con la SDF y validacion de los lideres y Subdirector.
</t>
    </r>
    <r>
      <rPr>
        <b/>
        <sz val="11"/>
        <color rgb="FF000000"/>
        <rFont val="Arial Narrow"/>
        <family val="2"/>
      </rPr>
      <t>SRBL 06/03/2023</t>
    </r>
    <r>
      <rPr>
        <sz val="11"/>
        <color rgb="FF000000"/>
        <rFont val="Arial Narrow"/>
        <family val="2"/>
      </rPr>
      <t xml:space="preserve"> Pendiente coordinar con la SAL la fecha de los comités de contratación para presentar los planes de Supervisión Y Control .
SRBL 10/04/2023 Pendiente coordinar con la SAL la fecha de los comités de contratación para presentar los planes de Supervisión Y Control .
</t>
    </r>
  </si>
  <si>
    <t>10/05/2023
10/05/2023
13-06-2023
14-07-2023
27/07/2023</t>
  </si>
  <si>
    <t xml:space="preserve">SDF 10-05-2023: Pendiente repuesta de SAL fecha de comite de contratacón, Aun no se efectua acción.
SRBL 10-05-2023: Se envío correo a la SAL solictando información sobre las fechas en las que se realizarán los comités de contratación. Pendiente repuesta de SAL fecha de comite de contratacón, Aun no se efectua acción.
SDF 13-06-2023: Pendiente repuesta de SAL nuevamente dado que SAL indica que para ellos no es de su competencia se valida con planeación y nueva,ente se solicita a SAL fecha de comite de contratacón, Aun no se efectua acción.
SRBL 13-06-2023: Pendiente repuesta de SAL,  dado que SAL indican  que el tema no es de competencia del comité de contratación.   se valida esta respuesta con la OAP.  Aun no se efectua acción. se adjunta correo a SAL 
SDF 14-07-2023: Pendiente repuesta de SAL,  dado que SAL indican  que el tema no es de competencia del comité de contratación.   se valida esta respuesta con la OAP.  Aun no se efectua acción. se adjunta correo a SAL
SRBL 27/07/2023: Pendiente repuesta de SAL,  Se envío correo     el 14 de junio a la SAL solicitando nuevamente la participación en el comité de Contratación, teniendo en cuenta el correo de la OAP en el cual informa las fucniones del comité de contratación.  Se adjunta correo
 </t>
  </si>
  <si>
    <t>10/08/2023
08/09/2023
08/09/2023
15/08/2023
14/09/2023
11/10/2023</t>
  </si>
  <si>
    <t xml:space="preserve">SRBL 10/08/2023 Pendiente Respuesta de SAL. Se envió correo el 27 de julio, reiterando los solictado en el correo del 14 de julio 
SRBL 08/09/2023 El 4 de agosto se recibió correo de SAL  , en el cual solicitan se informe  el asunto para incluirlo en el orden del día del próximo comité de contratación. El 4 de agosto de 2023 se envvío correo de respuesta informando el tema a tratar y los anexos. A la fecha no se ha recibido invitación al comité de contratación. 
SDF 15/08/2023 Pendiente Respuesta de SAL. Se envió correo el 27 de julio, reiterando los solictado en el correo del 14 de julio 
SDF 14/09/2023 El 4 de agosto se recibió correo de SAL  , en el cual solicitan se informe  el asunto para incluirlo en el orden del día del próximo comité de contratación. El 4 de agosto de 2023 se envvío correo de respuesta informando el tema a tratar y los anexos. A la fecha no se ha recibido invitación al comité de contratación. 
SRBL 11/10/2023 A la fecha no se ha recibido invitación al comité de contratación. 
</t>
  </si>
  <si>
    <t>21/10/2023
10-11-2023
20/11/2023
11/12/2023
11/12/2023
12/12/2023
10/01/2024
11/01/2024</t>
  </si>
  <si>
    <r>
      <rPr>
        <b/>
        <sz val="11"/>
        <color rgb="FF000000"/>
        <rFont val="Arial Narrow"/>
      </rPr>
      <t>SDF 21/10/2023:</t>
    </r>
    <r>
      <rPr>
        <sz val="11"/>
        <color rgb="FF000000"/>
        <rFont val="Arial Narrow"/>
      </rPr>
      <t xml:space="preserve"> Se solicita nuevamente respuesta a sal después de ser enviados los planes de Supervisión Monitoreo y Control dado que ala fecha no se ha tenido respuesta de la SAL
SRBL 10-11-2023: EL 21 de octubre se enviaron los planes de supervisión, monitoreo y control a la SAL y se   solicitó nuevamente incluir el tema en la agenda del comité de contratación. A la fecha no se ha recibido respuesta.
SDF 20/11/2023: Se solicita nuevamente respuesta a sal  el 21 de octubre, después de ser enviados los planes de Supervisión Monitoreo y Control dado que ala fecha no se ha tenido respuesta de la SAL
SRBL 11-12-2023: La SAL informó que los planes de supervisión y control fueron presentados en el comité de contratación del 30 de noviembre. una vez nos remitan el acta del comité .
SDF 12/12/2023: Se solicita nuevamente respuesta a sal  el 21 de octubre, después de ser enviados los planes de Supervisión Monitoreo y Control dado que ala fecha no se ha tenido respuesta de la SAL. Nuevamente se envia solicitud el 11/12/2023
SRBL 10-01-2024: La SAL informó que los planes de supervisión y control fueron presentados en el comité de contratación del 30 de noviembre. Se adjunta acta del comité de contratación. 
SDF 11-01-2024: La SAL informó que los planes de supervisión y control fueron presentados en el comité de contratación del 30 de noviembre. Se adjunta acta del comité de contratación. </t>
    </r>
  </si>
  <si>
    <r>
      <rPr>
        <b/>
        <sz val="11"/>
        <color rgb="FF000000"/>
        <rFont val="Arial Narrow"/>
        <family val="2"/>
      </rPr>
      <t xml:space="preserve">SDF 22-01-2023: </t>
    </r>
    <r>
      <rPr>
        <sz val="11"/>
        <color rgb="FF000000"/>
        <rFont val="Arial Narrow"/>
        <family val="2"/>
      </rPr>
      <t xml:space="preserve">en el mes de enero se realiza seguimiento al plan de supervisión y control.
</t>
    </r>
    <r>
      <rPr>
        <b/>
        <sz val="11"/>
        <color rgb="FF000000"/>
        <rFont val="Arial Narrow"/>
        <family val="2"/>
      </rPr>
      <t xml:space="preserve">
SDF 03-03-2023</t>
    </r>
    <r>
      <rPr>
        <sz val="11"/>
        <color rgb="FF000000"/>
        <rFont val="Arial Narrow"/>
        <family val="2"/>
      </rPr>
      <t xml:space="preserve">: en el mes de febrero se realiza seguimiento al plan de supervisión y control.
</t>
    </r>
    <r>
      <rPr>
        <b/>
        <sz val="11"/>
        <color rgb="FF000000"/>
        <rFont val="Arial Narrow"/>
        <family val="2"/>
      </rPr>
      <t>SDF 13-04-2023:</t>
    </r>
    <r>
      <rPr>
        <sz val="11"/>
        <color rgb="FF000000"/>
        <rFont val="Arial Narrow"/>
        <family val="2"/>
      </rPr>
      <t xml:space="preserve"> en el mes de marzo se realiza seguimiento al plan de supervisión y control.
SRBL 6/02/2023 Se realizó seguimiento al plan de supervisión, monitoreo y control del mes de enero.
SDF 01-02-2023: Se socializa Plan de supervision monitoreo y control con la SDF y validacion de los lideres y Subdirector.
SRBL 06/03/2023 Se realizó seguimiento al plan de supervisión, monitoreo y control del mes de febrero
SRBL 10/04/2023 Se realizó seguimiento al plan de supervisión, monitoreo y control del mes de febrero
</t>
    </r>
  </si>
  <si>
    <t>Subdirector de Disposición Final</t>
  </si>
  <si>
    <t>Plan de Supervision monitoreo y control</t>
  </si>
  <si>
    <t>10/05/2023
10/05/2023
10/06/2023
13/06/2023
14-07-2023
27/07/2023</t>
  </si>
  <si>
    <t xml:space="preserve">SDF 10-05-2023: en abril se realiza reguimiento del Plan de supervision monitoreo y control de mes de abril
SRBL 10/05/2023 en abril se realizó el seguimiento al plan de Supervisión, control y monitoreo.
SDF 13-06-2023: en mayo se realiza reguimiento del Plan de supervision monitoreo y control de mes de mayo
SRBL 13/06/2023 en mayo se realizó el seguimiento al plan de Supervisión, control y monitoreo.
SDF 14-07-2023: en junio se realiza reguimiento del Plan de supervision monitoreo y control de mes de junio
SRBL 27/07/2023 en junio se realizó el seguimiento al plan de Supervisión, control y monitoreo.
</t>
  </si>
  <si>
    <t>Plan de Supervisión Monitoreo y Control
SRBL Plan de Supervisión Monitoreo y Control</t>
  </si>
  <si>
    <t>10/08/2023
08/09/2023
15/07/2023
15/08/2023
14/09/2023
11/10/2023</t>
  </si>
  <si>
    <t xml:space="preserve">SRBL 10/08/2023 Se realizó seguimiento al Plan de Supervisión, Monitoreo y control de julio
SRBL 08/09/2023 Se realizó seguimiento al Plan de Supervisión, Monitoreo y control de agosto
SDF 15/08/2023 Se realizó seguimiento al Plan de Supervisión, Monitoreo y control de julio
SDF 14/09/2023 Se realizó seguimiento al Plan de Supervisión, Monitoreo y control de agosto
SRBL 11/10/2023 Se realizó seguimiento al Plan de Supervisión, Monitoreo y control de septiembre </t>
  </si>
  <si>
    <t>Subdirector de RBL
Subdirector de  SDF</t>
  </si>
  <si>
    <t>SRBL Planes de Supervisión, Monitoreo y control
SDF Planes de Supervisión, Monitoreo y control</t>
  </si>
  <si>
    <r>
      <rPr>
        <b/>
        <sz val="11"/>
        <color rgb="FF000000"/>
        <rFont val="Arial Narrow"/>
      </rPr>
      <t>SDF 21/10/2023</t>
    </r>
    <r>
      <rPr>
        <sz val="11"/>
        <color rgb="FF000000"/>
        <rFont val="Arial Narrow"/>
      </rPr>
      <t xml:space="preserve"> Se realizó seguimiento al Plan de Supervisión, Monitoreo y Control de septiembre
SRBL 10/11/2023 Se realizó seguimiento al Plan de Supervisión, Monitoreo y Control de octubre
SDF 20/11/2023 Se realizó seguimiento al Plan de Supervisión, Monitoreo y Control de octubre
SRBL 11/12/2023 Se realizó seguimiento al Plan de Supervisión, Monitoreo y Control de noviembre
SDF 12/12/2023 Se realizó seguimiento al Plan de Supervisión, Monitoreo y Control de noviembre
SRBL 10/01/2024 Se realizó seguimiento al Plan de Supervisión, Monitoreo y Control de diciembre
SDF 11/1012024 Se realizó seguimiento al Plan de Supervisión, Monitoreo y Control de noviembre
</t>
    </r>
  </si>
  <si>
    <t>SDF Plan de Supervisión, Monitoreo y Control
SRBL Plan de Supervisión, Monitoreo y Control</t>
  </si>
  <si>
    <t>Reasiganación de responsabilidades</t>
  </si>
  <si>
    <r>
      <rPr>
        <b/>
        <sz val="12"/>
        <color rgb="FF000000"/>
        <rFont val="Arial Narrow"/>
      </rPr>
      <t xml:space="preserve">JAG-SDF: </t>
    </r>
    <r>
      <rPr>
        <sz val="12"/>
        <color rgb="FF000000"/>
        <rFont val="Arial Narrow"/>
      </rPr>
      <t xml:space="preserve">Se evidencia la aplicación del control con los seguimientos al plan de supervisión, monitoreo y control.
</t>
    </r>
    <r>
      <rPr>
        <b/>
        <sz val="12"/>
        <color rgb="FF000000"/>
        <rFont val="Arial Narrow"/>
      </rPr>
      <t>11/05/2023 - OCL - SRBL:</t>
    </r>
    <r>
      <rPr>
        <sz val="12"/>
        <color rgb="FF000000"/>
        <rFont val="Arial Narrow"/>
      </rPr>
      <t xml:space="preserve"> De acuerdo con la revisión de la siguientes evidencias:
1. Plan de Supervisión Monitoreo y Control SEGUIMIENTO ENERO 2023
2. Plan de Supervisión Monitoreo y Control SEGUIMIENTO FEBRERO 2023
3. Plan de Supervisión Monitoreo y Control SEGUIMIENTO  MARZO 2023.
4. En el mes de abril el proceso anexa la remisión de las facturas de los concesionarios.
La OCI, verifica el cumplimiento parcial del control, toda vez que para el mes de abril las evidencias no corresponden a lo estipulado en el control.
</t>
    </r>
    <r>
      <rPr>
        <b/>
        <sz val="12"/>
        <color rgb="FF000000"/>
        <rFont val="Arial Narrow"/>
      </rPr>
      <t>12/09/2023 - OCL Segundo Trimestre - SDF:</t>
    </r>
    <r>
      <rPr>
        <sz val="12"/>
        <color rgb="FF000000"/>
        <rFont val="Arial Narrow"/>
      </rPr>
      <t xml:space="preserve">  Con base en la revisión de las evidencias aportadas por el proceso, la OCI verifica el cumplimiento del control.
</t>
    </r>
    <r>
      <rPr>
        <b/>
        <sz val="12"/>
        <color rgb="FF000000"/>
        <rFont val="Arial Narrow"/>
      </rPr>
      <t>12/09/2023 - OCL Tercer Trimestre - SDF</t>
    </r>
    <r>
      <rPr>
        <sz val="12"/>
        <color rgb="FF000000"/>
        <rFont val="Arial Narrow"/>
      </rPr>
      <t xml:space="preserve">:  Para este periodo el proceso no aporta evidencias, por este motivo la OCI, no pudo verificar el cumplimiento del control.
Nota: la OCI, recomienda al proceso realizar el cargue de las evidencias de acuerdo con los criterios de calidad y oportunidad establecidos.
</t>
    </r>
    <r>
      <rPr>
        <b/>
        <sz val="12"/>
        <color rgb="FF000000"/>
        <rFont val="Arial Narrow"/>
      </rPr>
      <t>11/01/2024 JGS Cuarto Trimestre - SDF:</t>
    </r>
    <r>
      <rPr>
        <sz val="12"/>
        <color rgb="FF000000"/>
        <rFont val="Arial Narrow"/>
      </rPr>
      <t xml:space="preserve"> Dentro de las evidencias aportadas por el proceso, la OCI encontró las matrices de seguimiento al Plan de supervisión, monitoreo y control para los meses de septiembre, octubre y noviembre de 2023, conforme a lo descrito por el proceso, estando pendiente lo concerniente al mes de diciembre. Se evidencia el cumplimiento del control. La OCI sugiere al proceso realizar el cargue respectivo al seguimiento al Plan de supervisión del mes de diciembre.
</t>
    </r>
    <r>
      <rPr>
        <b/>
        <sz val="12"/>
        <color rgb="FF000000"/>
        <rFont val="Arial Narrow"/>
      </rPr>
      <t>11/01/2024 JGS Cuarto Trimestre - SRBL:</t>
    </r>
    <r>
      <rPr>
        <b/>
        <i/>
        <sz val="12"/>
        <color rgb="FF000000"/>
        <rFont val="Arial Narrow"/>
      </rPr>
      <t xml:space="preserve"> </t>
    </r>
    <r>
      <rPr>
        <sz val="12"/>
        <color rgb="FF000000"/>
        <rFont val="Arial Narrow"/>
      </rPr>
      <t>El proceso realizó el cargue de la información correspondiente a los seguimientos al Plan de Supervisión, monitorero y control, para cada una de las 5 ASES, correspondientes a los meses de octubre, noviembre y diciembre de 2023. La OCI verifica el cumplimiento del control.</t>
    </r>
  </si>
  <si>
    <r>
      <rPr>
        <b/>
        <sz val="12"/>
        <color rgb="FF000000"/>
        <rFont val="Arial Narrow"/>
      </rPr>
      <t xml:space="preserve">JAG-SDF: </t>
    </r>
    <r>
      <rPr>
        <sz val="12"/>
        <color rgb="FF000000"/>
        <rFont val="Arial Narrow"/>
      </rPr>
      <t xml:space="preserve">El control es efectivo para evitar la materialización del riesgo, de acuerdo la evidencia reportada por el proceso
</t>
    </r>
    <r>
      <rPr>
        <b/>
        <sz val="12"/>
        <color rgb="FF000000"/>
        <rFont val="Arial Narrow"/>
      </rPr>
      <t xml:space="preserve">11/05/2023 - OCL - SRBL:  </t>
    </r>
    <r>
      <rPr>
        <sz val="12"/>
        <color rgb="FF000000"/>
        <rFont val="Arial Narrow"/>
      </rPr>
      <t xml:space="preserve">La OCI, no puede verificar la efectividad del control toda vez que las evidencias aportadas no corresponde a lo enunciado en el control.
</t>
    </r>
    <r>
      <rPr>
        <b/>
        <sz val="12"/>
        <color rgb="FF000000"/>
        <rFont val="Arial Narrow"/>
      </rPr>
      <t>12/09/2023 - OCL - SDF Segundo Trimestre</t>
    </r>
    <r>
      <rPr>
        <sz val="12"/>
        <color rgb="FF000000"/>
        <rFont val="Arial Narrow"/>
      </rPr>
      <t xml:space="preserve">: La OCI verifica ejecución del control de acuerdo con lo establecido en el control.
</t>
    </r>
    <r>
      <rPr>
        <b/>
        <sz val="12"/>
        <color rgb="FF000000"/>
        <rFont val="Arial Narrow"/>
      </rPr>
      <t>12/09/2023 - OCL - SDF Tercer Trimestre:</t>
    </r>
    <r>
      <rPr>
        <sz val="12"/>
        <color rgb="FF000000"/>
        <rFont val="Arial Narrow"/>
      </rPr>
      <t xml:space="preserve"> Para este periodo el proceso no realizó el cargue de las evidencias, por lo que la OCI no pudo verificar el cumplimiento del control.
</t>
    </r>
    <r>
      <rPr>
        <b/>
        <sz val="12"/>
        <color rgb="FF000000"/>
        <rFont val="Arial Narrow"/>
      </rPr>
      <t>12/09/2023 JAG-RBL</t>
    </r>
    <r>
      <rPr>
        <sz val="12"/>
        <color rgb="FF000000"/>
        <rFont val="Arial Narrow"/>
      </rPr>
      <t xml:space="preserve">: El control es efectivo para evitar la materialización del riesgo, de acuerdo la evidencia reportada por el proceso.
</t>
    </r>
    <r>
      <rPr>
        <b/>
        <sz val="12"/>
        <color rgb="FF000000"/>
        <rFont val="Arial Narrow"/>
      </rPr>
      <t xml:space="preserve">11/01/2024 JGS - SDF - SRBL: </t>
    </r>
    <r>
      <rPr>
        <sz val="12"/>
        <color rgb="FF000000"/>
        <rFont val="Arial Narrow"/>
      </rPr>
      <t xml:space="preserve">El control es efectivo.
</t>
    </r>
    <r>
      <rPr>
        <b/>
        <sz val="12"/>
        <color rgb="FF000000"/>
        <rFont val="Arial Narrow"/>
      </rPr>
      <t xml:space="preserve">
</t>
    </r>
  </si>
  <si>
    <r>
      <rPr>
        <b/>
        <sz val="12"/>
        <color rgb="FF000000"/>
        <rFont val="Arial Narrow"/>
      </rPr>
      <t xml:space="preserve">JAG-SDF: </t>
    </r>
    <r>
      <rPr>
        <sz val="12"/>
        <color rgb="FF000000"/>
        <rFont val="Arial Narrow"/>
      </rPr>
      <t xml:space="preserve">Se evidencia la gestión del proceso por cumplir la acción de manejo de riesgos, el proceso realizó la solicitud para incluir el punto de seguimiento al plan de supervisión en el Comité de Contratación.
</t>
    </r>
    <r>
      <rPr>
        <b/>
        <sz val="12"/>
        <color rgb="FF000000"/>
        <rFont val="Arial Narrow"/>
      </rPr>
      <t>11/05/2023 - OCL - SRBL:</t>
    </r>
    <r>
      <rPr>
        <sz val="12"/>
        <color rgb="FF000000"/>
        <rFont val="Arial Narrow"/>
      </rPr>
      <t xml:space="preserve"> De acuerdo con la revisión de las siguientes evidencias:
1. Primer trimestre: El proceso no presenta evidencias.
2. Segundo trimestre: CORREO A SAL COMITE DE CONTRATACION 0552023 y CORREO A SAL COMITE DE CONTRATACION 14042023.
La OCI, no pude verificar el cumplimiento de la acción, toda vez que las evidencias no corresponden a lo indicado en la acción.
</t>
    </r>
    <r>
      <rPr>
        <b/>
        <sz val="12"/>
        <color rgb="FF000000"/>
        <rFont val="Arial Narrow"/>
      </rPr>
      <t>12/09/2023 - OCL Segundo Trimestre - SDF:</t>
    </r>
    <r>
      <rPr>
        <sz val="12"/>
        <color rgb="FF000000"/>
        <rFont val="Arial Narrow"/>
      </rPr>
      <t xml:space="preserve"> Con base en las evidencias aportadas la OCI verídica la ejecución de la acción.
</t>
    </r>
    <r>
      <rPr>
        <b/>
        <sz val="12"/>
        <color rgb="FF000000"/>
        <rFont val="Arial Narrow"/>
      </rPr>
      <t>12/09/2023 - OCL, Tercer Trimestre - SDF:</t>
    </r>
    <r>
      <rPr>
        <sz val="12"/>
        <color rgb="FF000000"/>
        <rFont val="Arial Narrow"/>
      </rPr>
      <t xml:space="preserve"> Para este periodo el proceso no carga evidencias, por lo que la OCI no puede verificar el cumplimiento de la acción.
</t>
    </r>
    <r>
      <rPr>
        <b/>
        <sz val="12"/>
        <color rgb="FF000000"/>
        <rFont val="Arial Narrow"/>
      </rPr>
      <t>12/09/2023 JAG-RBL</t>
    </r>
    <r>
      <rPr>
        <sz val="12"/>
        <color rgb="FF000000"/>
        <rFont val="Arial Narrow"/>
      </rPr>
      <t xml:space="preserve">: La OCI no pude verificar el cumplimiento de la acción, toda vez que las evidencias no corresponden a lo indicado en la acción. Se recomienda que se carguen evidencias tales como actas de comité, la grabación de los comité o la presentación del comité.
</t>
    </r>
    <r>
      <rPr>
        <b/>
        <sz val="12"/>
        <color rgb="FF000000"/>
        <rFont val="Arial Narrow"/>
      </rPr>
      <t>11/01/2024 JGS Cuarto Trimestre - SRBL - SDF:</t>
    </r>
    <r>
      <rPr>
        <sz val="12"/>
        <color rgb="FF000000"/>
        <rFont val="Arial Narrow"/>
      </rPr>
      <t xml:space="preserve"> Dentro de la información aportada por los procesos, se encontró el acta de reunión de Comité de Contratación Extraordinario, celebrado el 30 de noviembre de 2023, documento en el que se pudo verificar que se realizó el seguimiento a los planes de supervisión de las subdirecciones de Disposición final y de Recolección, barrido y limpieza, así como su respectiva socialización. La OCI verifica el cumplimiento de la acción.</t>
    </r>
  </si>
  <si>
    <t>Posibilidad de beneficio propio o de un tercero por la entrega inadecuada de bienes y servicios a recicladores de oficio u organizaciones en el marco de acciones afirmativas, debido a falta de verificación del cumplimiento de los requisitos definidos, debilidades en el control, y falta de seguimiento en el proceso</t>
  </si>
  <si>
    <t>Entrega inadecuada  de bienes y servicios a recicladores de oficio u organizaciones en el marco de acciones afirmativas</t>
  </si>
  <si>
    <t>Falta de verificación del cumplimiento de los requisitos definidos, debilidades en el control, y falta de seguimiento en el proceso.</t>
  </si>
  <si>
    <t xml:space="preserve">Informe de evalución de cumplimiento de requisitos </t>
  </si>
  <si>
    <t>Fortalecer el registro de requisitos completos</t>
  </si>
  <si>
    <t>Documentación de los terminos de la convocatoria que relacione los criterios y requisitos técnicos asociados a las acciones afirmativas en favor a recicladores de oficio</t>
  </si>
  <si>
    <t xml:space="preserve">Subdirector Aprovechamiento </t>
  </si>
  <si>
    <t xml:space="preserve"> 10/03/202</t>
  </si>
  <si>
    <r>
      <rPr>
        <b/>
        <sz val="11"/>
        <color rgb="FF0070C0"/>
        <rFont val="Arial Narrow"/>
        <family val="2"/>
      </rPr>
      <t>SAPROV: 10/03/2023:</t>
    </r>
    <r>
      <rPr>
        <sz val="11"/>
        <color rgb="FF0070C0"/>
        <rFont val="Arial Narrow"/>
        <family val="2"/>
      </rPr>
      <t xml:space="preserve">  En los meses de enero y febrero se inició la estructuración de los términos de referencia para la entrega de los programas de incentivos de sustitución de VTH, Kits de maquinaría y se está organizando la logística para entregade Uniformes a los Recicladores de Oficio Registrados en el RURO.</t>
    </r>
  </si>
  <si>
    <r>
      <rPr>
        <sz val="11"/>
        <color rgb="FF4F81BD"/>
        <rFont val="Arial Narrow"/>
        <family val="2"/>
      </rPr>
      <t xml:space="preserve">SAPROV:10/05/2023.  
</t>
    </r>
    <r>
      <rPr>
        <b/>
        <sz val="11"/>
        <color rgb="FF4F81BD"/>
        <rFont val="Arial Narrow"/>
        <family val="2"/>
      </rPr>
      <t>1.  Vehículos de Tracción Humana – VTH</t>
    </r>
    <r>
      <rPr>
        <sz val="11"/>
        <color rgb="FF4F81BD"/>
        <rFont val="Arial Narrow"/>
        <family val="2"/>
      </rPr>
      <t xml:space="preserve">: La UAESP Emitió la Resolución No. 847 de 2022 “Por la cual se crea el Programa de incentivos para la Sustitución de VTH (Vehículos de Tracción Humana), Posteriormente se expide el Acuerdo 870 de 2023 del Concejo de Bogotá “Por el cual se dictan lineamientos para la sustitución de manera sostenida y progresiva de la tracción humana en la labor de los recicladores de oficio de Bogotá y se dictan otras disposiciones”.   Es así que a la fecha la Unidad en concordancia y armonización con las normas enunciadas, se encuentra ajustando los criterios de asignación, habilitantes, técnicos y de supervisión, requeridos para la convocatoria que conllevará a la entrega del incentivo de que de la Resolución 847 de 2022. (Se anexa resolución 847 y acuerdo 870)
</t>
    </r>
    <r>
      <rPr>
        <b/>
        <sz val="11"/>
        <color rgb="FF4F81BD"/>
        <rFont val="Arial Narrow"/>
        <family val="2"/>
      </rPr>
      <t xml:space="preserve">2. Kits  Maquinaria: </t>
    </r>
    <r>
      <rPr>
        <sz val="11"/>
        <color rgb="FF4F81BD"/>
        <rFont val="Arial Narrow"/>
        <family val="2"/>
      </rPr>
      <t xml:space="preserve"> La  UAESP, expidio las resoluciones  Resolución No. 843 de 2022 Por la cual se crea el Programa para la entrega de Kits de maquinaria para el prealistamiento del material plástico post consumo y se definen los términos de referencia para la evaluación y selección de las Organizaciones de Recicladores de Oficio beneficiarias"  y 158 de 2023 "Par la cual sc modified la Resolution No. 843 del 23 de diciembre de 2022, que creó el Programa para la entrega de kits de maquinaria para elpre-alistamiento del material pldstico post consumoy definid los terminos de referenda para la evaluation y selección de las Organizaciones de Recicladores de Oficio beneficiarias" </t>
    </r>
    <r>
      <rPr>
        <sz val="11"/>
        <color rgb="FF538DD5"/>
        <rFont val="Arial Narrow"/>
        <family val="2"/>
      </rPr>
      <t xml:space="preserve">(Se anexa resolución 843 de 2022 y resolucin 158 de 2023)
</t>
    </r>
    <r>
      <rPr>
        <sz val="11"/>
        <color rgb="FF4F81BD"/>
        <rFont val="Arial Narrow"/>
        <family val="2"/>
      </rPr>
      <t xml:space="preserve">
</t>
    </r>
    <r>
      <rPr>
        <sz val="11"/>
        <color theme="4"/>
        <rFont val="Arial Narrow"/>
        <family val="2"/>
      </rPr>
      <t xml:space="preserve">SAPROV: 13/07/2023
</t>
    </r>
    <r>
      <rPr>
        <b/>
        <sz val="11"/>
        <color theme="4"/>
        <rFont val="Arial Narrow"/>
        <family val="2"/>
      </rPr>
      <t>1. Vehículos de Tracción Humana - VTH:</t>
    </r>
    <r>
      <rPr>
        <sz val="11"/>
        <color theme="4"/>
        <rFont val="Arial Narrow"/>
        <family val="2"/>
      </rPr>
      <t xml:space="preserve"> teniendo en cuenta las sugerencias de las organizaciones de recicladores realizadas en mesas de trabajo durante el mes de Junio, fue realizada una nueva propuesta para la resolución que  ordenen el desembolso a las organizaciones de recicladores definidas por la Resolución 847 de 2022. Dicha propuesta fue enviada a la Subdirección de Asuntos Legales para su revisión. 
</t>
    </r>
    <r>
      <rPr>
        <b/>
        <sz val="11"/>
        <color theme="4"/>
        <rFont val="Arial Narrow"/>
        <family val="2"/>
      </rPr>
      <t xml:space="preserve">
2. Kits de Maquinaria:</t>
    </r>
    <r>
      <rPr>
        <sz val="11"/>
        <color theme="4"/>
        <rFont val="Arial Narrow"/>
        <family val="2"/>
      </rPr>
      <t xml:space="preserve"> El 16 de mayo se publicó la Resolución 355 "Por la cual se seleccionan las organizaciones de recicladores beneficiarias y se adjudican los recursos del Programa para la entrega de kits de maquinaria para el prealistamiento del material plástico post consumo creado par la Resolucidn No. 843 de 2022". Es importante mencionar que en el mes de junio se realizaron la ultimas visitas de verificación energética a las organizaciones elegibles para la entrega de los Kits. Adicionalmente, el 30 de junio fueron expedidas las resoluciones por las cuales se realiza la entrega del kit de maquinaria a las organizaciones selecciondas a través de la Resolución 355 de 2023. Se carga como evidencia el cuadro consolidado con la información de todas las organizaciones que se presentaron a la convocatoria.</t>
    </r>
  </si>
  <si>
    <t>11/08/2023
14/09/2023</t>
  </si>
  <si>
    <r>
      <rPr>
        <b/>
        <sz val="11"/>
        <color rgb="FF4F81BD"/>
        <rFont val="Arial Narrow"/>
        <family val="2"/>
      </rPr>
      <t xml:space="preserve">SAPROV: 11/08/2023: </t>
    </r>
    <r>
      <rPr>
        <sz val="11"/>
        <color rgb="FF4F81BD"/>
        <rFont val="Arial Narrow"/>
        <family val="2"/>
      </rPr>
      <t>1. Programa de Incentivos 2023</t>
    </r>
    <r>
      <rPr>
        <b/>
        <sz val="11"/>
        <color rgb="FF4F81BD"/>
        <rFont val="Arial Narrow"/>
        <family val="2"/>
      </rPr>
      <t>:</t>
    </r>
    <r>
      <rPr>
        <sz val="11"/>
        <color rgb="FF4F81BD"/>
        <rFont val="Arial Narrow"/>
        <family val="2"/>
      </rPr>
      <t xml:space="preserve"> El 19 de julio fue expedida la Resolución 580 de 2023 "Por la cual se establecen los términos de referencia para la convocatoria correspondiente al Programa de Incentivos para la vigencia 2023, como acción afirmativa a favor de las Organizaciones de Recicladores de Oficio de Bogotá D.C" (Anexo Resolución 580 de 2023)
2. Kits de Maquinaria: No se presenta reporte para este programa teniendo en cuenta que actualmente no se tiene una nueva convocatoria.
3. Programa Vehículos de Tracción Humana VTH: se encuentra en revisión la resolución que determina los términos de referencia del programa. se mantiene la Resolución 847 de 2022 "Por la cual se crea el programa de incentivos para la sustitución de VTH".
</t>
    </r>
    <r>
      <rPr>
        <b/>
        <sz val="11"/>
        <color rgb="FF4F81BD"/>
        <rFont val="Arial Narrow"/>
        <family val="2"/>
      </rPr>
      <t xml:space="preserve">SAPROV 14/09/2023: 
</t>
    </r>
    <r>
      <rPr>
        <sz val="11"/>
        <color rgb="FF4F81BD"/>
        <rFont val="Arial Narrow"/>
        <family val="2"/>
      </rPr>
      <t xml:space="preserve">1. Programa de Incentivos 2023: No se presenta reporte para este programa teniendo en cuenta que actualmente no se tiene una nueva convocatoria. 
2. Kits de Maquinaria: No se presenta reporte para este programa teniendo en cuenta que actualmente no se tiene una nueva convocatoria.
</t>
    </r>
    <r>
      <rPr>
        <b/>
        <sz val="11"/>
        <color rgb="FF4F81BD"/>
        <rFont val="Arial Narrow"/>
        <family val="2"/>
      </rPr>
      <t xml:space="preserve">
</t>
    </r>
    <r>
      <rPr>
        <sz val="11"/>
        <color rgb="FF4F81BD"/>
        <rFont val="Arial Narrow"/>
        <family val="2"/>
      </rPr>
      <t xml:space="preserve">3. Programa de vehículos de tracción humana - VTH:  el 29 de agosto fue expedida la Resolución 667 “Por la cual se aclara y se modifica la Resolución No, 847 de 2022 y se establecen los criterios, lineamientos y requisitos para el desembolso del incentivo del “Programa de incentivos para la Sustitución de VTH (Vehículos de Tracción Humana) como acción afirmativa a favor de las Organizaciones de Recicladores de Oficio de Bogotá D.C” en la cual se definen los criterios y requisitos técnicos asociados a la entrega de la acción afirmativa. </t>
    </r>
  </si>
  <si>
    <t xml:space="preserve"> 10/03/2023</t>
  </si>
  <si>
    <r>
      <rPr>
        <b/>
        <sz val="11"/>
        <color rgb="FF0070C0"/>
        <rFont val="Arial Narrow"/>
        <family val="2"/>
      </rPr>
      <t>SAPROV: 10/03/2023:</t>
    </r>
    <r>
      <rPr>
        <sz val="11"/>
        <color rgb="FF0070C0"/>
        <rFont val="Arial Narrow"/>
        <family val="2"/>
      </rPr>
      <t xml:space="preserve">  En los meses de enero y febrero no se realizó evaluación de cumplimiento, ya que no se encontraba abierta ninguna convocatoria para el proceso incentivos</t>
    </r>
  </si>
  <si>
    <t>10/05/2023
13/07/2023</t>
  </si>
  <si>
    <r>
      <rPr>
        <b/>
        <sz val="11"/>
        <color rgb="FF0070C0"/>
        <rFont val="Arial Narrow"/>
        <family val="2"/>
      </rPr>
      <t>SAPROV: 10/05/2023:</t>
    </r>
    <r>
      <rPr>
        <sz val="11"/>
        <color rgb="FF0070C0"/>
        <rFont val="Arial Narrow"/>
        <family val="2"/>
      </rPr>
      <t xml:space="preserve">   </t>
    </r>
    <r>
      <rPr>
        <b/>
        <sz val="11"/>
        <color rgb="FF0070C0"/>
        <rFont val="Arial Narrow"/>
        <family val="2"/>
      </rPr>
      <t>Proyecto Kits Maquinaria:</t>
    </r>
    <r>
      <rPr>
        <sz val="11"/>
        <color rgb="FF0070C0"/>
        <rFont val="Arial Narrow"/>
        <family val="2"/>
      </rPr>
      <t xml:space="preserve">   El 13 de abril se emite  el  listado definitivo de 10 Asociaciones elegidas  (se anexan: 1  listado definitivo de elegibles,  que contiene el consolidado de las  evlauciones 2. Evaluaciones orales de cada  una de las asociaciones y 3. Evaluación Oral de cada una de las asociaciones).
</t>
    </r>
    <r>
      <rPr>
        <b/>
        <sz val="11"/>
        <color rgb="FF0070C0"/>
        <rFont val="Arial Narrow"/>
        <family val="2"/>
      </rPr>
      <t>Proyecto VTH.</t>
    </r>
    <r>
      <rPr>
        <sz val="11"/>
        <color rgb="FF0070C0"/>
        <rFont val="Arial Narrow"/>
        <family val="2"/>
      </rPr>
      <t xml:space="preserve">  A la fecha no se han realizado evaluaciones.</t>
    </r>
    <r>
      <rPr>
        <sz val="11"/>
        <color rgb="FF0070C0"/>
        <rFont val="Arial Narrow"/>
        <family val="2"/>
      </rPr>
      <t xml:space="preserve">
</t>
    </r>
    <r>
      <rPr>
        <b/>
        <sz val="11"/>
        <color rgb="FF0070C0"/>
        <rFont val="Arial Narrow"/>
        <family val="2"/>
      </rPr>
      <t>SAPROV 13/07/2023: Kits de Maquinaria:</t>
    </r>
    <r>
      <rPr>
        <sz val="11"/>
        <color rgb="FF0070C0"/>
        <rFont val="Arial Narrow"/>
        <family val="2"/>
      </rPr>
      <t xml:space="preserve"> </t>
    </r>
    <r>
      <rPr>
        <sz val="11"/>
        <color rgb="FF0070C0"/>
        <rFont val="Arial Narrow"/>
        <family val="2"/>
      </rPr>
      <t xml:space="preserve">el seguimiento a la convocatoria, evaluación y entrega de kits de maquinaria a organizaciones de recicladores de oficio está siendo consolidado en el archivo denominado Cuadro Consolidado Pgma entrega kits de maquinaria, una vez se entreguen los kits y se evalúe el programa se cargará el informe final.
</t>
    </r>
    <r>
      <rPr>
        <b/>
        <sz val="11"/>
        <color rgb="FF0070C0"/>
        <rFont val="Arial Narrow"/>
        <family val="2"/>
      </rPr>
      <t>Proyecto VTH:</t>
    </r>
    <r>
      <rPr>
        <sz val="11"/>
        <color rgb="FF0070C0"/>
        <rFont val="Arial Narrow"/>
        <family val="2"/>
      </rPr>
      <t xml:space="preserve"> no se han realizado los desembolsos.</t>
    </r>
  </si>
  <si>
    <t xml:space="preserve">Subdirector de Aprovechamiento </t>
  </si>
  <si>
    <t xml:space="preserve">Herramietnas de seguimiento del programa. </t>
  </si>
  <si>
    <r>
      <rPr>
        <b/>
        <sz val="11"/>
        <color theme="4"/>
        <rFont val="Arial Narrow"/>
        <family val="2"/>
      </rPr>
      <t>SAPROV: 11/08/2023:</t>
    </r>
    <r>
      <rPr>
        <sz val="11"/>
        <color theme="4"/>
        <rFont val="Arial Narrow"/>
        <family val="2"/>
      </rPr>
      <t xml:space="preserve">   
</t>
    </r>
    <r>
      <rPr>
        <b/>
        <sz val="11"/>
        <color theme="4"/>
        <rFont val="Arial Narrow"/>
        <family val="2"/>
      </rPr>
      <t>1. Programa de Incentivos:</t>
    </r>
    <r>
      <rPr>
        <sz val="11"/>
        <color theme="4"/>
        <rFont val="Arial Narrow"/>
        <family val="2"/>
      </rPr>
      <t xml:space="preserve"> No se  han realizado evaluaciones. 
</t>
    </r>
    <r>
      <rPr>
        <b/>
        <sz val="11"/>
        <color theme="4"/>
        <rFont val="Arial Narrow"/>
        <family val="2"/>
      </rPr>
      <t xml:space="preserve">2. Proyecto Kits Maquinaria:   En el mes  de Julio  no se realiza  entrega de  kit de maquinaria a la organizaciones. Las evaluaciones   de cumplimiento se realizaron en el  primer trimestre.
</t>
    </r>
    <r>
      <rPr>
        <sz val="11"/>
        <color theme="4"/>
        <rFont val="Arial Narrow"/>
        <family val="2"/>
      </rPr>
      <t xml:space="preserve">
</t>
    </r>
    <r>
      <rPr>
        <b/>
        <sz val="11"/>
        <color theme="4"/>
        <rFont val="Arial Narrow"/>
        <family val="2"/>
      </rPr>
      <t>3. Proyecto VTH:</t>
    </r>
    <r>
      <rPr>
        <sz val="11"/>
        <color theme="4"/>
        <rFont val="Arial Narrow"/>
        <family val="2"/>
      </rPr>
      <t xml:space="preserve"> no se han realizado los desembolsos.
</t>
    </r>
    <r>
      <rPr>
        <b/>
        <sz val="11"/>
        <color theme="4"/>
        <rFont val="Arial Narrow"/>
        <family val="2"/>
      </rPr>
      <t>SAPROV: 14/09/2023</t>
    </r>
    <r>
      <rPr>
        <sz val="11"/>
        <color theme="4"/>
        <rFont val="Arial Narrow"/>
        <family val="2"/>
      </rPr>
      <t xml:space="preserve">: 
</t>
    </r>
    <r>
      <rPr>
        <b/>
        <sz val="11"/>
        <color theme="4"/>
        <rFont val="Arial Narrow"/>
        <family val="2"/>
      </rPr>
      <t xml:space="preserve">  Programa de Incentivos: </t>
    </r>
    <r>
      <rPr>
        <sz val="11"/>
        <color theme="4"/>
        <rFont val="Arial Narrow"/>
        <family val="2"/>
      </rPr>
      <t xml:space="preserve">No se  han realizado evaluaciones. </t>
    </r>
    <r>
      <rPr>
        <sz val="11"/>
        <color theme="4"/>
        <rFont val="Arial Narrow"/>
        <family val="2"/>
      </rPr>
      <t xml:space="preserve">
</t>
    </r>
    <r>
      <rPr>
        <b/>
        <sz val="11"/>
        <color theme="4"/>
        <rFont val="Arial Narrow"/>
        <family val="2"/>
      </rPr>
      <t xml:space="preserve">Proyecto Kits Maquinaria: </t>
    </r>
    <r>
      <rPr>
        <sz val="11"/>
        <color theme="4"/>
        <rFont val="Arial Narrow"/>
        <family val="2"/>
      </rPr>
      <t>No se  han realizado evaluaciones</t>
    </r>
    <r>
      <rPr>
        <b/>
        <sz val="11"/>
        <color theme="4"/>
        <rFont val="Arial Narrow"/>
        <family val="2"/>
      </rPr>
      <t xml:space="preserve">.  </t>
    </r>
    <r>
      <rPr>
        <sz val="11"/>
        <color theme="4"/>
        <rFont val="Arial Narrow"/>
        <family val="2"/>
      </rPr>
      <t xml:space="preserve"> 
</t>
    </r>
    <r>
      <rPr>
        <b/>
        <sz val="11"/>
        <color theme="4"/>
        <rFont val="Arial Narrow"/>
        <family val="2"/>
      </rPr>
      <t>Proyecto VTH</t>
    </r>
    <r>
      <rPr>
        <sz val="11"/>
        <color theme="4"/>
        <rFont val="Arial Narrow"/>
        <family val="2"/>
      </rPr>
      <t xml:space="preserve">: No se  han realizado evaluaciones. </t>
    </r>
  </si>
  <si>
    <t>SAPROV:</t>
  </si>
  <si>
    <t>N/A</t>
  </si>
  <si>
    <t xml:space="preserve">Subdirección de aprovechamiento </t>
  </si>
  <si>
    <t xml:space="preserve">Resoluciones Enunciadas </t>
  </si>
  <si>
    <r>
      <rPr>
        <b/>
        <sz val="12"/>
        <color rgb="FF000000"/>
        <rFont val="Arial Narrow"/>
      </rPr>
      <t xml:space="preserve">JAG: </t>
    </r>
    <r>
      <rPr>
        <sz val="12"/>
        <color rgb="FF000000"/>
        <rFont val="Arial Narrow"/>
      </rPr>
      <t xml:space="preserve">En la redacción del control no es clara la actividad que se realiza para evitar que se materialice. Se evidencia que realizaron un informe de seguimiento a una organización.
Se recomienda ajustar la redacción del control y fortalecer la redacción del reporte del control acorde a la evidencia (reportan dos informes y en la evidencia solo hay uno)
</t>
    </r>
    <r>
      <rPr>
        <b/>
        <sz val="12"/>
        <color rgb="FF000000"/>
        <rFont val="Arial Narrow"/>
      </rPr>
      <t>11/05/2023 - OCL - SRBL:</t>
    </r>
    <r>
      <rPr>
        <sz val="12"/>
        <color rgb="FF000000"/>
        <rFont val="Arial Narrow"/>
      </rPr>
      <t xml:space="preserve">  N/A
</t>
    </r>
    <r>
      <rPr>
        <b/>
        <sz val="12"/>
        <color rgb="FF000000"/>
        <rFont val="Arial Narrow"/>
      </rPr>
      <t>12/09/2023 - OCL Segundo Trimestre - SAPROV:</t>
    </r>
    <r>
      <rPr>
        <sz val="12"/>
        <color rgb="FF000000"/>
        <rFont val="Arial Narrow"/>
      </rPr>
      <t xml:space="preserve">  De acuerdo con la revisión de las siguientes evidencias:
Evaluaciones escritas, Evaluaciones orales, ANEXO_LISTADO_DEFINITIVO_DE_ELEGIBLES_Firmas_ y Cuadro consolidado Pgma entrega kits de maquinaria-ORIGINAL. La OCI verifica el cumplimiento del control.
</t>
    </r>
    <r>
      <rPr>
        <b/>
        <sz val="12"/>
        <color rgb="FF000000"/>
        <rFont val="Arial Narrow"/>
      </rPr>
      <t>12/09/2023 - OCL Tercer Trimestre - SAPROV:</t>
    </r>
    <r>
      <rPr>
        <sz val="12"/>
        <color rgb="FF000000"/>
        <rFont val="Arial Narrow"/>
      </rPr>
      <t xml:space="preserve">  Para este periodo el proceso no aporta evidencias, por esta razón la OCI no puede verificar la ejecución del control.
Nota: la OCI, recomienda al proceso realizar el cargue de las evidencias de acuerdo con los criterios de calidad y oportunidad establecidos.
</t>
    </r>
    <r>
      <rPr>
        <b/>
        <sz val="12"/>
        <color rgb="FF000000"/>
        <rFont val="Arial Narrow"/>
      </rPr>
      <t xml:space="preserve">
12/09/2023 JAG-RBL: N/A
11/01/2024 JGS - SAPROV:</t>
    </r>
    <r>
      <rPr>
        <sz val="12"/>
        <color rgb="FF000000"/>
        <rFont val="Arial Narrow"/>
      </rPr>
      <t xml:space="preserve"> La Subdirección relizó la descripción referente a los siguientes programas dentro del marco de las acciones afirmativas:
Incentivos Proyectos organizaciones: Hace referencia a la Resolución 894 de 2023 y a la Resolución 580 de 2023, las cuales se encuentran dentro de la carpeta del OneDrive dispuesta para tal fin. 
Incentivos VTH: El proceso adjuntó la documentación correspondiente a: Resolución 667 de 2023, Resolución 823 de 2023, Resolución 847 de 2022 y Resolución 876 de 2023; esta documentación sí corresponde a la descrita por el proceso y se relaciona con el programa de incentivos VTH.
Kits de maquinaria: Se verificó que la documentación aportada por el proceso sí corresponde a la descripción realizada.
La OCI verifica la ejecución del control.
</t>
    </r>
  </si>
  <si>
    <r>
      <rPr>
        <b/>
        <sz val="12"/>
        <color rgb="FF000000"/>
        <rFont val="Arial Narrow"/>
      </rPr>
      <t xml:space="preserve">JAG: </t>
    </r>
    <r>
      <rPr>
        <sz val="12"/>
        <color rgb="FF000000"/>
        <rFont val="Arial Narrow"/>
      </rPr>
      <t xml:space="preserve">Con el informe de seguimiento no se evita la materialización del riesgo de entrega inadecuada de bienes y servicios a recicladores de oficio.
</t>
    </r>
    <r>
      <rPr>
        <b/>
        <sz val="12"/>
        <color rgb="FF000000"/>
        <rFont val="Arial Narrow"/>
      </rPr>
      <t>11/05/2023 - OCL - SRBL:</t>
    </r>
    <r>
      <rPr>
        <sz val="12"/>
        <color rgb="FF000000"/>
        <rFont val="Arial Narrow"/>
      </rPr>
      <t xml:space="preserve"> N/A
</t>
    </r>
    <r>
      <rPr>
        <b/>
        <sz val="12"/>
        <color rgb="FF000000"/>
        <rFont val="Arial Narrow"/>
      </rPr>
      <t xml:space="preserve">12/09/2023 - OCL Segundo Trimestre - SAPROV: </t>
    </r>
    <r>
      <rPr>
        <sz val="12"/>
        <color rgb="FF000000"/>
        <rFont val="Arial Narrow"/>
      </rPr>
      <t>Con base en las evidencias aportadas la OCI verifica la ejecución de la acción.
1</t>
    </r>
    <r>
      <rPr>
        <b/>
        <sz val="12"/>
        <color rgb="FF000000"/>
        <rFont val="Arial Narrow"/>
      </rPr>
      <t>2/09/2023 - OCL, Tercer Trimestre - SAPROV:</t>
    </r>
    <r>
      <rPr>
        <sz val="12"/>
        <color rgb="FF000000"/>
        <rFont val="Arial Narrow"/>
      </rPr>
      <t xml:space="preserve"> Para este periodo la OCI, no puede verificar la ejecución del control, toda vez que el proceso no aporta evidencias.
</t>
    </r>
    <r>
      <rPr>
        <b/>
        <sz val="12"/>
        <color rgb="FF000000"/>
        <rFont val="Arial Narrow"/>
      </rPr>
      <t xml:space="preserve">12/09/2023 JAG-RBL: N/A
11/01/2024 JGS - SAPROV: </t>
    </r>
    <r>
      <rPr>
        <sz val="12"/>
        <color rgb="FF000000"/>
        <rFont val="Arial Narrow"/>
      </rPr>
      <t>Se verifica la efectividad del control.</t>
    </r>
  </si>
  <si>
    <r>
      <rPr>
        <b/>
        <sz val="12"/>
        <color rgb="FF000000"/>
        <rFont val="Arial Narrow"/>
      </rPr>
      <t xml:space="preserve">JAG: </t>
    </r>
    <r>
      <rPr>
        <sz val="12"/>
        <color rgb="FF000000"/>
        <rFont val="Arial Narrow"/>
      </rPr>
      <t xml:space="preserve">Se evidencia cumplimiento de la acción de documentar los términos de convocatorias en favor de los recicladores de oficio, con las resoluciones 158 y 843 de 2023
</t>
    </r>
    <r>
      <rPr>
        <b/>
        <sz val="12"/>
        <color rgb="FF000000"/>
        <rFont val="Arial Narrow"/>
      </rPr>
      <t>11/05/2023 - OCL - SRBL:</t>
    </r>
    <r>
      <rPr>
        <sz val="12"/>
        <color rgb="FF000000"/>
        <rFont val="Arial Narrow"/>
      </rPr>
      <t xml:space="preserve"> N/A
</t>
    </r>
    <r>
      <rPr>
        <b/>
        <sz val="12"/>
        <color rgb="FF000000"/>
        <rFont val="Arial Narrow"/>
      </rPr>
      <t>12/09/2023 - OCL Segundo Trimestre - SAPROV:</t>
    </r>
    <r>
      <rPr>
        <sz val="12"/>
        <color rgb="FF000000"/>
        <rFont val="Arial Narrow"/>
      </rPr>
      <t xml:space="preserve"> Para este periodo la OCI, verificó la ejecución de la acción, de acuerdo con las evidencias aportadas por el proceso.
</t>
    </r>
    <r>
      <rPr>
        <b/>
        <sz val="12"/>
        <color rgb="FF000000"/>
        <rFont val="Arial Narrow"/>
      </rPr>
      <t xml:space="preserve">12/09/2023 - OCL, Tercer Trimestre - SAPROV: </t>
    </r>
    <r>
      <rPr>
        <sz val="12"/>
        <color rgb="FF000000"/>
        <rFont val="Arial Narrow"/>
      </rPr>
      <t xml:space="preserve">Para este periodo la OCI, verificó la ejecución de la acción, de acuerdo con las evidencias aportadas por el proceso.
</t>
    </r>
    <r>
      <rPr>
        <b/>
        <sz val="12"/>
        <color rgb="FF000000"/>
        <rFont val="Arial Narrow"/>
      </rPr>
      <t xml:space="preserve">12/09/2023 JAG-RBL: N/A
11/01/2024 JGS - SAPROV: </t>
    </r>
    <r>
      <rPr>
        <sz val="12"/>
        <color rgb="FF000000"/>
        <rFont val="Arial Narrow"/>
      </rPr>
      <t>Se evidenció que parte de la descripción realizada por el proceso coincide con la descripción de la ejecución del control, en lo que concierne a la implementación de las acciones afirmativas (Incentivos proyectos organizaciones, VTH y kits de maquinaria). La documentación que soporta esta ejecución se pudo verificar por las evidencias cargadas en la carpeta denominada Control 1. Se evidencia el cumplimiento de la acción, no obstante, la OCI recomienda aclarar dentro de la descripción dónde se encuentra el cargue de la información o mencionar que esta corresponde a la misma del control.</t>
    </r>
  </si>
  <si>
    <t>Seguimiento a programas de entrega de acciones afirmativas a Organizaciones de Recicladores.</t>
  </si>
  <si>
    <t>FUERTE</t>
  </si>
  <si>
    <t>Realizar la verificación aleatoria del cumplimiento de los criterios o documentación para la entrega de beneficios a recicladores y presentación semestran ante el CICCI</t>
  </si>
  <si>
    <t xml:space="preserve">SAPROV: 10/03/2023: En lo que va corrido de la vigencia, la subdirección no ha sido convocada para participar en el CICI y presentar la verificación del cumplimiento de los criteros o documentación para entrega de acciones afirmativas. </t>
  </si>
  <si>
    <t>SAPROV:10/05/2023, Para el periodo  no se ha  convocado  CICCI.
SAPROV:13/07/2023, Para el periodo  no se ha  convocado  CICCI.</t>
  </si>
  <si>
    <r>
      <rPr>
        <b/>
        <sz val="11"/>
        <color rgb="FF4F81BD"/>
        <rFont val="Arial Narrow"/>
        <family val="2"/>
      </rPr>
      <t>SAPROV:11/08/2023,</t>
    </r>
    <r>
      <rPr>
        <sz val="11"/>
        <color rgb="FF4F81BD"/>
        <rFont val="Arial Narrow"/>
        <family val="2"/>
      </rPr>
      <t xml:space="preserve"> mediante  correo del 5 de julio de 2023, se gestióno  con la Oficina de Control Interno el incluir   en la Agenda   del  CICCI, programado para el  31 de julio de 2023, la Acción  planteanda.  
Mediante Correo Electronico del  27 de julio  se remitio la presentación  semestral  com parte de la agenda a tratar en en el comite. 
(Anexo:  Correos y  presentación)
</t>
    </r>
    <r>
      <rPr>
        <b/>
        <sz val="11"/>
        <color rgb="FF4F81BD"/>
        <rFont val="Arial Narrow"/>
        <family val="2"/>
      </rPr>
      <t>SAPROV:14/09/2023:</t>
    </r>
    <r>
      <rPr>
        <sz val="11"/>
        <color rgb="FF4F81BD"/>
        <rFont val="Arial Narrow"/>
        <family val="2"/>
      </rPr>
      <t xml:space="preserve"> La acción es semestral teniendo en cuenta la programación del CICCI.</t>
    </r>
  </si>
  <si>
    <r>
      <rPr>
        <b/>
        <sz val="11"/>
        <color rgb="FF4F81BD"/>
        <rFont val="Arial Narrow"/>
      </rPr>
      <t xml:space="preserve">SAPROV:10/11/2023.  </t>
    </r>
    <r>
      <rPr>
        <sz val="11"/>
        <color rgb="FF4F81BD"/>
        <rFont val="Arial Narrow"/>
      </rPr>
      <t xml:space="preserve"> La acción se  cumplio para el primer  Semetres  conforme lo reportado  en el seguimiento   del  tercer trimestre.
El  segundo semestre el seguimiento estara sugeto a la programación del CICCI.
</t>
    </r>
    <r>
      <rPr>
        <b/>
        <sz val="11"/>
        <color rgb="FF4F81BD"/>
        <rFont val="Arial Narrow"/>
      </rPr>
      <t xml:space="preserve">SAPROV:11/12/2023.   </t>
    </r>
    <r>
      <rPr>
        <sz val="11"/>
        <color rgb="FF4F81BD"/>
        <rFont val="Arial Narrow"/>
      </rPr>
      <t xml:space="preserve">La acción se  cumplio para el primer semestre  conforme lo reportado  en el seguimiento   del  tercer trimestre. El  segundo semestre el seguimiento estara sugeto a la programación del CICCI.
</t>
    </r>
    <r>
      <rPr>
        <b/>
        <sz val="11"/>
        <color rgb="FF4F81BD"/>
        <rFont val="Arial Narrow"/>
      </rPr>
      <t xml:space="preserve">SAPROV:11/01/2024. </t>
    </r>
    <r>
      <rPr>
        <sz val="11"/>
        <color rgb="FF4F81BD"/>
        <rFont val="Arial Narrow"/>
      </rPr>
      <t xml:space="preserve">  La acción se  cumplio para ell primer semestre  conforme lo reportado  en el seguimiento   del  tercer trimestre.    Para el segundo semestre   tniendo en cuenta  el cambio  normativo, el  comite se realizo el 26 de  diciembre, al cual  no fue posibles  agendar  eltema.    Se esta en la espera  de la programación   del CICCI,  para la  vigencia 2024
</t>
    </r>
  </si>
  <si>
    <r>
      <rPr>
        <b/>
        <sz val="11"/>
        <color rgb="FF0070C0"/>
        <rFont val="Arial Narrow"/>
        <family val="2"/>
      </rPr>
      <t>SAPROV: 10/03/2023:</t>
    </r>
    <r>
      <rPr>
        <sz val="11"/>
        <color rgb="FF0070C0"/>
        <rFont val="Arial Narrow"/>
        <family val="2"/>
      </rPr>
      <t xml:space="preserve">  En los meses de enero y febrero se realizó la revisión de las pólizas de las organizaciones beneficiadas del programa de incentivos. Se adelanto el desembolso al programa de incentivos vigencia 2022 para las 50 organizaciones beneficiadas 
(Anexo control Cuadro_de_Consolidación_Programa de Incentivos 2022-2)
</t>
    </r>
  </si>
  <si>
    <r>
      <rPr>
        <b/>
        <sz val="11"/>
        <color rgb="FF0070C0"/>
        <rFont val="Arial Narrow"/>
        <family val="2"/>
      </rPr>
      <t>SAPROV: 10/05/2023:</t>
    </r>
    <r>
      <rPr>
        <sz val="11"/>
        <color rgb="FF0070C0"/>
        <rFont val="Arial Narrow"/>
        <family val="2"/>
      </rPr>
      <t xml:space="preserve">  En el mes de  febrero se culmino el proceso de desembolso  a las 50 organizaciones, a la fecha se esta en la etapa de supervisión.
(Anexo  Informe de supervisión AREMAT)
</t>
    </r>
    <r>
      <rPr>
        <b/>
        <sz val="11"/>
        <color rgb="FF0070C0"/>
        <rFont val="Arial Narrow"/>
        <family val="2"/>
      </rPr>
      <t>SAPROV 13/07/2023:</t>
    </r>
    <r>
      <rPr>
        <sz val="11"/>
        <color rgb="FF0070C0"/>
        <rFont val="Arial Narrow"/>
        <family val="2"/>
      </rPr>
      <t xml:space="preserve"> Se realiza el seguimiento al programa de incentivos 2022 por el cual se beneficiaron 49 organizaciones de recicladores. En el mes de mayo fue emitida la resolución 397 por la cual se declara la pé´rdida de fuerza ejecutoria de la resolución 036 de 2023 que ordenó el desembolso y pago del incentivo a la asociación ARNU. Adicionalmente, durante este mes fue publicada la Circular 20237000000144 en la cual se establecen lineamientos para una adecuada ejecución de los proyectos. Durante el mes de junio fue tramitado el CDP para beneficiar a la organización Julio Flores, teniendo en cuenta que en la resolución que creó el progama se definió que se continuaría con el listado de elegibles, en caso de que alguna de las organizaciones desistieran del incentivo. En junio se realizpo la reunión de seguimiento a la ejecución del programa de incentivos 2022.</t>
    </r>
  </si>
  <si>
    <t xml:space="preserve">Actas de seguimiento </t>
  </si>
  <si>
    <r>
      <t xml:space="preserve">SAPROV:11/08/2023
</t>
    </r>
    <r>
      <rPr>
        <b/>
        <sz val="11"/>
        <color rgb="FF4F81BD"/>
        <rFont val="Arial Narrow"/>
        <family val="2"/>
      </rPr>
      <t>1. Programa Incentivos 2022:</t>
    </r>
    <r>
      <rPr>
        <sz val="11"/>
        <color rgb="FF4F81BD"/>
        <rFont val="Arial Narrow"/>
        <family val="2"/>
      </rPr>
      <t xml:space="preserve"> Fue aprobada la resolución de desembolso No. 574 de 2023  a nombre de la organización Julio Flores, se encuentra pendiente documentos de la organización para realizar el desembolso. Se continúa el seguimiento de los proyectos de incentivos 2022. Se creó oficio para afectar póliza de Biovida. (Anexo: Resolución de desembolso No. 574 de 2023)
</t>
    </r>
    <r>
      <rPr>
        <b/>
        <sz val="11"/>
        <color rgb="FF4F81BD"/>
        <rFont val="Arial Narrow"/>
        <family val="2"/>
      </rPr>
      <t xml:space="preserve">2. Programa Kits de Maquinaria: </t>
    </r>
    <r>
      <rPr>
        <sz val="11"/>
        <color rgb="FF4F81BD"/>
        <rFont val="Arial Narrow"/>
        <family val="2"/>
      </rPr>
      <t xml:space="preserve">Se entregan resoluciones de adjudicación individual a las Asociaciones beneficiadas. (Anexo: Resoluciones de adjudicación individual a las Asociaciones beneficiadas)
</t>
    </r>
    <r>
      <rPr>
        <b/>
        <sz val="11"/>
        <color rgb="FF4F81BD"/>
        <rFont val="Arial Narrow"/>
        <family val="2"/>
      </rPr>
      <t>3. Entrega Uniformes:</t>
    </r>
    <r>
      <rPr>
        <sz val="11"/>
        <color rgb="FF4F81BD"/>
        <rFont val="Arial Narrow"/>
        <family val="2"/>
      </rPr>
      <t xml:space="preserve"> con corte a julio se han entregado 26,550 uniformes a 8,850 recicladores de oficio que se encuentran registrados en el RURO. (Anexos: Actas entrega Iniformes  mes de julio )
</t>
    </r>
    <r>
      <rPr>
        <b/>
        <sz val="11"/>
        <color rgb="FF4F81BD"/>
        <rFont val="Arial Narrow"/>
        <family val="2"/>
      </rPr>
      <t>4. Entrega de Kits de ofimática:</t>
    </r>
    <r>
      <rPr>
        <sz val="11"/>
        <color rgb="FF4F81BD"/>
        <rFont val="Arial Narrow"/>
        <family val="2"/>
      </rPr>
      <t xml:space="preserve"> con corte a julio se han entregado 185 kits de ofimatica. A la fecha falta por entregar a 4 organizaciones de las 197 beneficiadas por la resolución y 8 organizaciones desistieron del beneficio.  (Anexos: Egresos  de alamcen y Actas de Entrega mes de julio)
</t>
    </r>
    <r>
      <rPr>
        <b/>
        <sz val="11"/>
        <color rgb="FF4F81BD"/>
        <rFont val="Arial Narrow"/>
        <family val="2"/>
      </rPr>
      <t xml:space="preserve">SAPROV: 14/09/2023: 
1. Programa Incentivos 
Vigencia 2022: </t>
    </r>
    <r>
      <rPr>
        <sz val="11"/>
        <color rgb="FF4F81BD"/>
        <rFont val="Arial Narrow"/>
        <family val="2"/>
      </rPr>
      <t>Se continúa con el seguimiento de los proyectos beneficiados en incentivos. Se realizó la solicitud de prórroga de Biovida. Ya se envió la solicitud de desembolso a la espera del mismo. Las organizaciones Puerta de Oro, ACRUB y AGRUCOL que tenían retrasos en la ejecución, lograron finalizar su proyecto</t>
    </r>
    <r>
      <rPr>
        <b/>
        <sz val="11"/>
        <color rgb="FF4F81BD"/>
        <rFont val="Arial Narrow"/>
        <family val="2"/>
      </rPr>
      <t xml:space="preserve">.  </t>
    </r>
    <r>
      <rPr>
        <sz val="11"/>
        <color rgb="FF4F81BD"/>
        <rFont val="Arial Narrow"/>
        <family val="2"/>
      </rPr>
      <t>(Anexo  Correo a Legales. Informes de Cumplimiento)</t>
    </r>
    <r>
      <rPr>
        <b/>
        <sz val="11"/>
        <color rgb="FF4F81BD"/>
        <rFont val="Arial Narrow"/>
        <family val="2"/>
      </rPr>
      <t xml:space="preserve">
Vigencia  2023:  </t>
    </r>
    <r>
      <rPr>
        <sz val="11"/>
        <color rgb="FF4F81BD"/>
        <rFont val="Arial Narrow"/>
        <family val="2"/>
      </rPr>
      <t>No see  han realizado  entregas para el perido.</t>
    </r>
    <r>
      <rPr>
        <b/>
        <sz val="11"/>
        <color rgb="FF4F81BD"/>
        <rFont val="Arial Narrow"/>
        <family val="2"/>
      </rPr>
      <t xml:space="preserve">
2. Programa Kits de Maquinaria:  S</t>
    </r>
    <r>
      <rPr>
        <sz val="11"/>
        <color rgb="FF4F81BD"/>
        <rFont val="Arial Narrow"/>
        <family val="2"/>
      </rPr>
      <t>e entregan los primeros 8 kits de maquinaria a las asociaciones beneficiadas, pendiente por entregar el kit de León verde que no ha cumplido con las garantías exigidas y se envía a la SUbdirección de Asuntos Legales,  para aprobación nueva resolución para convocatoria de  los dos kits pendientes por entregar.</t>
    </r>
    <r>
      <rPr>
        <sz val="11"/>
        <rFont val="Arial Narrow"/>
        <family val="2"/>
      </rPr>
      <t xml:space="preserve"> </t>
    </r>
    <r>
      <rPr>
        <sz val="11"/>
        <color theme="3" tint="0.39997558519241921"/>
        <rFont val="Arial Narrow"/>
        <family val="2"/>
      </rPr>
      <t>Se realzójornadas de capacitación  a las asociaciones beneficiadas  (Anexo Actas de Entrega Kits)</t>
    </r>
    <r>
      <rPr>
        <sz val="11"/>
        <color rgb="FF4F81BD"/>
        <rFont val="Arial Narrow"/>
        <family val="2"/>
      </rPr>
      <t xml:space="preserve">
</t>
    </r>
    <r>
      <rPr>
        <b/>
        <sz val="11"/>
        <color rgb="FF4F81BD"/>
        <rFont val="Arial Narrow"/>
        <family val="2"/>
      </rPr>
      <t xml:space="preserve">
3. Entrega Uniformes: c</t>
    </r>
    <r>
      <rPr>
        <sz val="11"/>
        <color rgb="FF4F81BD"/>
        <rFont val="Arial Narrow"/>
        <family val="2"/>
      </rPr>
      <t xml:space="preserve">on corte a Agosto se han entregado 32,384 uniformes a 9,969 recicladores de oficio que se encuentran registrados en el RURO. </t>
    </r>
    <r>
      <rPr>
        <sz val="11"/>
        <color rgb="FFFF0000"/>
        <rFont val="Arial Narrow"/>
        <family val="2"/>
      </rPr>
      <t>(Anexos: Actas entrega Iniformes  mes de Agosto )</t>
    </r>
    <r>
      <rPr>
        <b/>
        <sz val="11"/>
        <color rgb="FF4F81BD"/>
        <rFont val="Arial Narrow"/>
        <family val="2"/>
      </rPr>
      <t xml:space="preserve">
4. Entrega de Kits de ofimática: c</t>
    </r>
    <r>
      <rPr>
        <sz val="11"/>
        <color rgb="FF4F81BD"/>
        <rFont val="Arial Narrow"/>
        <family val="2"/>
      </rPr>
      <t xml:space="preserve">on corte a julio se han entregado 189 kits de ofimatica.   </t>
    </r>
    <r>
      <rPr>
        <sz val="11"/>
        <color rgb="FFFF0000"/>
        <rFont val="Arial Narrow"/>
        <family val="2"/>
      </rPr>
      <t>(Anexos: Egresos  de alamcen y Actas de Entrega mes de agosto)</t>
    </r>
    <r>
      <rPr>
        <sz val="11"/>
        <color rgb="FF4F81BD"/>
        <rFont val="Arial Narrow"/>
        <family val="2"/>
      </rPr>
      <t xml:space="preserve">
</t>
    </r>
    <r>
      <rPr>
        <b/>
        <sz val="11"/>
        <color rgb="FF4F81BD"/>
        <rFont val="Arial Narrow"/>
        <family val="2"/>
      </rPr>
      <t xml:space="preserve">
</t>
    </r>
    <r>
      <rPr>
        <sz val="11"/>
        <color rgb="FF4F81BD"/>
        <rFont val="Arial Narrow"/>
        <family val="2"/>
      </rPr>
      <t xml:space="preserve">
</t>
    </r>
  </si>
  <si>
    <r>
      <rPr>
        <b/>
        <sz val="11"/>
        <color theme="4"/>
        <rFont val="Arial Narrow"/>
        <family val="2"/>
      </rPr>
      <t>SAPROV:11/08/2023</t>
    </r>
    <r>
      <rPr>
        <sz val="11"/>
        <color theme="4"/>
        <rFont val="Arial Narrow"/>
        <family val="2"/>
      </rPr>
      <t xml:space="preserve">
1.  Incentivos 2022:  Resolución de desembolso No. 574 de 2023
2.  Kits Maquinaria: Resoluciones de adjudicación individual a las Asociaciones beneficiadas
3. Uniformes:  Actas entrega Iniformes   mes de julio 
4. Kits de Ofirmatica:  Egresos  de alamcen y Actas de Entrega mes de julio 
</t>
    </r>
    <r>
      <rPr>
        <b/>
        <sz val="11"/>
        <color theme="4"/>
        <rFont val="Arial Narrow"/>
        <family val="2"/>
      </rPr>
      <t xml:space="preserve">SAPROV: 14/09/2023:          
</t>
    </r>
    <r>
      <rPr>
        <sz val="11"/>
        <color theme="4"/>
        <rFont val="Arial Narrow"/>
        <family val="2"/>
      </rPr>
      <t>Correo a Legales. Informes de Cumplimiento
Anexo Actas de Entrega Kits
 Actas entrega Iniformes  mes de Agosto
 Egresos  de alamcen y Actas de Entrega Kitsmes de agosto</t>
    </r>
  </si>
  <si>
    <r>
      <rPr>
        <sz val="11"/>
        <color rgb="FF000000"/>
        <rFont val="Arial Narrow"/>
      </rPr>
      <t xml:space="preserve">
</t>
    </r>
    <r>
      <rPr>
        <b/>
        <sz val="11"/>
        <color rgb="FF0070C0"/>
        <rFont val="Arial Narrow"/>
      </rPr>
      <t>SAPROV 11/12/2023:</t>
    </r>
    <r>
      <rPr>
        <sz val="11"/>
        <color rgb="FF0070C0"/>
        <rFont val="Arial Narrow"/>
      </rPr>
      <t xml:space="preserve">  Durante el mes de noviembre se realiza el seguimiento de los programas de incentivos así:
1. Programa de incentivos
</t>
    </r>
    <r>
      <rPr>
        <b/>
        <sz val="11"/>
        <color rgb="FF0070C0"/>
        <rFont val="Arial Narrow"/>
      </rPr>
      <t>1.1 Incentivos Proyectos organizaciones:</t>
    </r>
    <r>
      <rPr>
        <sz val="11"/>
        <color rgb="FF0070C0"/>
        <rFont val="Arial Narrow"/>
      </rPr>
      <t xml:space="preserve"> En este mes se realizaron las evaluaciones técnicas y orales de los proyecctos presentados por las Organizaciones de Recicladores de Oficio que se postularon al "Programa de Incentivos 2023", se publicó una lista preliminar, se esperó el tiempo de reclamo, y posteriormente se publicó la resolución 894 de 2023 por la cual se publica el listado de elegibles, de la 30 organizaciones.  En el mes de noviembre se inicó la emisión y publicación de las resoluciones de desembolso a nombre de las organizaciones beneficiadas en el Programa de Incentivos 2023, de la 30 se lograron 27. 
</t>
    </r>
    <r>
      <rPr>
        <b/>
        <sz val="11"/>
        <color rgb="FF0070C0"/>
        <rFont val="Arial Narrow"/>
      </rPr>
      <t>1.2. Incentivos  VTH:</t>
    </r>
    <r>
      <rPr>
        <sz val="11"/>
        <color rgb="FF0070C0"/>
        <rFont val="Arial Narrow"/>
      </rPr>
      <t xml:space="preserve">  Se inicó la emisión y publicación de las resoluciones de desembolso a nombre de las organizaciones beneficiadas en el Programa de Incentivos 2023, .
</t>
    </r>
    <r>
      <rPr>
        <b/>
        <sz val="11"/>
        <color rgb="FF0070C0"/>
        <rFont val="Arial Narrow"/>
      </rPr>
      <t xml:space="preserve">2. Programa de Kits de Maquinaria: </t>
    </r>
    <r>
      <rPr>
        <sz val="11"/>
        <color rgb="FF0070C0"/>
        <rFont val="Arial Narrow"/>
      </rPr>
      <t xml:space="preserve">Luego de la convocatoria y la revisión de los requisitos fueron entregados:   Resolución 896 de  2023
“Por la cualse seleccionan 2 organizaciones de recicladores de oficio beneficiarias y se adjudican los recursos como resultado de la segunda convocatoria para la entrega de kits de maquinaria
</t>
    </r>
    <r>
      <rPr>
        <b/>
        <sz val="11"/>
        <color rgb="FF0070C0"/>
        <rFont val="Arial Narrow"/>
      </rPr>
      <t>SAPROV 11/12/2023</t>
    </r>
    <r>
      <rPr>
        <sz val="11"/>
        <color rgb="FF0070C0"/>
        <rFont val="Arial Narrow"/>
      </rPr>
      <t xml:space="preserve">:  Durante el mes de Diciembre  se presenta el siguiente seguimiento consolidado  los programas relacionados  con las Acciones afirmativas :
1. </t>
    </r>
    <r>
      <rPr>
        <b/>
        <sz val="11"/>
        <color rgb="FF0070C0"/>
        <rFont val="Arial Narrow"/>
      </rPr>
      <t>PROGRAMA DE INCENTIVOS</t>
    </r>
    <r>
      <rPr>
        <sz val="11"/>
        <color rgb="FF0070C0"/>
        <rFont val="Arial Narrow"/>
      </rPr>
      <t>: En  el mes de agosto se  abrió la convocatoria para que las asociaciones de recicladores que están inscritas en el Registro Único de Organizaciones de Recicladores - RUOR - participen en la tercera versión del Programa de Incentivos 2023.     El  17 de agosto  se   cerró la convocatoria, en la cual se inscribieron  un total de  113  organizaciones.
Se expide la resolución No. 894 de 2023, Por la cual se seleccionan treinta (30) proyectos beneficiarios y se adjudican los recursos del Programa de Incentivos correspondientes a la vigencia 2023, como acción afirmativa a favor de las Organizaciones de recicladores de oficio de Bogotá D.C, de conformidad con la Resolución No. 580 de 2023.
Durante el periodo  se han expedido las siguientes resoluciones   ordenando el desembolso: 
1.    Resolución No. 894 de 2023 Por la cual se seleccionan treinta (30) proyectos beneficiarios y se adjudican los recursos del Programa de Incentivos correspondientes a la vigencia 2023
2.    Resolución No. 965 de 2023 - RECICONDOR
3.    Resolución No. 966 de 2023 - ECOSAIM E.S.P
4.    Resolución No. 967 de 2023 - ASOCREAR FUTURO R.R.
5.    Resolución No. 968 de 2023 - ARASID,
6.    Resolución No. 973 de 2023 - CORPOGECKO E.S.P,
7.    Resolución No. 974 de 2023 -  NUEVA ERA ESP
8.    Resolución No. 975 de 2023 - ECOALIANZA
9.    Resolución No. 976 de 2023 - CAMILO TORRES
10. Resolución No. 978 de 2023 - EMRS E.S.P
11. Resolución No. 979 de 2023 - ASOCIACIÓN RECICLOSOCIAL
12. Resolución No. 980 de 2023 - BIOAMBIENTAL
13. Resolución No. 981 de 2023 - AMRUSLA.
14. RESOLUCION_983_DE_2023
15. RESOLUCION_984_DE_2023
16. RESOLUCION_988_DE_2023
17.  RESOLUCION_990_DE_2023
18.  RESOLUCION_992_DE_2023
20.  RESOLUCION_991_DE_2023
1.2.</t>
    </r>
    <r>
      <rPr>
        <b/>
        <sz val="11"/>
        <color rgb="FF0070C0"/>
        <rFont val="Arial Narrow"/>
      </rPr>
      <t xml:space="preserve"> PROGRAMA  VTH</t>
    </r>
    <r>
      <rPr>
        <sz val="11"/>
        <color rgb="FF0070C0"/>
        <rFont val="Arial Narrow"/>
      </rPr>
      <t xml:space="preserve">: ara el cierre del periodo 2023:   De conformidad con la Resolución Modificatoria No. 667 de 2023 “Por la cual se aclara y se modifica la Resolución No. 847 de 2022 y se establecen los criterios, lineamientos y requisitos para el desembolso del incentivo del “Programa de Incentivos para la Sustitución de VTH (Vehículos de Tracción Humana) como acción afirmativa a favor de las Organizaciones de Recicladores de Oficio de Bogotá D.C.”, realizó la revisión de la documentación recibida por  parte de las organizaciones de recicladores, incluidas en el Registro Único de Organizaciones de Recicladores –RUOR y publica el listado preliminar de elegibles con un total de 197 Asociaciones , de las cuales   12 no presentaron papeles.   Es así que  durante el periodo  se   han realizado 185 adjudicaciones. Se expiden los siguientes resoluciones:   1.Resolución 667 del  2023
 Resolución No. 876 de  2023 (130)
2. Resolución No. 934 de 2023 Por la cual se adjudican los recursos y se ordena el desembolso a favor de 54 Organizaciones 
organizaciones
3. Resolución No. 977 de 2023, se adiciona el artículo segundo de la Resolución No. 934 de 2023, incluyendo  una asociación en  el listado de organizaciones adjudicatarias
</t>
    </r>
    <r>
      <rPr>
        <b/>
        <sz val="11"/>
        <color rgb="FF4F81BD"/>
        <rFont val="Arial Narrow"/>
      </rPr>
      <t>1.3 PROGRAMA ENTREGA KITS DE MAQUINARIA 2023</t>
    </r>
    <r>
      <rPr>
        <sz val="11"/>
        <color rgb="FF4F81BD"/>
        <rFont val="Arial Narrow"/>
      </rPr>
      <t xml:space="preserve"> :   Teniendo en cuenta las Resoluciones 843 de 2022 y 706 de 2023, “Por la cual se crea el Programa y la Segunda Convocatoria para la Entrega de Kits de Maquinaria para el prealistamiento del material plástico posconsumo y se definen los términos de referencia para la evaluación y selección de las organizaciones de recicladores de Oficio beneficiarias”. 
Durante el periodo se realizó la entrega de   11  Kits de maquinaria conforme las siguientes resoluciones:
1. RESOLUCIÓN 511 2023-AREMAT 
2. RESOLUCIÓN 512 2023-ASOREPCOL.
3. RESOLUCIÓN 513 2023-Julio Flores y 12 de Octubre
4. RESOLUCIÓN 514 2023-ASOCOLOMBIANITA
5. RESOLUCIÓN 515 2023-YO RECICLO
6. RESOLUCIÓN 516 2023-ASOREMA
7. RESOLUCIÓN 517 2023-ACB
8. RESOLUCIÓN 518 2023-ARCRECIFRONT
9.  RESOLUCIÓN 519 2023-León Verde y Reciclaje VR
10. RESOLUCIÓN  898 2023 - CICLO ALTERNATIVO
11. RESOLUCIÓN 899 2023 - GAIAREC
</t>
    </r>
  </si>
  <si>
    <t>1.1 Incentivos Proyectos organizaciones: Resolución 894 de 2023 por la cual se publica el listado de elegibles, de la 30 organizaciones. Resoluciones desembolsos
1.2. Incentivos  VTH: Resoluciones 934 y 977 de 2023
2. Programa de Kits de Maquinaria:  Resolución 896 de  2023</t>
  </si>
  <si>
    <r>
      <rPr>
        <sz val="12"/>
        <color rgb="FF000000"/>
        <rFont val="Arial Narrow"/>
      </rPr>
      <t xml:space="preserve">11/05/2023 - OCL - SRBL:  N/A
</t>
    </r>
    <r>
      <rPr>
        <b/>
        <sz val="12"/>
        <color rgb="FF000000"/>
        <rFont val="Arial Narrow"/>
      </rPr>
      <t>12/09/2023 - OCL Segundo Trimestre - SAPROV:</t>
    </r>
    <r>
      <rPr>
        <sz val="12"/>
        <color rgb="FF000000"/>
        <rFont val="Arial Narrow"/>
      </rPr>
      <t xml:space="preserve">  De acuerdo con la revisión de las evidencias aportadas por el proceso, la OCI verifica el cumplimiento del control.
</t>
    </r>
    <r>
      <rPr>
        <b/>
        <sz val="12"/>
        <color rgb="FF000000"/>
        <rFont val="Arial Narrow"/>
      </rPr>
      <t xml:space="preserve">12/09/2023 - OCL Tercer Trimestre - SAPROV: </t>
    </r>
    <r>
      <rPr>
        <sz val="12"/>
        <color rgb="FF000000"/>
        <rFont val="Arial Narrow"/>
      </rPr>
      <t xml:space="preserve">  De acuerdo con la revisión de las evidencias aportadas por el proceso, la OCI verifica el cumplimiento del control.
</t>
    </r>
    <r>
      <rPr>
        <b/>
        <sz val="12"/>
        <color rgb="FF000000"/>
        <rFont val="Arial Narrow"/>
      </rPr>
      <t xml:space="preserve">12/09/2023 JAG-RBL: N/A
11/01/2024 JGS - SAPROV: </t>
    </r>
    <r>
      <rPr>
        <sz val="12"/>
        <color rgb="FF000000"/>
        <rFont val="Arial Narrow"/>
      </rPr>
      <t xml:space="preserve">El proceso realizó la descripción correspondiente a:
Programas Incentivos Organizaciones: Se encontró la Resolución 894 de 2023 como lo referenció el proceso en su descripción, así como las resoluciones que respaldan el desembolso del incentivo económico para las 30 organizaciones de recicladores que fueron beneficiadas del Programa de incentivos. 
Programa VTH: Se encontraron las Resoluciones 934 y 977 de 2023, las cuales soportan la adjudicación de recursos y ordenan el desembolso a favor de 55 organizaciones, en el marco del Programa de incentivos para la sustitución de VTH. 
Programa Kits de maquinaria: Conforme a la documentación aportada por la Subdirección, se pudo verificar la entrega de estos kits a 11 organizaciones de recicladores (soportado por sus resoluciones), lo cual es acorde a lo descrito por el proceso.
De acuerdo con lo presentado anteriormente, se verifica la ejecución del control. </t>
    </r>
  </si>
  <si>
    <r>
      <rPr>
        <sz val="12"/>
        <color rgb="FF000000"/>
        <rFont val="Arial Narrow"/>
      </rPr>
      <t xml:space="preserve">11/05/2023 - OCL - SRBL:  N/A
</t>
    </r>
    <r>
      <rPr>
        <b/>
        <sz val="12"/>
        <color rgb="FF000000"/>
        <rFont val="Arial Narrow"/>
      </rPr>
      <t xml:space="preserve">12/09/2023 - OCL Segundo Trimestre - SAPROV: </t>
    </r>
    <r>
      <rPr>
        <sz val="12"/>
        <color rgb="FF000000"/>
        <rFont val="Arial Narrow"/>
      </rPr>
      <t xml:space="preserve">Con base en las evidencias aportadas la OCI verifica la ejecución de la acción.
</t>
    </r>
    <r>
      <rPr>
        <b/>
        <sz val="12"/>
        <color rgb="FF000000"/>
        <rFont val="Arial Narrow"/>
      </rPr>
      <t xml:space="preserve">12/09/2023 - OCL, Tercer Trimestre - SAPROV: </t>
    </r>
    <r>
      <rPr>
        <sz val="12"/>
        <color rgb="FF000000"/>
        <rFont val="Arial Narrow"/>
      </rPr>
      <t xml:space="preserve">Con base en las evidencias aportadas la OCI verifica la ejecución de la acción.
</t>
    </r>
    <r>
      <rPr>
        <b/>
        <sz val="12"/>
        <color rgb="FF000000"/>
        <rFont val="Arial Narrow"/>
      </rPr>
      <t>12/09/2023 JAG-RBL: N/A
11/01/2024 JGS - SAPROV:</t>
    </r>
    <r>
      <rPr>
        <sz val="12"/>
        <color rgb="FF000000"/>
        <rFont val="Arial Narrow"/>
      </rPr>
      <t xml:space="preserve"> Se verifica la efectividad del control.</t>
    </r>
  </si>
  <si>
    <r>
      <rPr>
        <sz val="12"/>
        <color rgb="FF000000"/>
        <rFont val="Arial Narrow"/>
      </rPr>
      <t xml:space="preserve">11/05/2023 - OCL - SRBL:  N/A
</t>
    </r>
    <r>
      <rPr>
        <b/>
        <sz val="12"/>
        <color rgb="FF000000"/>
        <rFont val="Arial Narrow"/>
      </rPr>
      <t>12/09/2023 - OCL Segundo Trimestre - SAPROV:</t>
    </r>
    <r>
      <rPr>
        <sz val="12"/>
        <color rgb="FF000000"/>
        <rFont val="Arial Narrow"/>
      </rPr>
      <t xml:space="preserve"> Para este periodo el proceso no aportó evidencias, por está razón la OCI no pudo verificar la ejecución de la acción.
</t>
    </r>
    <r>
      <rPr>
        <b/>
        <sz val="12"/>
        <color rgb="FF000000"/>
        <rFont val="Arial Narrow"/>
      </rPr>
      <t>12/09/2023 - OCL, Tercer Trimestre - SAPROV:</t>
    </r>
    <r>
      <rPr>
        <sz val="12"/>
        <color rgb="FF000000"/>
        <rFont val="Arial Narrow"/>
      </rPr>
      <t xml:space="preserve"> Para este periodo la OCI, verificó la ejecución de la acción, de acuerdo con las evidencias aportadas por el proceso.
</t>
    </r>
    <r>
      <rPr>
        <b/>
        <sz val="12"/>
        <color rgb="FF000000"/>
        <rFont val="Arial Narrow"/>
      </rPr>
      <t xml:space="preserve">12/09/2023 JAG-RBL: N/A
11/01/2024 Cuarto Trimestre JGS - SAPROV: </t>
    </r>
    <r>
      <rPr>
        <sz val="12"/>
        <color rgb="FF000000"/>
        <rFont val="Arial Narrow"/>
      </rPr>
      <t>El proceso argumenta que debido al cambio normativo, la reunión del Comité CICCI se llevó a cabo el 26 de diciembre de 2023 y que no fue posible el agendamiento para el seguimiento en esta reunión, razón por la que se encuentran a la espera de una nueva reunión de este comité para la vigencia 2024. Teniendo en cuenta lo expuesto anteriormente, la OCI no pudo verificar la ejecución de la acción.</t>
    </r>
  </si>
  <si>
    <t>Posibilidad de beneficio propio o de un tercero por el registro de recicladores de oficio u organizaciones en las bases de datos del RURO y RUOR sin cumplir los criterios de inclusión, debido a falta de verificación del cumplimiento de los requisitos, debilidades en el control, y falta de seguimiento en el proceso</t>
  </si>
  <si>
    <t>registro de recicladores de oficio u organizaciones en las bases de datos del RURO y RUOR sin cumplir los criterios de inclusión</t>
  </si>
  <si>
    <t>falta de verificación del cumplimiento de los requisitos, debilidades en el control, y falta de seguimiento en el proceso</t>
  </si>
  <si>
    <t>Comité de verificación del procedimiento del Registro Único de Recicladores de Oficio - RURO y del Registro Único de Organizaciones de Recicladores de Oficio - RUOR.</t>
  </si>
  <si>
    <t>Relizar la verificación aleatoria en campo del cumplimiento de los criterios y documentación para la inclusión en los registros y presentación semestral ante el CICCI</t>
  </si>
  <si>
    <t>Comité de verificación RURO y RUOR</t>
  </si>
  <si>
    <r>
      <rPr>
        <b/>
        <sz val="11"/>
        <color rgb="FF0070C0"/>
        <rFont val="Arial Narrow"/>
        <family val="2"/>
      </rPr>
      <t>SAPROV: 10/03/2023</t>
    </r>
    <r>
      <rPr>
        <sz val="11"/>
        <color rgb="FF0070C0"/>
        <rFont val="Arial Narrow"/>
        <family val="2"/>
      </rPr>
      <t>:   El  Comité de Verificación del Procedimiento del Registro Único de Organizaciones de Recicladores de Oficio – RUOR, mediante Actas No. 01 de fechas 17 de enero y 17 de febrero de 2023, dejó constancia de la verificación de los criterios y requisitos mediante la validación de la documentación que las mencionadas Organizaciones radicaron y la Subdirección de Aprovechamiento validó. Teniendo en cuenta que el procedimiento de inclusión al RUOR fue actualizado el 07 de marzo, visitas de campo aleatorias, se programarán previamente a la reunión de comité de verificación. Para el periodo no se realizaron verificaciones aleatorias en campo.</t>
    </r>
  </si>
  <si>
    <r>
      <rPr>
        <b/>
        <sz val="11"/>
        <color rgb="FF4F81BD"/>
        <rFont val="Arial Narrow"/>
        <family val="2"/>
      </rPr>
      <t>SAPROV: 10/05/2023:</t>
    </r>
    <r>
      <rPr>
        <sz val="11"/>
        <color rgb="FF4F81BD"/>
        <rFont val="Arial Narrow"/>
        <family val="2"/>
      </rPr>
      <t xml:space="preserve">  El Comité de Verificación del Procedimiento de Registro Único de Organizaciones de Recicladores de Oficio RUOR. Adelanto reunión el 27 de marzo de 2023,  con el objeto de Validar la información presentada por el Equipo de Verificaciones, de las organizaciones que solicitaron la inclusión en el Registro Único de
Organizaciones de Recicladores de Oficio – RUOR y verificar la información presentada por las Organizaciones para su permanencia en el Registro Único de Organizaciones de Recicladores de Oficio – RUOR. 
Para el periodo  no se realizaron verificacionesaleatorias en  campo, esto teniendo en cuenta   la falta de personal para apoyar este proceso, ya que aun  no se ha terminado el proceso de contratación.</t>
    </r>
    <r>
      <rPr>
        <sz val="11"/>
        <color rgb="FF4F81BD"/>
        <rFont val="Arial Narrow"/>
        <family val="2"/>
      </rPr>
      <t xml:space="preserve">
SAPROV: 13/07/2023: Fue realizada la solicitud de cambio de la acción ante el CIGD.</t>
    </r>
  </si>
  <si>
    <t>Accion eliminada por aprobacion del CIGD del 30/06/2023</t>
  </si>
  <si>
    <t>Solicitud de cierre</t>
  </si>
  <si>
    <r>
      <rPr>
        <b/>
        <sz val="11"/>
        <color rgb="FF0070C0"/>
        <rFont val="Arial Narrow"/>
        <family val="2"/>
      </rPr>
      <t>SAPROV: 10/03/2023</t>
    </r>
    <r>
      <rPr>
        <sz val="11"/>
        <color rgb="FF0070C0"/>
        <rFont val="Arial Narrow"/>
        <family val="2"/>
      </rPr>
      <t>: En lo que va corrido del año se han realizado dos comités de verificacion con fechas del 17 de enero y el 17 de febrero de 2023 (Actas de Comites)</t>
    </r>
  </si>
  <si>
    <r>
      <rPr>
        <b/>
        <sz val="11"/>
        <color theme="4" tint="-0.249977111117893"/>
        <rFont val="Arial Narrow"/>
        <family val="2"/>
      </rPr>
      <t>SAPROV: 10/05/2023</t>
    </r>
    <r>
      <rPr>
        <sz val="11"/>
        <color theme="4" tint="-0.249977111117893"/>
        <rFont val="Arial Narrow"/>
        <family val="2"/>
      </rPr>
      <t xml:space="preserve">:  Se  reportan los siguientes  comites para los meses de : 
Marzo:   se adelanto  el 27 de marzo 
           Abrilde:   este mes  no se realizo comite
 (se anexa  actas  comité  del 27 de marzo de 2023 )
</t>
    </r>
    <r>
      <rPr>
        <b/>
        <sz val="11"/>
        <color theme="4" tint="-0.249977111117893"/>
        <rFont val="Arial Narrow"/>
        <family val="2"/>
      </rPr>
      <t>SAPROV 13/07/2023</t>
    </r>
    <r>
      <rPr>
        <sz val="11"/>
        <color theme="4" tint="-0.249977111117893"/>
        <rFont val="Arial Narrow"/>
        <family val="2"/>
      </rPr>
      <t xml:space="preserve">: fueron realizados los comités de verificación del RUOR y RURO los días 08 y 11 de mayo, durante el mes de junio no se realizaron comités. </t>
    </r>
  </si>
  <si>
    <t>Comité de verificación</t>
  </si>
  <si>
    <t>Actas de los comités</t>
  </si>
  <si>
    <t>SAPROV: 11/08/2023.   Para  el periodo  no programarón  Comités.
SAPROV 14/09/2023: Durante el mes de agosto, no fueron  programados comités de verificación.</t>
  </si>
  <si>
    <t>10/10/2023
11/12/2023</t>
  </si>
  <si>
    <r>
      <rPr>
        <b/>
        <sz val="11"/>
        <color rgb="FF0070C0"/>
        <rFont val="Arial Narrow"/>
      </rPr>
      <t>SAPROV 10/10/2023:</t>
    </r>
    <r>
      <rPr>
        <sz val="11"/>
        <color rgb="FF0070C0"/>
        <rFont val="Arial Narrow"/>
      </rPr>
      <t xml:space="preserve"> Se realizó un comité de verificación el 09 de ocbtubre. 
</t>
    </r>
    <r>
      <rPr>
        <b/>
        <sz val="11"/>
        <color rgb="FF0070C0"/>
        <rFont val="Arial Narrow"/>
      </rPr>
      <t>SAPROV 11/12/2023: S</t>
    </r>
    <r>
      <rPr>
        <sz val="11"/>
        <color rgb="FF0070C0"/>
        <rFont val="Arial Narrow"/>
      </rPr>
      <t xml:space="preserve">e realizó el 08 de noviembre comité de verificación, de acuerdo con el procedimiento. 
</t>
    </r>
    <r>
      <rPr>
        <b/>
        <sz val="11"/>
        <color rgb="FF0070C0"/>
        <rFont val="Arial Narrow"/>
      </rPr>
      <t>SAPROV 11/01/2024:</t>
    </r>
    <r>
      <rPr>
        <sz val="11"/>
        <color rgb="FF0070C0"/>
        <rFont val="Arial Narrow"/>
      </rPr>
      <t xml:space="preserve">  En el mes de Diciembre se  realizarón dos  Comites:  El  4 y el 26  diciembre de 2023
</t>
    </r>
  </si>
  <si>
    <t>Actas de comité de verificación</t>
  </si>
  <si>
    <t>El reporte realizado no corresponde a lo descrito en la actividad 
Acción eliminada por aprobación de CIGD del 30/06/2023</t>
  </si>
  <si>
    <r>
      <rPr>
        <b/>
        <sz val="12"/>
        <color rgb="FF000000"/>
        <rFont val="Arial Narrow"/>
      </rPr>
      <t xml:space="preserve">JAG: </t>
    </r>
    <r>
      <rPr>
        <sz val="12"/>
        <color rgb="FF000000"/>
        <rFont val="Arial Narrow"/>
      </rPr>
      <t xml:space="preserve">Una vez revisada la información asociada al control se identifica que el Comité de Verificación realiza las acciones pertinentes para evitar la materialización del riesgo. Se recomienda ajustar la redacción del control para saber el propósito del comité y como participa para evitar la materialización del riesgo.
</t>
    </r>
    <r>
      <rPr>
        <b/>
        <sz val="12"/>
        <color rgb="FF000000"/>
        <rFont val="Arial Narrow"/>
      </rPr>
      <t xml:space="preserve">11/05/2023 - OCL - SRBL:  N/A
12/09/2023 - OCL Segundo Trimestre - SAPROV:  </t>
    </r>
    <r>
      <rPr>
        <sz val="12"/>
        <color rgb="FF000000"/>
        <rFont val="Arial Narrow"/>
      </rPr>
      <t xml:space="preserve">De acuerdo con la revisión de las evidencias aportadas por el proceso, la OCI verifica el cumplimiento del control.
</t>
    </r>
    <r>
      <rPr>
        <b/>
        <sz val="12"/>
        <color rgb="FF000000"/>
        <rFont val="Arial Narrow"/>
      </rPr>
      <t xml:space="preserve">
12/09/2023 - OCL Tercer Trimestre - SAPROV: </t>
    </r>
    <r>
      <rPr>
        <sz val="12"/>
        <color rgb="FF000000"/>
        <rFont val="Arial Narrow"/>
      </rPr>
      <t xml:space="preserve">Para este periodo el proceso, no aportó evidencias, por lo que la OCI no pudo verificar el cumplimiento del control.
Nota: La OCI, recomienda al proceso realizar el cargue de las evidencia de acuerdo con la oportunidad y calidad establecidas.
</t>
    </r>
    <r>
      <rPr>
        <b/>
        <sz val="12"/>
        <color rgb="FF000000"/>
        <rFont val="Arial Narrow"/>
      </rPr>
      <t>12/09/2023 JAG-RBL: N/A
11/01/2024 JGS - SAPROV:</t>
    </r>
    <r>
      <rPr>
        <sz val="12"/>
        <color rgb="FF000000"/>
        <rFont val="Arial Narrow"/>
      </rPr>
      <t xml:space="preserve"> El proceso dentro de las evidencias aportó las actas de las reuniones de Comité RUOR realizadas durante los meses de octubre, noviembre y diciembre de 2023, lo que corresponde a la descripción realizada por la Subdirección. La OCI verifica la ejecución del control.</t>
    </r>
  </si>
  <si>
    <r>
      <rPr>
        <b/>
        <sz val="12"/>
        <color rgb="FF000000"/>
        <rFont val="Arial Narrow"/>
      </rPr>
      <t>JAG:</t>
    </r>
    <r>
      <rPr>
        <sz val="12"/>
        <color rgb="FF000000"/>
        <rFont val="Arial Narrow"/>
      </rPr>
      <t xml:space="preserve"> Una vez revisada la información asociada al control se identifica que el Comité de Verificación realiza las acciones pertinentes para evitar la materialización del riesgo. Se recomienda ajustar la redacción para saber el propósito del comité.
</t>
    </r>
    <r>
      <rPr>
        <b/>
        <sz val="12"/>
        <color rgb="FF000000"/>
        <rFont val="Arial Narrow"/>
      </rPr>
      <t xml:space="preserve">11/05/2023 - OCL - SRBL:  N/A
</t>
    </r>
    <r>
      <rPr>
        <sz val="12"/>
        <color rgb="FF000000"/>
        <rFont val="Arial Narrow"/>
      </rPr>
      <t xml:space="preserve">
</t>
    </r>
    <r>
      <rPr>
        <b/>
        <sz val="12"/>
        <color rgb="FF000000"/>
        <rFont val="Arial Narrow"/>
      </rPr>
      <t>12/09/2023 - OCL Segundo Trimestre - SAPROV:</t>
    </r>
    <r>
      <rPr>
        <sz val="12"/>
        <color rgb="FF000000"/>
        <rFont val="Arial Narrow"/>
      </rPr>
      <t xml:space="preserve"> Con base en las evidencias aportadas la OCI verifica la ejecución de la acción.
</t>
    </r>
    <r>
      <rPr>
        <b/>
        <sz val="12"/>
        <color rgb="FF000000"/>
        <rFont val="Arial Narrow"/>
      </rPr>
      <t xml:space="preserve">12/09/2023 - OCL, Tercer Trimestre - SAPROV: </t>
    </r>
    <r>
      <rPr>
        <sz val="12"/>
        <color rgb="FF000000"/>
        <rFont val="Arial Narrow"/>
      </rPr>
      <t xml:space="preserve">Para este periodo la OCI, no puede verificar la ejecución del control.
</t>
    </r>
    <r>
      <rPr>
        <b/>
        <sz val="12"/>
        <color rgb="FF000000"/>
        <rFont val="Arial Narrow"/>
      </rPr>
      <t xml:space="preserve">12/09/2023 JAG-RBL: N/A
11/01/2024 JGS - SAPROV: </t>
    </r>
    <r>
      <rPr>
        <sz val="12"/>
        <color rgb="FF000000"/>
        <rFont val="Arial Narrow"/>
      </rPr>
      <t>La OCI verifica que el control es efectivo.</t>
    </r>
  </si>
  <si>
    <r>
      <rPr>
        <b/>
        <sz val="12"/>
        <color rgb="FF000000"/>
        <rFont val="Arial Narrow"/>
      </rPr>
      <t xml:space="preserve">JAG: </t>
    </r>
    <r>
      <rPr>
        <sz val="12"/>
        <color rgb="FF000000"/>
        <rFont val="Arial Narrow"/>
      </rPr>
      <t xml:space="preserve">No se evidencian avances en la implementación del plan de manejo de riesgos. Las dos acciones propuestas por el proceso no presentan gestión y se justifica por la falta de contratación y lineamientos legales.
</t>
    </r>
    <r>
      <rPr>
        <b/>
        <sz val="12"/>
        <color rgb="FF000000"/>
        <rFont val="Arial Narrow"/>
      </rPr>
      <t xml:space="preserve">11/05/2023 - OCL - SRBL:  N/A
12/09/2023 - OCL: </t>
    </r>
    <r>
      <rPr>
        <sz val="12"/>
        <color rgb="FF000000"/>
        <rFont val="Arial Narrow"/>
      </rPr>
      <t xml:space="preserve">Acción eliminada por aprobación de CIGD del 30/06/2023
</t>
    </r>
    <r>
      <rPr>
        <b/>
        <sz val="12"/>
        <color rgb="FF000000"/>
        <rFont val="Arial Narrow"/>
      </rPr>
      <t xml:space="preserve">
12/09/2023 JAG-RBL: N/A</t>
    </r>
  </si>
  <si>
    <t xml:space="preserve">Definir el procedimiento para la verificación de cumplimiento para  determinar la permanencia de las organizaciones </t>
  </si>
  <si>
    <t xml:space="preserve">SAPROV: 10/03/2023: Actualmente se está realizando la atualización de la Resolución 196 de 2021, una vez se actualice se revisará la definición de un procedimiento para realizar la verificación de cumplimiento </t>
  </si>
  <si>
    <r>
      <rPr>
        <b/>
        <sz val="11"/>
        <color theme="4"/>
        <rFont val="Arial Narrow"/>
        <family val="2"/>
      </rPr>
      <t>SAPROV: 10/05/2023:</t>
    </r>
    <r>
      <rPr>
        <sz val="11"/>
        <color theme="4"/>
        <rFont val="Arial Narrow"/>
        <family val="2"/>
      </rPr>
      <t xml:space="preserve"> Se continua   con el proceso de actualización de la resolución 196 de 2021,   la cual sera   insumo para  la definición del procedimiento para la permanencia de las  organizaciones.
</t>
    </r>
    <r>
      <rPr>
        <b/>
        <sz val="11"/>
        <color theme="4"/>
        <rFont val="Arial Narrow"/>
        <family val="2"/>
      </rPr>
      <t xml:space="preserve">SAPROV 13/07/2023: </t>
    </r>
    <r>
      <rPr>
        <sz val="11"/>
        <color theme="4"/>
        <rFont val="Arial Narrow"/>
        <family val="2"/>
      </rPr>
      <t>Con la actualización del procedimiento del registro único de organizaciones de recicladores RUOR, se definieron las actividades para verificar las organizaciones que ya se encuentran en el RUOR y de esta forma determinar la permanencia o no de la organizacion en el registro.</t>
    </r>
  </si>
  <si>
    <t xml:space="preserve">SAPROV: 11/08/2023.   Se  actualizo   el procedimiento "REGISTRO ÚNICO DE ORGANIZACIONES DE RECICLADORES DE OFICIORUOR"   GIR-PC-12 - Versión  4  del  10 de julio de 2023,  en  el cual  quedaron  incluidos los temas  de  permanencia de  las Organizaciones   en  el  numeral 5.3. Actualización del RUOR , Literal d).   y  en las  descripción del procedimiento en las actividades  1 y 10.
(Anexo procedimiento).
SAPROV 14/09/2023: La acción fue cumplida con la actualización del procediimiento. </t>
  </si>
  <si>
    <t>10/11/2023
11/12/2023
11/01/2024</t>
  </si>
  <si>
    <r>
      <rPr>
        <b/>
        <sz val="11"/>
        <color rgb="FF4F81BD"/>
        <rFont val="Arial Narrow"/>
      </rPr>
      <t xml:space="preserve">SAPROV: 10/11/2023: </t>
    </r>
    <r>
      <rPr>
        <sz val="11"/>
        <color rgb="FF4F81BD"/>
        <rFont val="Arial Narrow"/>
      </rPr>
      <t xml:space="preserve">La acción fue cumplida con la actualización del procediimiento.  procedimiento "REGISTRO ÚNICO DE ORGANIZACIONES DE RECICLADORES DE OFICIORUO,  como se informo el el  reporte del seguimiento del   tercer trimestre.
</t>
    </r>
    <r>
      <rPr>
        <b/>
        <sz val="11"/>
        <color rgb="FF4F81BD"/>
        <rFont val="Arial Narrow"/>
      </rPr>
      <t>SAPROV: 11/12/2023</t>
    </r>
    <r>
      <rPr>
        <sz val="11"/>
        <color rgb="FF4F81BD"/>
        <rFont val="Arial Narrow"/>
      </rPr>
      <t xml:space="preserve">: La acción fue cumplida con la actualización del procediimiento.  procedimiento "REGISTRO ÚNICO DE ORGANIZACIONES DE RECICLADORES DE OFICIORUO,  como se informo el el  reporte del seguimiento del   tercer trimestre.
SAPROV: 11/01/2024: La acción fue cumplida con la actualización del procediimiento.  procedimiento "REGISTRO ÚNICO DE ORGANIZACIONES DE RECICLADORES DE OFICIORUO,  como se informo el el  reporte del seguimiento del   tercer trimestre.
</t>
    </r>
  </si>
  <si>
    <r>
      <rPr>
        <b/>
        <sz val="12"/>
        <color rgb="FF000000"/>
        <rFont val="Arial Narrow"/>
      </rPr>
      <t xml:space="preserve">11/05/2023 - OCL - SRBL:  N/A
12/09/2023 - OCL:  N/A
11/01/2024 - JGS: </t>
    </r>
    <r>
      <rPr>
        <sz val="12"/>
        <color rgb="FF000000"/>
        <rFont val="Arial Narrow"/>
      </rPr>
      <t xml:space="preserve">N/A
</t>
    </r>
    <r>
      <rPr>
        <b/>
        <sz val="12"/>
        <color rgb="FF000000"/>
        <rFont val="Arial Narrow"/>
      </rPr>
      <t xml:space="preserve">
</t>
    </r>
  </si>
  <si>
    <r>
      <rPr>
        <b/>
        <sz val="12"/>
        <color rgb="FF000000"/>
        <rFont val="Arial Narrow"/>
      </rPr>
      <t>11/05/2023 - OCL - SRBL:  N/A
11/01/2024 JGS - SAPROV:</t>
    </r>
    <r>
      <rPr>
        <sz val="12"/>
        <color rgb="FF000000"/>
        <rFont val="Arial Narrow"/>
      </rPr>
      <t xml:space="preserve"> N/A</t>
    </r>
  </si>
  <si>
    <r>
      <rPr>
        <b/>
        <sz val="12"/>
        <color rgb="FF000000"/>
        <rFont val="Arial Narrow"/>
      </rPr>
      <t xml:space="preserve">11/05/2023 - OCL - SRBL:  N/A
12/09/2023 - OCL - SAPROV, Segundo trimestre: </t>
    </r>
    <r>
      <rPr>
        <sz val="12"/>
        <color rgb="FF000000"/>
        <rFont val="Arial Narrow"/>
      </rPr>
      <t xml:space="preserve">De acuerdo con la siguiente evidencia aportada por el proceso: GIR-PC-12 V4 Registro Único de Organizaciones de Recicladores RUOR (Julio), la OCI verifica la ejecución de la acción.
</t>
    </r>
    <r>
      <rPr>
        <b/>
        <sz val="12"/>
        <color rgb="FF000000"/>
        <rFont val="Arial Narrow"/>
      </rPr>
      <t>12/09/2023 - OCL - SAPROV, Tercer trimestre:</t>
    </r>
    <r>
      <rPr>
        <sz val="12"/>
        <color rgb="FF000000"/>
        <rFont val="Arial Narrow"/>
      </rPr>
      <t xml:space="preserve"> De acuerdo con la siguiente evidencia aportada por el proceso: GIR-PC-12 V4 Registro Único de Organizaciones de Recicladores RUOR (Agosto), la OCI verifica la ejecución de la acción.
</t>
    </r>
    <r>
      <rPr>
        <b/>
        <sz val="12"/>
        <color rgb="FF000000"/>
        <rFont val="Arial Narrow"/>
      </rPr>
      <t xml:space="preserve">
11/01/2024 JGS - SAPROV: </t>
    </r>
    <r>
      <rPr>
        <sz val="12"/>
        <color rgb="FF000000"/>
        <rFont val="Arial Narrow"/>
      </rPr>
      <t>La acción fue cumplida como se reportó en seguimientos anteriores.</t>
    </r>
  </si>
  <si>
    <t>Diseñar e implementar una encuesta digital de percepción del trámite de inclusión al RURO y al RUOR para indagar presuntos casos de solicitudes de dádivas o pagos para la inclusión en los registros de la subdirección de aprovechamiento y presentar un informe semestral del resultado de la aplicación ante el CICCI</t>
  </si>
  <si>
    <r>
      <rPr>
        <b/>
        <sz val="11"/>
        <color theme="4"/>
        <rFont val="Arial Narrow"/>
        <family val="2"/>
      </rPr>
      <t xml:space="preserve">SAPROV 13/07/2023: </t>
    </r>
    <r>
      <rPr>
        <sz val="11"/>
        <color theme="4"/>
        <rFont val="Arial Narrow"/>
        <family val="2"/>
      </rPr>
      <t>La encuesta de percepción para indagar presuntos casos de solicitudes de dádivas o pagos para la inclusión en los registros que maneja la subdirección de aprovechamiento se encuentra en elaboración. Es importante mencionar que la actividad de enviar la encuesta fue incluida dentro del procedimiento del Registo Único de Organizaciones de Recicladores de Oficio RUOR, dicho procedimiento fue actualizado a razón de la publicación de la resolución 492 de 2023 "Por la cual se deroga la Resolución No. 196 de 2022 y se definen los criterios, mecanismos y el procedimiento para la actualización del Registro Único de Recicladores de Oficio - RURO y del Registro Único de Organizaciones de Recicladores de Oficio - RUOR". El procedimiento tiene fecha de aprobación 10 de junio, a partir de esta fecha se realizará el envío de la encuesta de acuerdo con lo definido en la descripción de las actividades.</t>
    </r>
  </si>
  <si>
    <r>
      <rPr>
        <b/>
        <sz val="11"/>
        <color rgb="FF4F81BD"/>
        <rFont val="Arial Narrow"/>
        <family val="2"/>
      </rPr>
      <t>SAPROV: 11/08/2023.</t>
    </r>
    <r>
      <rPr>
        <sz val="11"/>
        <color rgb="FF4F81BD"/>
        <rFont val="Arial Narrow"/>
        <family val="2"/>
      </rPr>
      <t xml:space="preserve">   Se  elaboró  la propuesta de la encuensta, la cual  se encuentra en  proceso de revisión por la parte tecnica de la Subdirección.
(Anexo:Correo envio link de encuesta para   consulta y revisión
Link:  consulta borrador de la encuesta  
https://forms.office.com/r/BXhDaVVwGU)
</t>
    </r>
    <r>
      <rPr>
        <b/>
        <sz val="11"/>
        <color rgb="FF4F81BD"/>
        <rFont val="Arial Narrow"/>
        <family val="2"/>
      </rPr>
      <t xml:space="preserve">SAPROV 14/09/2023: </t>
    </r>
    <r>
      <rPr>
        <sz val="11"/>
        <color rgb="FF4F81BD"/>
        <rFont val="Arial Narrow"/>
        <family val="2"/>
      </rPr>
      <t xml:space="preserve"> La encuesta fue validada y se enviará para su diligenciamiento de acuerdo a lo establecido en el procedimiento.</t>
    </r>
    <r>
      <rPr>
        <b/>
        <sz val="11"/>
        <color rgb="FF4F81BD"/>
        <rFont val="Arial Narrow"/>
        <family val="2"/>
      </rPr>
      <t xml:space="preserve"> </t>
    </r>
    <r>
      <rPr>
        <sz val="11"/>
        <color rgb="FF4F81BD"/>
        <rFont val="Arial Narrow"/>
        <family val="2"/>
      </rPr>
      <t>En el mes de agosto no fue aplicada la encuesta.</t>
    </r>
  </si>
  <si>
    <r>
      <rPr>
        <b/>
        <sz val="11"/>
        <color rgb="FF4F81BD"/>
        <rFont val="Arial Narrow"/>
      </rPr>
      <t xml:space="preserve">
SAPROV 10/11/2023: </t>
    </r>
    <r>
      <rPr>
        <sz val="11"/>
        <color rgb="FF4F81BD"/>
        <rFont val="Arial Narrow"/>
      </rPr>
      <t xml:space="preserve"> Fue enviada la encuesta anticorrupción a una muestra del 50% de las organizaciones de recicladores que fueron presentadas en el comité RUOR, la encuensta fue enviada por la Subdirección de Aprovechamiento y se recibió la respuesta de 11 organizaciones de recicladores. 
</t>
    </r>
    <r>
      <rPr>
        <b/>
        <sz val="11"/>
        <color rgb="FF4F81BD"/>
        <rFont val="Arial Narrow"/>
      </rPr>
      <t xml:space="preserve">
SAPROV 11/12/2023: </t>
    </r>
    <r>
      <rPr>
        <sz val="11"/>
        <color rgb="FF4F81BD"/>
        <rFont val="Arial Narrow"/>
      </rPr>
      <t xml:space="preserve"> Fue enviada la encuesta anticorrupción a una muestra del 50% de las organizaciones de recicladores que fueron presentadas en el comité RUOR, la encuensta fue enviada por la Subdirección de Aprovechamiento y se recibió la respuesta de 3 organizaciones de recicladores. 
</t>
    </r>
    <r>
      <rPr>
        <b/>
        <sz val="11"/>
        <color rgb="FF4F81BD"/>
        <rFont val="Arial Narrow"/>
      </rPr>
      <t xml:space="preserve">
</t>
    </r>
    <r>
      <rPr>
        <b/>
        <sz val="11"/>
        <color rgb="FF0070C0"/>
        <rFont val="Arial Narrow"/>
      </rPr>
      <t xml:space="preserve">SAPROV 11/01/2024:  </t>
    </r>
    <r>
      <rPr>
        <sz val="11"/>
        <color rgb="FF0070C0"/>
        <rFont val="Arial Narrow"/>
      </rPr>
      <t>Fue enviada la encuesta anticorrupción a una muestra del 50% de las organizaciones de recicladores que fueron presentadas en  el comité RUOR, del 4 de diciembre y se recibió la respuesta de 1 organizacion 
En la reunión del  26 de diciembre,  dada la baja participación de las organizaciones en el diligencimiento de la cuesta, se definio enviar   el link al  100% d elas organizaciones. se anexa  Respuesta de la Organización.</t>
    </r>
  </si>
  <si>
    <t>12/09/2023
11/01/2024</t>
  </si>
  <si>
    <r>
      <rPr>
        <b/>
        <sz val="12"/>
        <color rgb="FF000000"/>
        <rFont val="Arial Narrow"/>
      </rPr>
      <t>12/09/2023 - OCL: N/A
12/09/2023 JAG-RBL: N/A
11/01/2024 JGS - SAPROV:</t>
    </r>
    <r>
      <rPr>
        <sz val="12"/>
        <color rgb="FF000000"/>
        <rFont val="Arial Narrow"/>
      </rPr>
      <t xml:space="preserve"> N/A</t>
    </r>
  </si>
  <si>
    <r>
      <rPr>
        <b/>
        <sz val="12"/>
        <color rgb="FF000000"/>
        <rFont val="Arial Narrow"/>
      </rPr>
      <t xml:space="preserve">12/09/2023 - OCL: N/A
12/09/2023 JAG-RBL: N/A
11/01/2024 JGS - SAPROV: </t>
    </r>
    <r>
      <rPr>
        <sz val="12"/>
        <color rgb="FF000000"/>
        <rFont val="Arial Narrow"/>
      </rPr>
      <t>N/A</t>
    </r>
  </si>
  <si>
    <r>
      <rPr>
        <b/>
        <sz val="12"/>
        <color rgb="FF000000"/>
        <rFont val="Arial Narrow"/>
      </rPr>
      <t>12/09/2023 - OCL Segundo Trimestre - SAPROV</t>
    </r>
    <r>
      <rPr>
        <sz val="12"/>
        <color rgb="FF000000"/>
        <rFont val="Arial Narrow"/>
      </rPr>
      <t xml:space="preserve">:  De acuerdo con la revisión de las siguientes evidencias aportadas por el proceso, la OCI verifica el cumplimiento de la acción.
1. GIR-PC-12 V4 Registro Único de Organizaciones de Recicladores RUOR
2. RESOLUCION_492_DE_2023, la OCI, verifica que la acción se encuentra en fase de diseño
</t>
    </r>
    <r>
      <rPr>
        <b/>
        <sz val="12"/>
        <color rgb="FF000000"/>
        <rFont val="Arial Narrow"/>
      </rPr>
      <t>12/09/2023 - OCL Tercer Trimestre - SAPROV</t>
    </r>
    <r>
      <rPr>
        <sz val="12"/>
        <color rgb="FF000000"/>
        <rFont val="Arial Narrow"/>
      </rPr>
      <t xml:space="preserve">: De acuerdo con la revisión de las siguientes evidencias aportadas por el proceso, la OCI verifica el cumplimiento de la acción.
1. Correo_  revisión encuesta, a OCI, verifica que la acción se encuentra en fase de diseño
</t>
    </r>
    <r>
      <rPr>
        <b/>
        <sz val="12"/>
        <color rgb="FF000000"/>
        <rFont val="Arial Narrow"/>
      </rPr>
      <t>12/09/2023 JAG-RBL: N/A
11/01/2024 JGS - SAPROV:</t>
    </r>
    <r>
      <rPr>
        <sz val="12"/>
        <color rgb="FF000000"/>
        <rFont val="Arial Narrow"/>
      </rPr>
      <t xml:space="preserve"> El proceso presentó el consolidado (archivo excel) de la encuesta anticorrupción del trámite de inclusión al RUOR, respondida por 16 de las organizaciones que hacen parte del RUOR. Conforme a la acción, estos resultados se deben presentar ante el CICCI, lo cual según lo argumentado por el proceso, no se ha realizado aún, toda vez que la implementación de la encuesta se inició en el mes de octubre y la reunión del CICCI fue en el mes de diciembre de 2023. La OCI no puede verificar el cumplimiento total de la acción.</t>
    </r>
  </si>
  <si>
    <t>Descripción Activos de Información</t>
  </si>
  <si>
    <t>Tipo de Activos / Grupo de Activos</t>
  </si>
  <si>
    <t>Amenaza</t>
  </si>
  <si>
    <t>Vulnerabilidad</t>
  </si>
  <si>
    <t>Tipo de Riesgo Digital</t>
  </si>
  <si>
    <t>¿Tiene responsabe asignbado?</t>
  </si>
  <si>
    <t>¿El responsable tiene la autoridad y adecuada?</t>
  </si>
  <si>
    <t>Posibilidad de perdida de la integridad, confidencialidad y disponibilidad de la información de bases de datos de la gestión del proceso, por uso inadecuado del usuario y falta de claridad en la administración, custodia y consulta</t>
  </si>
  <si>
    <t>Información de los Registros Únicos de Recicladores de Oficio, Registro Único de Organizaciones de Recicladores de Oficio.</t>
  </si>
  <si>
    <t>Información</t>
  </si>
  <si>
    <t>Daño causado por un tercero</t>
  </si>
  <si>
    <t>Almacenamiento sin protección</t>
  </si>
  <si>
    <t>Perdidad de Integridad</t>
  </si>
  <si>
    <t>Copia de seguridad de las bases de datos del proceso.</t>
  </si>
  <si>
    <t>Sin Documentar</t>
  </si>
  <si>
    <t>Realizar pruebas de restauración  de acuerdo a la politica de backup</t>
  </si>
  <si>
    <t>Oficina TIC- Responsable de la Infraestructura TI (Copias  de seguridad a Servidores)</t>
  </si>
  <si>
    <t>19/05/2023 - OCL - RBL
26/09/2023</t>
  </si>
  <si>
    <r>
      <t xml:space="preserve">19/05/2023 - OCL - RBL: El proceso no aporta evidencias para el periodo de evaluación.
Nota: La OCI recomienda aportar las evidencias con la oportunidad requerida.
</t>
    </r>
    <r>
      <rPr>
        <b/>
        <sz val="11"/>
        <color theme="1"/>
        <rFont val="Arial Narrow"/>
        <family val="2"/>
      </rPr>
      <t>26/09/2023:</t>
    </r>
    <r>
      <rPr>
        <sz val="11"/>
        <color theme="1"/>
        <rFont val="Arial Narrow"/>
        <family val="2"/>
      </rPr>
      <t xml:space="preserve"> El proceso no aporta evidencias para el periodo de evaluación.
Nota: La OCI recomienda definir de manera clara el responsable de ejecutar el control, toda vez que si es la OTIC, este control debería estar en la matriz de este proceso.</t>
    </r>
  </si>
  <si>
    <t>19/05/2023 - OCL - RBL: Para el periodo de estudio la OCI no puede verificar la efectiviad del control.
26/09/2023 - OCL - RBL: Para el periodo de estudio la OCI no puede verificar la efectiviad del control</t>
  </si>
  <si>
    <t>19/05/2023 - OCL - RBL: Para el periodo de estudio el proceso no presenta evidencias, por este motivo  la OCI no puede verificar la ejecución de la acción.
26/09/2023 - OCL - RBL: Para el periodo de estudio el proceso no presenta evidencias, por este motivo  la OCI no puede verificar la ejecución de la acción.</t>
  </si>
  <si>
    <t>Incumplimiento de relaciones contractuales</t>
  </si>
  <si>
    <t>Ausencia de proceso para supervisión de derechos de acceso</t>
  </si>
  <si>
    <t>Suscripción de acuerdos o clausulas de confidencialidad según el tipo de vinculación</t>
  </si>
  <si>
    <t>Sin registro</t>
  </si>
  <si>
    <t>Revisión periodica de los derechos de acceso a los activos</t>
  </si>
  <si>
    <t>Subdirector de Aprovechamiento</t>
  </si>
  <si>
    <t xml:space="preserve">SAPROV 07/10/2023: Durante el mes de marzo se realizará la una reunión para priorizar los activos de información y revisar los derechos de los accesos de los mismos. Durante el mes defebrero d 2023, fue habilitado el acceso de  consulta a las bases de datos del RUOR y RUOR a la funionaria Mónica Baquero quien desempeña el cargo de Técnico Operativo, de conformidad a la solicitud realizada por medio del memorando  20225000079443 del  19 de diciembr de 2022 </t>
  </si>
  <si>
    <r>
      <rPr>
        <b/>
        <sz val="11"/>
        <color rgb="FF0070C0"/>
        <rFont val="Arial Narrow"/>
        <family val="2"/>
      </rPr>
      <t>SAPROV 10/05/2023:</t>
    </r>
    <r>
      <rPr>
        <sz val="11"/>
        <color rgb="FF0070C0"/>
        <rFont val="Arial Narrow"/>
        <family val="2"/>
      </rPr>
      <t xml:space="preserve">  No fue posible adelantar la reunión programada para marzo, dado que no se contaba con la contratación del   profesional el apoyo a la gestión a la subdirección de Aprovechamiento en liderar las actividades de la estructuración de las bases de datos.   el contrato No.  UAESP-405-2023- inicio hasta el 30 de marzo. (se naexa acta de inicio) Se reprograma reunión para el   mes de mayo.
A la fecha se mantiene habilitado el acceso de consulta a las bases de datos del RUOR y RUOR a la funcionaria Mónica Baquero quien desempeña el cargo de Técnico Operativo, de conformidad a la solicitud realizada por medio del memorando 20225000079443 del 19 de diciembre de 2022
Se realizo  el reporte y ajuste de los activos de información de la Supdirección de aprovechamiento. (se anexa correo del reporte)</t>
    </r>
  </si>
  <si>
    <t>16/08/2023
22/08/2022
21/09/2023</t>
  </si>
  <si>
    <t xml:space="preserve">SAPROV. 16/08/2023, Se solicito  a la Oficina de TICS reporte del estado de  accesos a  las bases de datos   de los registros RUOR y RURO para el  mes de julio de 2023,  así  como  se  indicará  las  personas   que   a la fecha se encuentran autorizadas   para  el acceso a estas bases.
SAPROV. 22/08/2023, Se anexa reporte  de la Oficina de  Tics  con los accesos de la Información a las Bases de datos RUOR y RURO del mes de junio de 2023
SAPROV. 21/09/2023, Se anexa reporte  de la Oficina de  Tics  con los accesos de la Información a las Bases de datos RUOR y RURO,  durante el mes de agosto de 2023 y de  las  personas   que   se encuentran autorizadas   para  el acceso a estas bases.
</t>
  </si>
  <si>
    <t>10/11/2023
17/11/2023
11/01/2024</t>
  </si>
  <si>
    <t xml:space="preserve">SAPROV. 10/11/2023, Se solicito  a la Oficina de TICS reporte del estado de  accesos a  las bases de datos   de los registros RUOR y RURO para el  mes de  octubre de 2023,  y se informara  las  personas   que   a la fecha se encuentran autorizadas   para  el acceso a estas bases.
SAPROV. 17/11/2023. se anexa reporte  de la Oficina de  Tics  con los accesos de la Información a las Bases de datos RUOR y RURO  de los meses de septiembre y octubre de 2023
SAPROV. 22/12/2023. se anexa reporte  de la Oficina de  Tics  con los accesos de la Información a las Bases de datos RUOR y RURO  del mes de noviembre  de 2023
SAPROV: 11/01/2024:  Se anexa reporte  de la Oficina de  Tics  con los accesos de la Información a las Bases de datos RUOR y RURO  del mes de Diciembre  de 2023
</t>
  </si>
  <si>
    <r>
      <rPr>
        <b/>
        <sz val="11"/>
        <color rgb="FF0070C0"/>
        <rFont val="Arial Narrow"/>
        <family val="2"/>
      </rPr>
      <t xml:space="preserve">SAPROV 07/03/2023: </t>
    </r>
    <r>
      <rPr>
        <sz val="11"/>
        <color rgb="FF0070C0"/>
        <rFont val="Arial Narrow"/>
        <family val="2"/>
      </rPr>
      <t xml:space="preserve"> El 24 de febrero de 2023, se solicito a la Subdirección Adm y Financiera,  certificación del personal que suscribio acuerdos de Confidencialidad y que reposan en el expediente laboral.  El 1 de marzo se  emitio certificación 041 de 2023, con el reporte del personal de planta que suscribio los acuerdos de confidencialidad.
Para efectos del personal de contrato, se  cuenta  con  la   la Calausula 10 obligaciones del Contratista,  numeral  18 El CONTRATISTA se obliga a guardar estricta reserva y confidencialidad de toda la información relacionada con la UNIDAD o sus contratistas de la cual tenga conocimiento por razón de las actividades que desarrolla. En consecuencia, el CONTRATISTA no podrá divulgar, publicar, vender, intercambiar, comercializar o comunicar, directa o indirectamente a terceros ninguna información de forma verbal o escrita o que conste en cualquier clase de documento de carácter confidencial, incluyendo documentos de trabajo. Cualquier acción u omisión  que  infrinja  lo  anterior  se  considerará  como  incumplimiento  de  las  obligaciones  contractuales,  independientemente  de  la responsabilidad legal a que pueda haber lugar. Al momento de la terminación del contrato, el CONTRATISTA devolverá toda la información de propiedad de la UNIDAD que le haya sido encomendada por razón de las actividades desarrolladas, junto con todas las copias del material.  (Por  ""Información  Confidencial""  se  entiende  toda  aquella  información  no  divulgada  almacenada  en  cualquier  medio  físico  y electrónico, referente entre otros a Información de servidores, archivos, infraestructura tecnológica, acceso a expedientes, documentos de la UNIDAD o de terceros que en el desarrollo de las obligaciones contractuales se le otorgue acceso al contratista.  De igual forma, se entiende por información confidencial los asuntos comerciales, empresariales o técnicos de la UNIDAD que no han sido divulgados, tanto en el pasado como en el presente y posible futuro).
Se anexa,  corresos, certificación, y contrato suscrito modelo, donde consta la calusula.</t>
    </r>
  </si>
  <si>
    <r>
      <rPr>
        <b/>
        <sz val="11"/>
        <color rgb="FF538DD5"/>
        <rFont val="Arial Narrow"/>
        <family val="2"/>
      </rPr>
      <t>SAPROV: 10/05/2023</t>
    </r>
    <r>
      <rPr>
        <sz val="11"/>
        <color rgb="FF538DD5"/>
        <rFont val="Arial Narrow"/>
        <family val="2"/>
      </rPr>
      <t>: Para el caso de Personal de Planta: Se anexa acuerdos de confidencialidad del Dr. Fabian Humberto Fajardo y del Profesional Universitario Juan David Ospina, quien paso de la Subdirección de DF en encargo a la SAPROV.
Para el personal de contrato: Se mantiene la Clausula 10 Obligaciones del contratista Numeral 18., de igual forma se cuenta   con la comunicación suscrita por el contratista de Reserva y Confidencialidad de la Información.   
(Se anexa: 1.  cuadro de contratos de la Subdirección de aprovechamiento suscritos en marzo y abril, donde se registra pantallazos aleatorios de la consulta de la publicación de la comunicación citada.   2.  Una minuta donde se evidencia clausula)</t>
    </r>
  </si>
  <si>
    <t>SAPROV</t>
  </si>
  <si>
    <t xml:space="preserve">1. Acuerdo de Confidencialidad
2. Minuta de contrato de referencia referencia
3. Cuadro consolidado de contratacion del periodo co Pantallazos del SECOPII aleatorios donde costa la publicación  de la comunicación de reserva y confidencialidad de la información
</t>
  </si>
  <si>
    <t>11/08/2023:</t>
  </si>
  <si>
    <r>
      <rPr>
        <b/>
        <sz val="11"/>
        <color rgb="FF538DD5"/>
        <rFont val="Arial Narrow"/>
        <family val="2"/>
      </rPr>
      <t>SAPROV: 11/08/2023</t>
    </r>
    <r>
      <rPr>
        <sz val="11"/>
        <color rgb="FF538DD5"/>
        <rFont val="Arial Narrow"/>
        <family val="2"/>
      </rPr>
      <t xml:space="preserve">: Para el caso de Personal de Planta: En el mes de julio no se registra nuevos ingresos.
Para el personal de contrato: Se mantiene la Clausula 10 Obligaciones del contratista Numeral 18., de igual forma se cuenta   con la comunicación suscrita por el contratista de Reserva y Confidencialidad de la Información.   
(Se anexa: 1.  cuadro de contratos de la Subdirección de aprovechamiento suscritos en julio, donde se registra consulta aleatorios de la suscripción de reserva y confidencialidad de la información.  2.  Comunicaciones suscritas de reserva de confidencialidad.  3.  Una minuta donde se evidencia clausula)
</t>
    </r>
  </si>
  <si>
    <t xml:space="preserve"> 1.  cuadro de contratos de la Subdirección de aprovechamiento suscritos en julio, donde se registra consulta aleatorios de la suscripción de reserva y confidencialidad de la información.  2.  Comunicaciones suscritas de reserva de confidencialidad.  3.  Una minuta donde se evidencia clausula</t>
  </si>
  <si>
    <r>
      <rPr>
        <b/>
        <sz val="11"/>
        <color rgb="FF538DD5"/>
        <rFont val="Arial Narrow"/>
      </rPr>
      <t xml:space="preserve">SAPROV: </t>
    </r>
    <r>
      <rPr>
        <sz val="11"/>
        <color rgb="FF538DD5"/>
        <rFont val="Arial Narrow"/>
      </rPr>
      <t xml:space="preserve">17/10/2023: Para el caso de Personal de Planta: En el mes de  Septiembre  no se registra nuevos ingresos.
</t>
    </r>
    <r>
      <rPr>
        <b/>
        <sz val="11"/>
        <color rgb="FF538DD5"/>
        <rFont val="Arial Narrow"/>
      </rPr>
      <t xml:space="preserve">
</t>
    </r>
    <r>
      <rPr>
        <sz val="11"/>
        <color rgb="FF538DD5"/>
        <rFont val="Arial Narrow"/>
      </rPr>
      <t xml:space="preserve">Para el personal de contrato: Se mantiene la Clausula 10 Obligaciones del contratista Numeral 18., de igual forma se cuenta   con la comunicación suscrita por el contratista de Reserva 
</t>
    </r>
    <r>
      <rPr>
        <b/>
        <sz val="11"/>
        <color rgb="FF538DD5"/>
        <rFont val="Arial Narrow"/>
      </rPr>
      <t xml:space="preserve">
</t>
    </r>
    <r>
      <rPr>
        <sz val="11"/>
        <color rgb="FF538DD5"/>
        <rFont val="Arial Narrow"/>
      </rPr>
      <t xml:space="preserve">(Se anexa:  Para los respectivos meses:  1.  cuadro de contratos de la Subdirección de aprovechamiento suscritos, donde se registra consulta aleatorios de la suscripción de reserva y confidencialidad de la información.  2.  Comunicaciones suscritas de reserva de confidencialidad.  3.  Una minuta donde se evidencia clausula)
</t>
    </r>
    <r>
      <rPr>
        <b/>
        <sz val="11"/>
        <color rgb="FF538DD5"/>
        <rFont val="Arial Narrow"/>
      </rPr>
      <t xml:space="preserve">
SAPROV: 17/11/2023</t>
    </r>
    <r>
      <rPr>
        <sz val="11"/>
        <color rgb="FF538DD5"/>
        <rFont val="Arial Narrow"/>
      </rPr>
      <t xml:space="preserve">: Para el caso de Personal de Planta: En el mes de Octubre  no se registra nuevos ingresos.
Para el personal de contrato: en el mes de octubre  no se  reportaron contratos de prestación de servicios   suscritos a cargo de la Sbdirección de Aprovechamiento.
</t>
    </r>
    <r>
      <rPr>
        <b/>
        <sz val="11"/>
        <color rgb="FF538DD5"/>
        <rFont val="Arial Narrow"/>
      </rPr>
      <t>SAPROV: 11/12/2023:</t>
    </r>
    <r>
      <rPr>
        <sz val="11"/>
        <color rgb="FF538DD5"/>
        <rFont val="Arial Narrow"/>
      </rPr>
      <t xml:space="preserve"> Para el caso de Personal de Planta: En el mes de Noviembre no se registra nuevos ingresos.
Para el personal de contrato: Se adjunta reporte  de   contratación de prestacion de servicos realizada en el mes de noviembre,  se   realiza verificacion aleatoria  encontrando que  en el mes de Noviembre   Se mantiene la Clausula 10 Obligaciones del contratista Numeral 17., de igual forma se cuenta   con la comunicación suscrita por el contratista de Reserva  Ver  " ANEXO CONDICIONES GENERALES - CLÁUSULADO COMPLEMENTARIO CONTRATO UAESP-830-2023- SECOP II  y Documento Documento "RESERVA Y CONFIDENCIALIDAD DE LA INFORMACION JESSICA TRUJILLO"
SAPROV: 11/01/2024: Para el caso de Personal de Planta: En el mes de Diciembre  no se registra nuevos ingresos.
Para el personal de contrato: Se adjunta reporte  de   contratación de prestacion de servicos realizada en el mes de diciembre,  se   realiza verificacion aleatoria  encontrando que  se mantiene la Clausula 10 Obligaciones del contratista Numeral 17., de igual forma se cuenta   con la comunicación suscrita por el contratista de Reserva  Ver  "</t>
    </r>
    <r>
      <rPr>
        <sz val="11"/>
        <color rgb="FF0070C0"/>
        <rFont val="Arial Narrow"/>
      </rPr>
      <t xml:space="preserve"> ANEXO CONDICIONES GENERALES - CLÁUSULADO COMPLEMENTARIO CONTRATO UAESP-929-2023- SECOP II  y Documento Documento RESERVA Y CONFIDENCIALIDAD DE LA INFORMACION DE  LOS  CONTRAOS:
-  UAESP-929-2023
-  UAESP-954-2023
-  UAESP-989-2023
-  UAESP-1017-2023
</t>
    </r>
    <r>
      <rPr>
        <sz val="11"/>
        <color rgb="FF538DD5"/>
        <rFont val="Arial Narrow"/>
      </rPr>
      <t xml:space="preserve">
</t>
    </r>
  </si>
  <si>
    <t>Para lo los respectivos meses objeto del reporte:   1.  cuadro de contratos de la Subdirección de aprovechamiento suscritos en los meses de septiembre y octubre, donde se registra consulta aleatorios de la suscripción de reserva y confidencialidad de la información.  2.  Comunicaciones suscritas de reserva de confidencialidad.  3.  Una minuta donde se evidencia clausula</t>
  </si>
  <si>
    <t>19/05/2023 - OCL - RBL
22/05/2023 SAPROV
26/09/2023 - SAPROV</t>
  </si>
  <si>
    <r>
      <t xml:space="preserve">19/05/2023 - OCL - SAPROV: Con base en las evidencias aportadas por el proceso, la OCI verifica la ejecución del control.
</t>
    </r>
    <r>
      <rPr>
        <b/>
        <sz val="11"/>
        <color theme="1"/>
        <rFont val="Arial Narrow"/>
        <family val="2"/>
      </rPr>
      <t xml:space="preserve">JAG- </t>
    </r>
    <r>
      <rPr>
        <sz val="11"/>
        <color theme="1"/>
        <rFont val="Arial Narrow"/>
        <family val="2"/>
      </rPr>
      <t xml:space="preserve">SAPROV El proceso realiza el reporte de la ejecución del control y carga la evidencia de cumplimiento.
26/09/2023 - SAPROV:  De acuerdo con la maifestación del proceso y la revisión de las siguientes evidencias:
- Contratos SAprov junio 2023,  Registro  Clausula 18 Minuta  julio,  Reserva y Conf de la Inf Melisa Andrea Pérez Torrado,  Reserva y Conf de la Inf Michel Johan Useche y Reserva y Conf de la Inf nancy Sierra, la OCI verificó la ejecución del control.
</t>
    </r>
  </si>
  <si>
    <r>
      <t xml:space="preserve">19/05/2023 - OCL - SAPROV: De acuerdo con el seguimiento de la segunda línea de defensa y las evidencias aportadas por el proceso se verifica la efectividad del control.
</t>
    </r>
    <r>
      <rPr>
        <b/>
        <sz val="11"/>
        <color theme="1"/>
        <rFont val="Arial Narrow"/>
        <family val="2"/>
      </rPr>
      <t>JAG-</t>
    </r>
    <r>
      <rPr>
        <sz val="11"/>
        <color theme="1"/>
        <rFont val="Arial Narrow"/>
        <family val="2"/>
      </rPr>
      <t xml:space="preserve"> SAPROV El control es efectivo y se evidencia la NO materialización del riesgo
</t>
    </r>
    <r>
      <rPr>
        <b/>
        <sz val="11"/>
        <color theme="1"/>
        <rFont val="Arial Narrow"/>
        <family val="2"/>
      </rPr>
      <t>26/09/2023 - OCL - SAPROV</t>
    </r>
    <r>
      <rPr>
        <sz val="11"/>
        <color theme="1"/>
        <rFont val="Arial Narrow"/>
        <family val="2"/>
      </rPr>
      <t>: De acuerdo con el seguimiento del proceso y las evidencias aportadas por el proceso se verifica la efectividad del control.</t>
    </r>
  </si>
  <si>
    <r>
      <t xml:space="preserve">19/05/2023 - OCL -SAPROV: De acuerdo con el seguimiento de la segunda línea de defensa y las evidencias aportadas por el proceso se verifica la ejecución de la acción.
</t>
    </r>
    <r>
      <rPr>
        <b/>
        <sz val="11"/>
        <color theme="1"/>
        <rFont val="Arial Narrow"/>
        <family val="2"/>
      </rPr>
      <t>JAG-</t>
    </r>
    <r>
      <rPr>
        <sz val="11"/>
        <color theme="1"/>
        <rFont val="Arial Narrow"/>
        <family val="2"/>
      </rPr>
      <t xml:space="preserve"> SAPROV El plan de manejo de riesgos se está ejecutando y se evidencia el cumplimiento de acuerdo al reporte realizado y la evidenca adjuntada.
</t>
    </r>
    <r>
      <rPr>
        <b/>
        <sz val="11"/>
        <color theme="1"/>
        <rFont val="Arial Narrow"/>
        <family val="2"/>
      </rPr>
      <t>26/09/2023 - SAPROV:</t>
    </r>
    <r>
      <rPr>
        <sz val="11"/>
        <color theme="1"/>
        <rFont val="Arial Narrow"/>
        <family val="2"/>
      </rPr>
      <t xml:space="preserve"> Con base en la revisión de las siguientes evidencias:
- Correo_ registro  Accesos de Información Julio y  Correo_ registro Accesos de información Agosto, la OCI, verifica la ejecución de la acción.</t>
    </r>
  </si>
  <si>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</si>
  <si>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</si>
  <si>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</si>
  <si>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</si>
  <si>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</si>
  <si>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</si>
  <si>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</si>
  <si>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 xml:space="preserve">19/05/2023 - OCL - RBL
26/09/2023
</t>
  </si>
  <si>
    <t>19/05/2023 - OCL - RBL: Para el periodo de estudio, el proceso no tiene identificadas oportunidades.
26/09/2023: N/A</t>
  </si>
  <si>
    <t>19/05/2023 - OCL - RBL: N/A
26/09/2023: N/A</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</si>
  <si>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</si>
  <si>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</si>
  <si>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</si>
  <si>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</si>
  <si>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</si>
  <si>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</si>
  <si>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</si>
  <si>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</si>
  <si>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</si>
  <si>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</si>
  <si>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</si>
  <si>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</si>
  <si>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</si>
  <si>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</si>
  <si>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</si>
  <si>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</si>
  <si>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</si>
  <si>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</si>
  <si>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</si>
  <si>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</si>
  <si>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</si>
  <si>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</si>
  <si>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</si>
  <si>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</si>
  <si>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</si>
  <si>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</si>
  <si>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</si>
  <si>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</si>
  <si>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</si>
  <si>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</si>
  <si>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</si>
  <si>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</si>
  <si>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</si>
  <si>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</si>
  <si>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</si>
  <si>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</si>
  <si>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</si>
  <si>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</si>
  <si>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</si>
  <si>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</si>
  <si>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</si>
  <si>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</si>
  <si>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</si>
  <si>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</si>
  <si>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</si>
  <si>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</si>
  <si>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</si>
  <si>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</si>
  <si>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</si>
  <si>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</si>
  <si>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</si>
  <si>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</si>
  <si>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</si>
  <si>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</si>
  <si>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</si>
  <si>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</si>
  <si>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</si>
  <si>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</si>
  <si>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</si>
  <si>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</si>
  <si>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</si>
  <si>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</si>
  <si>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</si>
  <si>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</si>
  <si>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</si>
  <si>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</si>
  <si>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</si>
  <si>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</si>
  <si>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</si>
  <si>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</si>
  <si>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</si>
  <si>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</si>
  <si>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</si>
  <si>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</si>
  <si>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</si>
  <si>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</si>
  <si>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</si>
  <si>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</si>
  <si>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</si>
  <si>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</si>
  <si>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</si>
  <si>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</si>
  <si>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</si>
  <si>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</si>
  <si>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</si>
  <si>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</si>
  <si>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</si>
  <si>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</si>
  <si>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</si>
  <si>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</si>
  <si>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</si>
  <si>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</si>
  <si>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</si>
  <si>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</si>
  <si>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</si>
  <si>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</si>
  <si>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</si>
  <si>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</si>
  <si>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</si>
  <si>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</si>
  <si>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</si>
  <si>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</si>
  <si>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</si>
  <si>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</si>
  <si>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</si>
  <si>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</si>
  <si>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</si>
  <si>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</si>
  <si>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</si>
  <si>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</si>
  <si>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</si>
  <si>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</si>
  <si>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</si>
  <si>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</si>
  <si>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</si>
  <si>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</si>
  <si>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</si>
  <si>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</si>
  <si>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</si>
  <si>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</si>
  <si>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</si>
  <si>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</si>
  <si>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</si>
  <si>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</si>
  <si>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</si>
  <si>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</si>
  <si>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</si>
  <si>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</si>
  <si>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</si>
  <si>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</si>
  <si>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</si>
  <si>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</si>
  <si>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</si>
  <si>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</si>
  <si>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</si>
  <si>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</si>
  <si>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</si>
  <si>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</si>
  <si>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</si>
  <si>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</si>
  <si>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</si>
  <si>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</si>
  <si>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</si>
  <si>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</si>
  <si>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</si>
  <si>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</si>
  <si>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</si>
  <si>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</si>
  <si>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</si>
  <si>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</si>
  <si>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</si>
  <si>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</si>
  <si>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</si>
  <si>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</si>
  <si>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</si>
  <si>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</si>
  <si>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</si>
  <si>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</si>
  <si>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</si>
  <si>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</si>
  <si>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</si>
  <si>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</si>
  <si>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</si>
  <si>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</si>
  <si>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</si>
  <si>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</si>
  <si>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</si>
  <si>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</si>
  <si>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</si>
  <si>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</si>
  <si>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</si>
  <si>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</si>
  <si>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</si>
  <si>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</si>
  <si>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</si>
  <si>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</si>
  <si>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</si>
  <si>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</si>
  <si>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</si>
  <si>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</si>
  <si>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</si>
  <si>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</si>
  <si>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</si>
  <si>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</si>
  <si>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</si>
  <si>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</si>
  <si>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</si>
  <si>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</si>
  <si>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</si>
  <si>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</si>
  <si>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</si>
  <si>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</si>
  <si>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</si>
  <si>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</si>
  <si>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</si>
  <si>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</si>
  <si>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</si>
  <si>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</si>
  <si>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</si>
  <si>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</si>
  <si>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</si>
  <si>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</si>
  <si>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</si>
  <si>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</si>
  <si>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</si>
  <si>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</si>
  <si>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</si>
  <si>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</si>
  <si>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</si>
  <si>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</si>
  <si>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</si>
  <si>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</si>
  <si>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</si>
  <si>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</si>
  <si>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</si>
  <si>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</si>
  <si>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</si>
  <si>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</si>
  <si>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</si>
  <si>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</si>
  <si>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Aceptar</t>
  </si>
  <si>
    <t>Evitar</t>
  </si>
  <si>
    <t>Reputacional</t>
  </si>
  <si>
    <t>Reducir (compartir)</t>
  </si>
  <si>
    <t>Plan de accion (solo para la opción reducir)</t>
  </si>
  <si>
    <t>Finalizado</t>
  </si>
  <si>
    <t>En curso</t>
  </si>
  <si>
    <t>Daños Activos Fisicos</t>
  </si>
  <si>
    <t>Fallas Tecnologicas</t>
  </si>
  <si>
    <t>Relaciones Laborales</t>
  </si>
  <si>
    <t>Solicitud de ajuste</t>
  </si>
  <si>
    <t>Fraude Externo</t>
  </si>
  <si>
    <t>Lavado de Activos</t>
  </si>
  <si>
    <t>Financiación del terrorismo</t>
  </si>
  <si>
    <t>No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</si>
  <si>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</si>
  <si>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</si>
  <si>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</si>
  <si>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</si>
  <si>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</si>
  <si>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</si>
  <si>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</si>
  <si>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</si>
  <si>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</si>
  <si>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</si>
  <si>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</si>
  <si>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</si>
  <si>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</si>
  <si>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</si>
  <si>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</si>
  <si>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</si>
  <si>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</si>
  <si>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</si>
  <si>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</si>
  <si>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</si>
  <si>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</si>
  <si>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</si>
  <si>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</si>
  <si>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</si>
  <si>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</si>
  <si>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</si>
  <si>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</si>
  <si>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DEBIL</t>
  </si>
  <si>
    <t>NO DISMINUYE</t>
  </si>
  <si>
    <t>Compartir</t>
  </si>
  <si>
    <t>26/04/2023
19/07/2023
17/10/2023
16/01/2024</t>
  </si>
  <si>
    <t>Se realizó seguimiento al control y las evidencias aportadas con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sin embargo, se evidencia que para la SDF no se realizó el reporte correspondiente al mes de septiembre
Se realizó seguimiento al control y las evidencias aportadas son coherentes a lo reportado por lo que se establece que el control fue efectivo</t>
  </si>
  <si>
    <t>Se realizó seguimiento al control y las evidencias aportadas con coherentes a lo reportado por lo que se establece que el control fue efectivo
Se realizó seguimiento al control  sin embargo para las dos subdirecciones no se reportó el mes de junio y para disposición final se adjunta link de publicación de informes en el cual no estan los informes del segundo trimestre, asi como tampoco se adjunta evidencia de las revisiones del mes de abril y mayo
Se realizó seguimiento al control y las evidencias aportadas son coherentes a lo reportado por lo que se establece que el control fue efectivo, sin embargo, se evidencia que para la SDF no se realizó el reporte correspondiente al mes de septiembre
Se realizó seguimiento al control y las evidencias aportadas son coherentes a lo reportado por lo que se establece que el control fue efectivo</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</si>
  <si>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sin embargo, se evidencia que para la SDF no se realizó el reporte correspondiente al mes de septiembre
Se realizó seguimiento al control y las evidencias aportadas son coherentes a lo reportado por lo que se establece que el control fue efectivo</t>
  </si>
  <si>
    <t>Se realiza seguimiento a la acción y los soportes son coherentes con lo reportado 
Actividad cumplida en el primer trimestre
Actividad cumplida en el primer trimestre
Actividad cumplida en el primer trimestre</t>
  </si>
  <si>
    <t>Se realiza seguimiento a la acción y los soportes son coherentes con lo reportado 
Se realiza seguimiento a la acción y los soportes son coherentes con lo reportado 
Actividad cumplida en el primer trimestre
Actividad cumplida en el primer trimestre</t>
  </si>
  <si>
    <t>26/04/2023
18/06/2023
17/10/2023
16/01/2024</t>
  </si>
  <si>
    <t>Se realizó seguimiento al control y las evidencias aportadas con coherentes a lo reportado por lo que se establece que el control fue efectivo
Se realizó seguimiento al control sin embargo para aprovechamiento no se hace seguimiento del mes de mayo
Se realizó seguimiento al control sin embargo para aprovechamiento y disposición final no se hace seguimiento del mes de septiembre
Se realizó seguimiento al control y las evidencias aportadas con coherentes a lo reportado por lo que se establece que el control fue efectivo</t>
  </si>
  <si>
    <t>Se realizó seguimiento al control y las evidencias aportadas con coherentes a lo reportado por lo que se establece que el control fue efectivo
Se realizó seguimiento al control y se adjuntaron los soportes frente a lo reportado, sin embargo para  Aprovechamiento no se presentó avance para el mes de junio
Se realizó seguimiento al control y se adjuntaron los soportes frente a lo reportado, sin embargo para  Aprovechamiento y disposición final no se presentó avance para el mes de septiembre
Se realizó seguimiento al control y las evidencias aportadas con coherentes a lo reportado por lo que se establece que el control fue efectivo</t>
  </si>
  <si>
    <t xml:space="preserve">Se realiza seguimiento a la acción y los soportes son coherentes con lo reportado 
Se realizó seguimiento a la acción sin embargo para la subdirección de RBL no se aporta evidencia por lo que no se puede evidenciar el cumplimiento a lo establecido en la resolución 571 de 2021 en la cual se establece que el comité primario se debe realizar trimestralmente.
Se realizó seguimiento a la acción sin embargo para la subdirección de RBL no se aporta evidencia por lo que no se puede evidenciar el cumplimiento a lo establecido en la resolución 571 de 2021 en la cual se establece que el comité primario se debe realizar trimestralmente. para Aprovechamiento y disposición final no se realizó el seguimiento para el mes de septiembre.
Se realiza seguimiento a la acción y los soportes son coherentes con lo reportado </t>
  </si>
  <si>
    <t>Se realizó seguimiento al control y las evidencias aportadas con coherentes a lo reportado por lo que se establece que el control fue efectivo
Se realizó seguimiento al control sin embargo no se hace reporte del  del mes de mayo y junio por aprovechamiento y para disposición final se adjunta link de publicación de informes en el cual no están los informes del segundo trimestre, así como tampoco se adjunta evidencia de las revisiones del mes de abril y mayo
Se realizó seguimiento al control y se adjuntaron los soportes frente a lo reportado, sin embargo, para Aprovechamiento y disposición final no se presentó avance para el mes de septiembre
Se realizó seguimiento al control y las evidencias aportadas son coherentes a lo reportado por lo que se establece que el control fue efectivo</t>
  </si>
  <si>
    <t>Se realizó seguimiento al control y las evidencias aportadas con coherentes a lo reportado por lo que se establece que el control fue efectivo
Se realizó seguimiento al control y las evidencias aportadas con coherentes a lo reportado por lo que se establece que el control fue efectivo
Se realizó seguimiento al control sin embargo para RBL no se adjuntan las evidencias del mes de septiembre y disposición final no realiza el reporte del mes de septiembre
Se realizó seguimiento al control y las evidencias aportadas son coherentes a lo reportado por lo que se establece que el control fue efectivo</t>
  </si>
  <si>
    <t>Se realiza seguimiento a la acción y los soportes son coherentes con lo reportado 
Se realiza seguimiento a la acción y los soportes son coherentes con lo reportado 
Acción cumplida en el segundo trimestre
Acción cumplida en el segundo trimestre</t>
  </si>
  <si>
    <t>La acción se encuentra en ejecución no se realiza avance en el primer trimestre
La acción se encuentra en ejecución no se realiza avance en el segundo trimestre
La acción se encuentra en ejecución no se realiza avance en el tercer trimestre
Se realiza seguimiento a la acción y los soportes son coherentes con lo reportado</t>
  </si>
  <si>
    <r>
      <t xml:space="preserve">
SAPROV 10/11/2023:  Se continua con los siguientes programas  en el marco de las acciones afirmativas,   en los cuales se relacionan y anexan los actos administrativos que documentan la convocatoria, criterios, requsitos y acciones  adelantadas:  
1. Programa de Incentivos 2023: 
1.1 Incentivos Proyectos organizaciones:
- Resolución No. 894 de 2023	Por la cual se seleccionan treinta (30) proyectos beneficiarios y se adjudican los recursos del Programa de Incentivos correspondientes a la vigencia 2023, como acción afirmativa a favor de las Organizaciones de recicladores de oficio de Bogotá D.C, de conformidad con la Resolución No. 580 de 2023
- Resolución 580 de  2023  Por la cual se establecen los terminos de referenda para la convocatoria correspondiente al Programa de Incentivos para la vigenda 2023, como acdon afirmativa a favor de las Organizadones de Reddadores de Ofido de Bogota D.C.
1.2. Incentivos  VTH:
- Resolución No. 876 de 2023	Por la cual se adjudican los recursos y se ordena el desembolso a favor de 130 organizaciones, en el marco del “Programa de Incentivos para la Sustitución de Vehículos de Tracción Humana - VTH, como acción afirmativa a favor de las Organizaciones de Recicladores de Oficio de Bogotá D.C.”, de acuerdo con lo establecido en el artículo 10 de la Resolución 667 de 2023 
- Resolución No. 823 de 2023	Por la cual se modifica el artículo trece de la Resolución No. 667 de 2023 “Por la cual se aclara y se modifica la Resolución No. 847 de 2022 y se establecen los criterios, lineamientos requisitos para el desembolso del incentivo del “Programa de incentivos para la Sustitución de VTH (Vehículos de Tracción Humana) como acción afirmativa a favor de las Organizaciones de Recicladores de Oficio de Bogotá D.C.
- Resolución 667 de 2023:   Por la cualse aclara y se modifia la Resolucion No. 847 de 2022 y se establecen los criterios,  lineamientosy requisitospara el desembolso del incentivo del “Programa de incentivos para la Sustitucion de VTH (Vehiculos de Traccion Humana) como accion afirmativa afavor de las  organizaciones de  Recicladores de Oficio de Bogota D.C”
- Resolución  847 de 2022  “Por la cual se crea el Programa de incentivos para la Sustitución de VTH (Vehículos de Tracción Humana), como acción afirmativa a favor de las Organizaciones de Recicladores de Oficio de Bogotá D.C.” 
2. Programa de Kits de Maquinaria: .
- Resolución No. 896 de 2023	Por la cual se seleccionan 2 organizaciones de recicladores de oficio beneficiarias y se adjudican los recursos como resultado de la segunda convocatoria para la entrega de kits de maquinaria, realizada a través de la Resolución No. 706 de 2023, en el marco del programa para el pre-alistamiento del material plástico post consumo, creado por la Resolución No. 843 de 2022
- Resolución No. 706 de 2023	Por la cual se realiza la segunda convocatoria para la entrega de dos kits de maquinaria en el marco de la Resolución No. 843 de 2022, que creó el programa para la entrega de kits de maquinaria para el prealistamiento del material plástico post consumo y definió los términos de referencia para la evaluación y selección de las Organizaciones de recicladores de oficio beneficiarias
- Resolución No. 420 de 2023	Por la cual se modifica la Resolución No. 158 de 2023, que modificó la Resolución No. 843 de 2022, “Por la cual se crea el Programa para la entrega de Kits de maquinaria para el prealistamiento del material plástico post consumo y definió los términos de referencia para la evaluación y selección de las Organizaciones de Recicladores de Oficio beneficiarias.”
-  Resolución No. 355 de 2023	Par la cual se seleccionan las organizaciones de recicladores beneficiarias y se adjudican los recursos del Programa para la entrega de kits de maquinaria para el prealistamiento del material plástico post consumo creado por la Resolución No. 843 de 2022
- Resolución No. 283 de 2023	Por la cual se modifica la Resolución No. 843 de 23 de diciembre de 2022, y se adiciona la Resolución 158 de 27 de febrero de 2023, por medio de las cuales se crea y modifica el Programa para la entrega de Kits de maquinaria para el prealistamiento del material plástico post consumo y se definen los términos de referencia para la evaluación y selección de las Organizaciones de Recicladores de Oficio beneficiarias.
- Resolución No. 220 de 2023	Por medio de la cual se entregan en calidad de donación los kits de ofimática (impresoras y computadores) a las Organizaciones de Recicladores de Oficio y los Uniformes a los Recicladores de Oficio, en el marco de la implementación de Acciones Afirmativas a favor de la población de recicladores de oficio
- Resolución No. 158 De 2023	Por la cual se modifica la Resolución No. 843 del 23 de diciembre de 2022, que creó el Programa para la entrega de kits de maquinaria para el pre-alistamiento del material plástico post consumo y definió los términos de referenda para la evaluación y selección de las Organizaciones de Recicladores de Oficio beneficiarias
</t>
    </r>
    <r>
      <rPr>
        <b/>
        <sz val="11"/>
        <color rgb="FF0070C0"/>
        <rFont val="Arial Narrow"/>
      </rPr>
      <t>SAPROV 11/12/2023:</t>
    </r>
    <r>
      <rPr>
        <sz val="11"/>
        <color rgb="FF0070C0"/>
        <rFont val="Arial Narrow"/>
      </rPr>
      <t xml:space="preserve">  Durante el mes de noviembre se realiza el seguimiento de los programas de incentivos así:
1. Programa de incentivos
</t>
    </r>
    <r>
      <rPr>
        <b/>
        <sz val="11"/>
        <color rgb="FF0070C0"/>
        <rFont val="Arial Narrow"/>
      </rPr>
      <t>1.1 Incentivos Proyectos organizaciones</t>
    </r>
    <r>
      <rPr>
        <sz val="11"/>
        <color rgb="FF0070C0"/>
        <rFont val="Arial Narrow"/>
      </rPr>
      <t xml:space="preserve">: En este mes se realizaron las evaluaciones técnicas y orales de los proyecctos presentados por las Organizaciones de Recicladores de Oficio que se postularon al "Programa de Incentivos 2023", se publicó una lista preliminar, se esperó el tiempo de reclamo, y posteriormente se publicó la resolución 894 de 2023 por la cual se publica el listado de elegibles, de la 30 organizaciones.  En el mes de noviembre se inicó la emisión y publicación de las resoluciones de desembolso a nombre de las organizaciones beneficiadas en el Programa de Incentivos 2023, de la 30 se lograron 27 resoluciones.
</t>
    </r>
    <r>
      <rPr>
        <b/>
        <sz val="11"/>
        <color rgb="FF0070C0"/>
        <rFont val="Arial Narrow"/>
      </rPr>
      <t>1.2. Incentivos  VTH</t>
    </r>
    <r>
      <rPr>
        <sz val="11"/>
        <color rgb="FF0070C0"/>
        <rFont val="Arial Narrow"/>
      </rPr>
      <t xml:space="preserve">:  Resolución 977 de 2023 "Por la cual se adiciona al articulo segundo de la Resolucion 934 del 17 de noviembre de
2023 “Por la cualse adjudican los recursosy se ordena el desembolso afavor de 54 organizaciones, en el marco del “Programa de Incentivospara la Sustitucion de Vehiculos de TraccidnHumana - VTH, como accidn afirmativa afavor de las Organizaciones de Recicladores de Oficio de Bogota D.C. ”, de acuerdo con lo establecido en el articulo 10 de
la Resolucion 667 de 2023”.
2. </t>
    </r>
    <r>
      <rPr>
        <b/>
        <sz val="11"/>
        <color rgb="FF0070C0"/>
        <rFont val="Arial Narrow"/>
      </rPr>
      <t>Programa de Kits de Maquinaria</t>
    </r>
    <r>
      <rPr>
        <sz val="11"/>
        <color rgb="FF0070C0"/>
        <rFont val="Arial Narrow"/>
      </rPr>
      <t xml:space="preserve">: Luego de la convocatoria y la revisión de los requisitos fueron entregados 
</t>
    </r>
    <r>
      <rPr>
        <b/>
        <sz val="11"/>
        <color rgb="FF0070C0"/>
        <rFont val="Arial Narrow"/>
      </rPr>
      <t xml:space="preserve">SAPROV 11/01/2024:  </t>
    </r>
    <r>
      <rPr>
        <sz val="11"/>
        <color rgb="FF0070C0"/>
        <rFont val="Arial Narrow"/>
      </rPr>
      <t xml:space="preserve">Durante el mes de diciembre no se emiten actos administrativos   de requistos habiltantes  para programas de incentivos de la Población Recicladora
</t>
    </r>
  </si>
  <si>
    <r>
      <t xml:space="preserve">
</t>
    </r>
    <r>
      <rPr>
        <b/>
        <sz val="11"/>
        <color rgb="FF4F81BD"/>
        <rFont val="Arial Narrow"/>
      </rPr>
      <t xml:space="preserve">SAPROV 10/11/2023:  </t>
    </r>
    <r>
      <rPr>
        <sz val="11"/>
        <color rgb="FF4F81BD"/>
        <rFont val="Arial Narrow"/>
      </rPr>
      <t xml:space="preserve">Se continua con los siguientes programas  en el marco de las acciones afirmativas,   en los cuales se relacionan y anexan los actos administrativos que documentan la convocatoria, criterios, requsitos y acciones  adelantadas:  
</t>
    </r>
    <r>
      <rPr>
        <b/>
        <sz val="11"/>
        <color rgb="FF4F81BD"/>
        <rFont val="Arial Narrow"/>
      </rPr>
      <t xml:space="preserve">
1. Programa de Incentivos 2023: 
1.1 Incentivos Proyectos organizaciones:
</t>
    </r>
    <r>
      <rPr>
        <sz val="11"/>
        <color rgb="FF4F81BD"/>
        <rFont val="Arial Narrow"/>
      </rPr>
      <t xml:space="preserve">- </t>
    </r>
    <r>
      <rPr>
        <b/>
        <sz val="11"/>
        <color rgb="FF4F81BD"/>
        <rFont val="Arial Narrow"/>
      </rPr>
      <t>Resolución No. 894 de 2023</t>
    </r>
    <r>
      <rPr>
        <sz val="11"/>
        <color rgb="FF4F81BD"/>
        <rFont val="Arial Narrow"/>
      </rPr>
      <t xml:space="preserve">	Por la cual se seleccionan treinta (30) proyectos beneficiarios y se adjudican los recursos del Programa de Incentivos correspondientes a la vigencia 2023, como acción afirmativa a favor de las Organizaciones de recicladores de oficio de Bogotá D.C, de conformidad con la Resolución No. 580 de 2023
- </t>
    </r>
    <r>
      <rPr>
        <b/>
        <sz val="11"/>
        <color rgb="FF4F81BD"/>
        <rFont val="Arial Narrow"/>
      </rPr>
      <t xml:space="preserve">Resolución 580 de  2023  </t>
    </r>
    <r>
      <rPr>
        <sz val="11"/>
        <color rgb="FF4F81BD"/>
        <rFont val="Arial Narrow"/>
      </rPr>
      <t xml:space="preserve">Por la cual se establecen los terminos de referenda para la convocatoria correspondiente al Programa de Incentivos para la vigenda 2023, como acdon afirmativa a favor de las Organizadones de Reddadores de Ofido de Bogota D.C.
</t>
    </r>
    <r>
      <rPr>
        <b/>
        <sz val="11"/>
        <color rgb="FF4F81BD"/>
        <rFont val="Arial Narrow"/>
      </rPr>
      <t xml:space="preserve">1.2. Incentivos  VTH:
</t>
    </r>
    <r>
      <rPr>
        <sz val="11"/>
        <color rgb="FF4F81BD"/>
        <rFont val="Arial Narrow"/>
      </rPr>
      <t xml:space="preserve">- </t>
    </r>
    <r>
      <rPr>
        <b/>
        <sz val="11"/>
        <color rgb="FF4F81BD"/>
        <rFont val="Arial Narrow"/>
      </rPr>
      <t>Resolución No. 876 de 2023</t>
    </r>
    <r>
      <rPr>
        <sz val="11"/>
        <color rgb="FF4F81BD"/>
        <rFont val="Arial Narrow"/>
      </rPr>
      <t xml:space="preserve">	Por la cual se adjudican los recursos y se ordena el desembolso a favor de 130 organizaciones, en el marco del “Programa de Incentivos para la Sustitución de Vehículos de Tracción Humana - VTH, como acción afirmativa a favor de las Organizaciones de Recicladores de Oficio de Bogotá D.C.”, de acuerdo con lo establecido en el artículo 10 de la Resolución 667 de 2023 
-</t>
    </r>
    <r>
      <rPr>
        <b/>
        <sz val="11"/>
        <color rgb="FF4F81BD"/>
        <rFont val="Arial Narrow"/>
      </rPr>
      <t xml:space="preserve"> Resolución No. 823 de 2023</t>
    </r>
    <r>
      <rPr>
        <sz val="11"/>
        <color rgb="FF4F81BD"/>
        <rFont val="Arial Narrow"/>
      </rPr>
      <t xml:space="preserve">	Por la cual se modifica el artículo trece de la Resolución No. 667 de 2023 “Por la cual se aclara y se modifica la Resolución No. 847 de 2022 y se establecen los criterios, lineamientos requisitos para el desembolso del incentivo del “Programa de incentivos para la Sustitución de VTH (Vehículos de Tracción Humana) como acción afirmativa a favor de las Organizaciones de Recicladores de Oficio de Bogotá D.C.
- </t>
    </r>
    <r>
      <rPr>
        <b/>
        <sz val="11"/>
        <color rgb="FF4F81BD"/>
        <rFont val="Arial Narrow"/>
      </rPr>
      <t xml:space="preserve">Resolución 667 de 2023: </t>
    </r>
    <r>
      <rPr>
        <sz val="11"/>
        <color rgb="FF4F81BD"/>
        <rFont val="Arial Narrow"/>
      </rPr>
      <t xml:space="preserve">  Por la cualse aclara y se modifia la Resolucion No. 847 de 2022 y se establecen los criterios,  lineamientosy requisitospara el desembolso del incentivo del “Programa de incentivos para la Sustitucion de VTH (Vehiculos de Traccion Humana) como accion afirmativa afavor de las  organizaciones de  Recicladores de Oficio de Bogota D.C”
- </t>
    </r>
    <r>
      <rPr>
        <b/>
        <sz val="11"/>
        <color rgb="FF4F81BD"/>
        <rFont val="Arial Narrow"/>
      </rPr>
      <t xml:space="preserve">Resolución  847 de 2022  </t>
    </r>
    <r>
      <rPr>
        <sz val="11"/>
        <color rgb="FF4F81BD"/>
        <rFont val="Arial Narrow"/>
      </rPr>
      <t xml:space="preserve">“Por la cual se crea el Programa de incentivos para la Sustitución de VTH (Vehículos de Tracción Humana), como acción afirmativa a favor de las Organizaciones de Recicladores de Oficio de Bogotá D.C.” 
</t>
    </r>
    <r>
      <rPr>
        <b/>
        <sz val="11"/>
        <color rgb="FF4F81BD"/>
        <rFont val="Arial Narrow"/>
      </rPr>
      <t xml:space="preserve">2. Programa de Kits de Maquinaria: </t>
    </r>
    <r>
      <rPr>
        <sz val="11"/>
        <color rgb="FF4F81BD"/>
        <rFont val="Arial Narrow"/>
      </rPr>
      <t xml:space="preserve">.
- </t>
    </r>
    <r>
      <rPr>
        <b/>
        <sz val="11"/>
        <color rgb="FF4F81BD"/>
        <rFont val="Arial Narrow"/>
      </rPr>
      <t>Resolución No. 896 de 2023</t>
    </r>
    <r>
      <rPr>
        <sz val="11"/>
        <color rgb="FF4F81BD"/>
        <rFont val="Arial Narrow"/>
      </rPr>
      <t xml:space="preserve">	Por la cual se seleccionan 2 organizaciones de recicladores de oficio beneficiarias y se adjudican los recursos como resultado de la segunda convocatoria para la entrega de kits de maquinaria, realizada a través de la Resolución No. 706 de 2023, en el marco del programa para el pre-alistamiento del material plástico post consumo, creado por la Resolución No. 843 de 2022
- </t>
    </r>
    <r>
      <rPr>
        <b/>
        <sz val="11"/>
        <color rgb="FF4F81BD"/>
        <rFont val="Arial Narrow"/>
      </rPr>
      <t>Resolución No. 706 de 2023</t>
    </r>
    <r>
      <rPr>
        <sz val="11"/>
        <color rgb="FF4F81BD"/>
        <rFont val="Arial Narrow"/>
      </rPr>
      <t xml:space="preserve">	Por la cual se realiza la segunda convocatoria para la entrega de dos kits de maquinaria en el marco de la Resolución No. 843 de 2022, que creó el programa para la entrega de kits de maquinaria para el prealistamiento del material plástico post consumo y definió los términos de referencia para la evaluación y selección de las Organizaciones de recicladores de oficio beneficiarias
</t>
    </r>
    <r>
      <rPr>
        <b/>
        <sz val="11"/>
        <color rgb="FF4F81BD"/>
        <rFont val="Arial Narrow"/>
      </rPr>
      <t>- Resolución No. 420 de 2023</t>
    </r>
    <r>
      <rPr>
        <sz val="11"/>
        <color rgb="FF4F81BD"/>
        <rFont val="Arial Narrow"/>
      </rPr>
      <t xml:space="preserve">	Por la cual se modifica la Resolución No. 158 de 2023, que modificó la Resolución No. 843 de 2022, “Por la cual se crea el Programa para la entrega de Kits de maquinaria para el prealistamiento del material plástico post consumo y definió los términos de referencia para la evaluación y selección de las Organizaciones de Recicladores de Oficio beneficiarias.”
-</t>
    </r>
    <r>
      <rPr>
        <b/>
        <sz val="11"/>
        <color rgb="FF4F81BD"/>
        <rFont val="Arial Narrow"/>
      </rPr>
      <t xml:space="preserve">  Resolución No. 355 de 2023</t>
    </r>
    <r>
      <rPr>
        <sz val="11"/>
        <color rgb="FF4F81BD"/>
        <rFont val="Arial Narrow"/>
      </rPr>
      <t xml:space="preserve">	Par la cual se seleccionan las organizaciones de recicladores beneficiarias y se adjudican los recursos del Programa para la entrega de kits de maquinaria para el prealistamiento del material plástico post consumo creado por la Resolución No. 843 de 2022
</t>
    </r>
    <r>
      <rPr>
        <b/>
        <sz val="11"/>
        <color rgb="FF4F81BD"/>
        <rFont val="Arial Narrow"/>
      </rPr>
      <t>- Resolución No. 283 de 2023</t>
    </r>
    <r>
      <rPr>
        <sz val="11"/>
        <color rgb="FF4F81BD"/>
        <rFont val="Arial Narrow"/>
      </rPr>
      <t xml:space="preserve">	Por la cual se modifica la Resolución No. 843 de 23 de diciembre de 2022, y se adiciona la Resolución 158 de 27 de febrero de 2023, por medio de las cuales se crea y modifica el Programa para la entrega de Kits de maquinaria para el prealistamiento del material plástico post consumo y se definen los términos de referencia para la evaluación y selección de las Organizaciones de Recicladores de Oficio beneficiarias.
</t>
    </r>
    <r>
      <rPr>
        <b/>
        <sz val="11"/>
        <color rgb="FF4F81BD"/>
        <rFont val="Arial Narrow"/>
      </rPr>
      <t>- Resolución No. 220 de 2023</t>
    </r>
    <r>
      <rPr>
        <sz val="11"/>
        <color rgb="FF4F81BD"/>
        <rFont val="Arial Narrow"/>
      </rPr>
      <t xml:space="preserve">	Por medio de la cual se entregan en calidad de donación los kits de ofimática (impresoras y computadores) a las Organizaciones de Recicladores de Oficio y los Uniformes a los Recicladores de Oficio, en el marco de la implementación de Acciones Afirmativas a favor de la población de recicladores de oficio
</t>
    </r>
    <r>
      <rPr>
        <b/>
        <sz val="11"/>
        <color rgb="FF4F81BD"/>
        <rFont val="Arial Narrow"/>
      </rPr>
      <t>- Resolución No. 158 De 2023</t>
    </r>
    <r>
      <rPr>
        <sz val="11"/>
        <color rgb="FF4F81BD"/>
        <rFont val="Arial Narrow"/>
      </rPr>
      <t xml:space="preserve">	Por la cual se modifica la Resolución No. 843 del 23 de diciembre de 2022, que creó el Programa para la entrega de kits de maquinaria para el pre-alistamiento del material plástico post consumo y definió los términos de referenda para la evaluación y selección de las Organizaciones de Recicladores de Oficio beneficiarias
11/12/2023.  No se realizaron  nuevas convocatorias en el periodo.
11/01/2024 No se realizaron  nuevas  convocatorias para el periodo.
</t>
    </r>
  </si>
  <si>
    <t>10/11/2023
11/12/2023
11/01/2024</t>
  </si>
  <si>
    <t>Se realiza seguimiento al control sin embargo no se realiza el reporte del mes de abril y no se adjuntan evidencias por lo que no se puede establecer su efectividad
Se realiza seguimiento al control y se adjuntan las evidencias por lo que se puede verificar su efectividad
No se realizan actividades asociadas al control por lo que no se puede establecer su efectividad, asi mismo no se realiza el reporte del mes de septiembre
Se realizó seguimiento al control y las evidencias aportadas son coherentes a lo reportado por lo que se establece que el control fue efectivo</t>
  </si>
  <si>
    <t>Se realiza seguimiento al control sin embargo no se realiza el reporte del mes de abril y  se adjuntan evidencias de los dos primeros meses
Se realiza seguimiento al control y se adjuntan las evidencias por lo que se puede verificar su efectividad 
Se realiza seguimiento al control y se adjuntan las evidencias por lo que se puede verificar su efectividad  sin embargo no se hace el reporte del mes de septiembre
Se realizó seguimiento al control y las evidencias aportadas son coherentes a lo reportado por lo que se establece que el control fue efectivo</t>
  </si>
  <si>
    <t>Se realiza seguimiento a la acción sin embargo no se realiza el reporte del mes de abril y no se adjuntan evidencias por lo que no se puede establecer su ejecución
La accion no fue necesaria en el trimestre lo cual es informado por el proceso
Se realiza seguimiento y se adjuntan las evidencias
Se realiza seguimiento y se adjuntan las evidencias</t>
  </si>
  <si>
    <t>Se realiza seguimiento a la acción sin embargo no se realiza el reporte del mes de abril y no se adjuntan evidencias por lo que no se puede establecer su ejecución
Se realiza seguimiento a la acción se evidencia su cumplimiento con los soportes aportados
Se realiza seguimiento a la acción se evidencia su cumplimiento con los soportes aportados
Se realiza seguimiento a la acción se evidencia su cumplimiento con los soportes aportados</t>
  </si>
  <si>
    <t>18/07/2023
17/10/2023
16/01/2024</t>
  </si>
  <si>
    <t>Accion nueva creada por el CIGD el 30/06/2023 Se realiza seguimiento a la acción se evidencia su cumplimiento con los soportes aportados
Se realiza el seguimiento y se aporta la evidencia de lo reportado sin embargo no se hace el seguimiento del mes de septiembre
Se realiza seguimiento a la acción y los soportes son coherentes con lo reportado</t>
  </si>
  <si>
    <t>Se realiza seguimiento al control sin embargo no se realiza el reporte del mes de abril y  se adjuntan evidencias de los dos primeros meses
Se realiza seguimiento al control y se adjuntan las evidencias por lo que se puede verificar su efectividad  
Se realiza el seguimiento sin embargo no se evidencia la ejecución del control y no se realiza el reporte del mes de septiembre
Se realizó seguimiento al control y las evidencias aportadas son coherentes a lo reportado por lo que se establece que el control fue efectivo</t>
  </si>
  <si>
    <t>26/04/2023
30/06/2023
19/07/2023
17/10/2023
16/01/2024</t>
  </si>
  <si>
    <t>La accion se encuentra en ejecución por lo que no se realizó en el tercer trimestre
Se realiza seguimiento a la acción se evidencia su cumplimiento con los soportes aportados
Se realiza seguimiento a la acción se evidencia su cumplimiento con los soportes aportados
Se realiza seguimiento a la acción se evidencia su cumplimiento con los soportes aportados</t>
  </si>
  <si>
    <t>26/04/2023
18/07/2023
17/10/2023
16/01/2024</t>
  </si>
  <si>
    <t>No se realizó seguimiento al control por lo que no se puede evaluar su efectividad
No se realizó seguimiento al control por lo que no se puede evaluar su efectividad
No se realizó seguimiento al control por lo que no se puede evaluar su efectividad
No se realizó seguimiento al control por lo que no se puede evaluar su efectividad</t>
  </si>
  <si>
    <t>No se realizó seguimiento a la acción por lo que no se puede evaluar su ejecución
No se realizó seguimiento a la acción por lo que no se puede evaluar su ejecución
No se realizó seguimiento a la acción por lo que no se puede evaluar su ejecución
No se realizó seguimiento a la acción por lo que no se puede evaluar su ejecución</t>
  </si>
  <si>
    <t>17/11/2023
11/12/2023
11/01/2024</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</si>
  <si>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</si>
  <si>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Se realiza seguimiento a la acción y los soportes son coherentes con lo reportado
Se realiza seguimiento a la acción y los soportes son coherentes con lo reportado  
Se realiza seguimiento al mes de julio sin embargo no se hace el seguimiento de los meses de agosto y septiembre
Se realiza seguimiento a la acción y los soportes son coherentes con lo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</si>
</sst>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08"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
      <b/>
      <sz val="11"/>
      <name val="Arial"/>
      <family val="2"/>
    </font>
    <font>
      <sz val="10"/>
      <color theme="0"/>
      <name val="Arial"/>
      <family val="2"/>
    </font>
    <font>
      <b/>
      <sz val="11"/>
      <color rgb="FF000000"/>
      <name val="Arial Narrow"/>
      <family val="2"/>
    </font>
    <font>
      <b/>
      <sz val="11"/>
      <color rgb="FF0070C0"/>
      <name val="Arial Narrow"/>
      <family val="2"/>
    </font>
    <font>
      <sz val="11"/>
      <color rgb="FF0070C0"/>
      <name val="Arial Narrow"/>
      <family val="2"/>
    </font>
    <font>
      <sz val="11"/>
      <color rgb="FF8EA9DB"/>
      <name val="Arial Narrow"/>
      <family val="2"/>
    </font>
    <font>
      <b/>
      <sz val="11"/>
      <color theme="4" tint="-0.249977111117893"/>
      <name val="Arial Narrow"/>
      <family val="2"/>
    </font>
    <font>
      <sz val="11"/>
      <color theme="4" tint="-0.249977111117893"/>
      <name val="Arial Narrow"/>
      <family val="2"/>
    </font>
    <font>
      <sz val="11"/>
      <color theme="4"/>
      <name val="Arial Narrow"/>
      <family val="2"/>
    </font>
    <font>
      <b/>
      <sz val="11"/>
      <color theme="4"/>
      <name val="Arial Narrow"/>
      <family val="2"/>
    </font>
    <font>
      <sz val="11"/>
      <color theme="3" tint="0.39997558519241921"/>
      <name val="Arial Narrow"/>
      <family val="2"/>
    </font>
    <font>
      <b/>
      <sz val="11"/>
      <color rgb="FF538DD5"/>
      <name val="Arial Narrow"/>
      <family val="2"/>
    </font>
    <font>
      <sz val="11"/>
      <color rgb="FF538DD5"/>
      <name val="Arial Narrow"/>
      <family val="2"/>
    </font>
    <font>
      <b/>
      <sz val="11"/>
      <color rgb="FF4F81BD"/>
      <name val="Arial Narrow"/>
      <family val="2"/>
    </font>
    <font>
      <sz val="11"/>
      <color rgb="FF4F81BD"/>
      <name val="Arial Narrow"/>
      <family val="2"/>
    </font>
    <font>
      <b/>
      <sz val="11"/>
      <color rgb="FF366092"/>
      <name val="Arial Narrow"/>
      <family val="2"/>
    </font>
    <font>
      <sz val="11"/>
      <color rgb="FF366092"/>
      <name val="Arial Narrow"/>
      <family val="2"/>
    </font>
    <font>
      <sz val="10"/>
      <name val="Arial"/>
      <family val="2"/>
      <charset val="1"/>
    </font>
    <font>
      <b/>
      <sz val="12"/>
      <color theme="1"/>
      <name val="Arial Narrow"/>
      <family val="2"/>
    </font>
    <font>
      <sz val="11"/>
      <color rgb="FF000000"/>
      <name val="Arial Narrow"/>
    </font>
    <font>
      <b/>
      <sz val="11"/>
      <color rgb="FF000000"/>
      <name val="Arial Narrow"/>
    </font>
    <font>
      <sz val="11"/>
      <color rgb="FF1F497D"/>
      <name val="Arial Narrow"/>
    </font>
    <font>
      <sz val="11"/>
      <name val="Arial Narrow"/>
    </font>
    <font>
      <b/>
      <sz val="11"/>
      <color rgb="FF4F81BD"/>
      <name val="Arial Narrow"/>
    </font>
    <font>
      <sz val="11"/>
      <color rgb="FF4F81BD"/>
      <name val="Arial Narrow"/>
    </font>
    <font>
      <sz val="11"/>
      <color theme="1"/>
      <name val="Arial Narrow"/>
    </font>
    <font>
      <sz val="11"/>
      <color rgb="FFFF0000"/>
      <name val="Arial Narrow"/>
    </font>
    <font>
      <sz val="11"/>
      <color rgb="FF0070C0"/>
      <name val="Arial Narrow"/>
    </font>
    <font>
      <sz val="11"/>
      <color rgb="FF538DD5"/>
      <name val="Arial Narrow"/>
    </font>
    <font>
      <b/>
      <sz val="11"/>
      <color rgb="FF538DD5"/>
      <name val="Arial Narrow"/>
    </font>
    <font>
      <sz val="11"/>
      <color rgb="FF00B050"/>
      <name val="Arial Narrow"/>
    </font>
    <font>
      <b/>
      <sz val="11"/>
      <color rgb="FF0070C0"/>
      <name val="Arial Narrow"/>
    </font>
    <font>
      <b/>
      <sz val="12"/>
      <color rgb="FF000000"/>
      <name val="Arial Narrow"/>
    </font>
    <font>
      <sz val="12"/>
      <color rgb="FF000000"/>
      <name val="Arial Narrow"/>
    </font>
    <font>
      <b/>
      <i/>
      <sz val="12"/>
      <color rgb="FF000000"/>
      <name val="Arial Narrow"/>
    </font>
  </fonts>
  <fills count="3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
      <patternFill patternType="solid">
        <fgColor rgb="FFB4C6E7"/>
        <bgColor indexed="64"/>
      </patternFill>
    </fill>
    <fill>
      <patternFill patternType="solid">
        <fgColor rgb="FFC9B8D4"/>
        <bgColor indexed="64"/>
      </patternFill>
    </fill>
    <fill>
      <patternFill patternType="solid">
        <fgColor rgb="FFD9E1F2"/>
        <bgColor indexed="64"/>
      </patternFill>
    </fill>
    <fill>
      <patternFill patternType="solid">
        <fgColor theme="7" tint="0.59999389629810485"/>
        <bgColor indexed="64"/>
      </patternFill>
    </fill>
    <fill>
      <patternFill patternType="solid">
        <fgColor theme="3" tint="0.79998168889431442"/>
        <bgColor indexed="64"/>
      </patternFill>
    </fill>
  </fills>
  <borders count="115">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double">
        <color theme="0"/>
      </left>
      <right style="double">
        <color theme="0"/>
      </right>
      <top style="double">
        <color theme="0"/>
      </top>
      <bottom/>
      <diagonal/>
    </border>
    <border>
      <left style="double">
        <color theme="0"/>
      </left>
      <right style="double">
        <color theme="0"/>
      </right>
      <top/>
      <bottom/>
      <diagonal/>
    </border>
    <border>
      <left style="double">
        <color theme="0"/>
      </left>
      <right style="double">
        <color theme="0"/>
      </right>
      <top/>
      <bottom style="double">
        <color theme="0"/>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medium">
        <color auto="1"/>
      </bottom>
      <diagonal/>
    </border>
  </borders>
  <cellStyleXfs count="8">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xf numFmtId="9" fontId="43" fillId="0" borderId="0" applyFont="0" applyFill="0" applyBorder="0" applyAlignment="0" applyProtection="0"/>
    <xf numFmtId="0" fontId="90" fillId="0" borderId="0"/>
  </cellStyleXfs>
  <cellXfs count="710">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xf numFmtId="0" fontId="45" fillId="3" borderId="38" xfId="2" applyFont="1" applyFill="1" applyBorder="1"/>
    <xf numFmtId="0" fontId="45" fillId="3" borderId="39" xfId="2" applyFont="1" applyFill="1" applyBorder="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xf numFmtId="0" fontId="50" fillId="3" borderId="0" xfId="0" applyFont="1" applyFill="1" applyAlignment="1">
      <alignment horizontal="left" vertical="center" wrapText="1"/>
    </xf>
    <xf numFmtId="0" fontId="51" fillId="3" borderId="0" xfId="0" applyFont="1" applyFill="1" applyAlignment="1">
      <alignment horizontal="left" vertical="top" wrapText="1"/>
    </xf>
    <xf numFmtId="0" fontId="45" fillId="3" borderId="0" xfId="2" applyFont="1" applyFill="1"/>
    <xf numFmtId="0" fontId="45" fillId="3" borderId="6" xfId="2" applyFont="1" applyFill="1" applyBorder="1"/>
    <xf numFmtId="0" fontId="45" fillId="3" borderId="7" xfId="2" applyFont="1" applyFill="1" applyBorder="1"/>
    <xf numFmtId="0" fontId="45" fillId="3" borderId="9" xfId="2" applyFont="1" applyFill="1" applyBorder="1"/>
    <xf numFmtId="0" fontId="45" fillId="3" borderId="8" xfId="2" applyFont="1" applyFill="1" applyBorder="1"/>
    <xf numFmtId="0" fontId="49" fillId="3" borderId="0" xfId="2" applyFont="1" applyFill="1" applyAlignment="1">
      <alignment horizontal="left" vertical="center" wrapText="1"/>
    </xf>
    <xf numFmtId="0" fontId="45" fillId="3" borderId="0" xfId="2" applyFont="1" applyFill="1" applyAlignment="1">
      <alignment horizontal="left" vertical="center" wrapText="1"/>
    </xf>
    <xf numFmtId="0" fontId="45" fillId="3" borderId="0" xfId="2" quotePrefix="1" applyFont="1" applyFill="1" applyAlignment="1">
      <alignment horizontal="left" vertical="center" wrapText="1"/>
    </xf>
    <xf numFmtId="0" fontId="47" fillId="3" borderId="5" xfId="2" quotePrefix="1" applyFont="1" applyFill="1" applyBorder="1" applyAlignment="1">
      <alignment horizontal="left" vertical="top" wrapText="1"/>
    </xf>
    <xf numFmtId="0" fontId="48" fillId="3" borderId="0" xfId="2" quotePrefix="1" applyFont="1" applyFill="1" applyAlignment="1">
      <alignment horizontal="left" vertical="top" wrapText="1"/>
    </xf>
    <xf numFmtId="0" fontId="48"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4" fillId="0" borderId="0" xfId="0" applyFont="1" applyAlignment="1">
      <alignment horizontal="justify" vertical="center"/>
    </xf>
    <xf numFmtId="0" fontId="54" fillId="0" borderId="0" xfId="0" applyFont="1" applyAlignment="1">
      <alignment vertical="center"/>
    </xf>
    <xf numFmtId="0" fontId="55" fillId="0" borderId="0" xfId="0" applyFont="1"/>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64" fillId="0" borderId="0" xfId="0" applyFont="1"/>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protection locked="0"/>
    </xf>
    <xf numFmtId="14" fontId="70" fillId="0" borderId="19" xfId="0" applyNumberFormat="1"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2" fillId="0" borderId="0" xfId="0" applyFont="1"/>
    <xf numFmtId="0" fontId="69" fillId="0" borderId="0" xfId="0" applyFont="1"/>
    <xf numFmtId="0" fontId="2" fillId="3" borderId="0" xfId="0" applyFont="1" applyFill="1"/>
    <xf numFmtId="0" fontId="2" fillId="0" borderId="0" xfId="0" applyFont="1"/>
    <xf numFmtId="0" fontId="48" fillId="3" borderId="0" xfId="0" applyFont="1" applyFill="1" applyAlignment="1">
      <alignment horizontal="center" vertical="center"/>
    </xf>
    <xf numFmtId="0" fontId="48" fillId="2" borderId="0" xfId="0" applyFont="1" applyFill="1" applyAlignment="1">
      <alignment horizontal="center" vertical="center"/>
    </xf>
    <xf numFmtId="0" fontId="1" fillId="3" borderId="0" xfId="0" applyFont="1" applyFill="1" applyAlignment="1">
      <alignment vertical="center"/>
    </xf>
    <xf numFmtId="0" fontId="1" fillId="0" borderId="0" xfId="0" applyFont="1" applyAlignment="1">
      <alignment vertical="center"/>
    </xf>
    <xf numFmtId="0" fontId="1" fillId="0" borderId="19" xfId="0" applyFont="1" applyBorder="1" applyAlignment="1" applyProtection="1">
      <alignment horizontal="center" vertical="center"/>
      <protection hidden="1"/>
    </xf>
    <xf numFmtId="0" fontId="1" fillId="0" borderId="19" xfId="0" applyFont="1" applyBorder="1" applyAlignment="1" applyProtection="1">
      <alignment horizontal="center" vertical="center" wrapText="1"/>
      <protection locked="0"/>
    </xf>
    <xf numFmtId="14" fontId="2" fillId="0" borderId="19" xfId="0" applyNumberFormat="1" applyFont="1" applyBorder="1" applyAlignment="1" applyProtection="1">
      <alignment horizontal="center" vertical="center" wrapText="1"/>
      <protection locked="0"/>
    </xf>
    <xf numFmtId="0" fontId="1" fillId="0" borderId="0" xfId="0" applyFont="1" applyAlignment="1">
      <alignment horizontal="center"/>
    </xf>
    <xf numFmtId="0" fontId="4" fillId="0" borderId="0" xfId="0" applyFont="1"/>
    <xf numFmtId="0" fontId="48" fillId="0" borderId="0" xfId="0" applyFont="1"/>
    <xf numFmtId="0" fontId="4" fillId="19" borderId="19" xfId="0" applyFont="1" applyFill="1" applyBorder="1" applyAlignment="1">
      <alignment horizontal="center" vertical="center"/>
    </xf>
    <xf numFmtId="0" fontId="1" fillId="0" borderId="19" xfId="0" applyFont="1" applyBorder="1" applyAlignment="1">
      <alignment horizontal="center" vertical="center"/>
    </xf>
    <xf numFmtId="0" fontId="2" fillId="0" borderId="78" xfId="0" applyFont="1" applyBorder="1" applyAlignment="1">
      <alignment horizontal="center" vertical="center" wrapText="1"/>
    </xf>
    <xf numFmtId="0" fontId="2" fillId="0" borderId="78" xfId="0" applyFont="1" applyBorder="1" applyAlignment="1">
      <alignment horizontal="left" vertical="center" wrapText="1"/>
    </xf>
    <xf numFmtId="0" fontId="45" fillId="0" borderId="78" xfId="0" applyFont="1" applyBorder="1" applyAlignment="1">
      <alignment horizontal="center" vertical="center" wrapText="1"/>
    </xf>
    <xf numFmtId="0" fontId="65" fillId="0" borderId="19" xfId="0" applyFont="1" applyBorder="1" applyAlignment="1">
      <alignment horizontal="center" vertical="center" wrapText="1"/>
    </xf>
    <xf numFmtId="0" fontId="2" fillId="0" borderId="78" xfId="0" applyFont="1" applyBorder="1" applyAlignment="1">
      <alignment horizontal="left" vertical="center"/>
    </xf>
    <xf numFmtId="0" fontId="6" fillId="0" borderId="19" xfId="0" applyFont="1" applyBorder="1" applyAlignment="1">
      <alignment horizontal="center" vertical="center" wrapText="1"/>
    </xf>
    <xf numFmtId="0" fontId="1" fillId="0" borderId="19" xfId="0" applyFont="1" applyBorder="1" applyAlignment="1">
      <alignment horizontal="justify" vertical="center"/>
    </xf>
    <xf numFmtId="0" fontId="6" fillId="0" borderId="19" xfId="0" applyFont="1" applyBorder="1" applyAlignment="1">
      <alignment horizontal="justify" vertical="center" wrapText="1"/>
    </xf>
    <xf numFmtId="0" fontId="1" fillId="0" borderId="19" xfId="0" applyFont="1" applyBorder="1" applyAlignment="1">
      <alignment horizontal="center" vertical="center" wrapText="1"/>
    </xf>
    <xf numFmtId="14" fontId="2" fillId="0" borderId="78" xfId="0" applyNumberFormat="1" applyFont="1" applyBorder="1" applyAlignment="1">
      <alignment horizontal="center" vertical="center"/>
    </xf>
    <xf numFmtId="0" fontId="2" fillId="0" borderId="78" xfId="0" applyFont="1" applyBorder="1" applyAlignment="1">
      <alignment horizontal="center" vertical="center"/>
    </xf>
    <xf numFmtId="14" fontId="1" fillId="0" borderId="19" xfId="0" applyNumberFormat="1" applyFont="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horizontal="center"/>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1" fillId="0" borderId="19" xfId="0" applyFont="1" applyBorder="1" applyAlignment="1">
      <alignment horizontal="center" vertical="center" textRotation="90"/>
    </xf>
    <xf numFmtId="0" fontId="45" fillId="0" borderId="78" xfId="0" applyFont="1" applyBorder="1" applyAlignment="1">
      <alignment horizontal="left" vertical="center" wrapText="1"/>
    </xf>
    <xf numFmtId="0" fontId="2" fillId="0" borderId="78" xfId="0" applyFont="1" applyBorder="1" applyAlignment="1">
      <alignment horizontal="center" vertical="center" textRotation="90"/>
    </xf>
    <xf numFmtId="0" fontId="1" fillId="0" borderId="19" xfId="0" applyFont="1" applyBorder="1" applyAlignment="1">
      <alignment horizontal="justify" vertical="center" wrapText="1"/>
    </xf>
    <xf numFmtId="14" fontId="1" fillId="0" borderId="19" xfId="0" applyNumberFormat="1" applyFont="1" applyBorder="1" applyAlignment="1">
      <alignment horizontal="center" vertical="center" wrapText="1"/>
    </xf>
    <xf numFmtId="0" fontId="56" fillId="3" borderId="61" xfId="0" applyFont="1" applyFill="1" applyBorder="1" applyAlignment="1">
      <alignment horizontal="justify" vertical="center" wrapText="1"/>
    </xf>
    <xf numFmtId="14" fontId="57" fillId="3" borderId="61" xfId="0" applyNumberFormat="1" applyFont="1" applyFill="1" applyBorder="1" applyAlignment="1">
      <alignment horizontal="justify" vertical="center" wrapText="1"/>
    </xf>
    <xf numFmtId="0" fontId="43" fillId="3" borderId="38" xfId="0" applyFont="1" applyFill="1" applyBorder="1" applyAlignment="1">
      <alignment horizontal="justify" vertical="center" wrapText="1"/>
    </xf>
    <xf numFmtId="0" fontId="43" fillId="0" borderId="0" xfId="0" applyFont="1" applyAlignment="1">
      <alignment horizontal="justify" vertical="center" wrapText="1"/>
    </xf>
    <xf numFmtId="0" fontId="56" fillId="18" borderId="26" xfId="0" applyFont="1" applyFill="1" applyBorder="1" applyAlignment="1">
      <alignment horizontal="center" vertical="center" wrapText="1"/>
    </xf>
    <xf numFmtId="0" fontId="43" fillId="0" borderId="109" xfId="0" applyFont="1" applyBorder="1" applyAlignment="1">
      <alignment horizontal="justify" vertical="center" wrapText="1"/>
    </xf>
    <xf numFmtId="0" fontId="43" fillId="0" borderId="97" xfId="0" applyFont="1" applyBorder="1" applyAlignment="1">
      <alignment horizontal="justify" vertical="center" wrapText="1"/>
    </xf>
    <xf numFmtId="0" fontId="43" fillId="3" borderId="0" xfId="0" applyFont="1" applyFill="1" applyAlignment="1">
      <alignment horizontal="justify" vertical="center" wrapText="1"/>
    </xf>
    <xf numFmtId="0" fontId="43" fillId="0" borderId="78" xfId="0" applyFont="1" applyBorder="1" applyAlignment="1">
      <alignment horizontal="justify" vertical="center" wrapText="1"/>
    </xf>
    <xf numFmtId="0" fontId="43" fillId="0" borderId="19" xfId="0" applyFont="1" applyBorder="1" applyAlignment="1">
      <alignment horizontal="justify" vertical="center" wrapText="1"/>
    </xf>
    <xf numFmtId="0" fontId="0" fillId="0" borderId="19" xfId="0" applyBorder="1" applyAlignment="1">
      <alignment horizontal="justify" vertical="center" wrapText="1"/>
    </xf>
    <xf numFmtId="0" fontId="43" fillId="0" borderId="61" xfId="0" applyFont="1" applyBorder="1" applyAlignment="1">
      <alignment horizontal="justify" vertical="center" wrapText="1"/>
    </xf>
    <xf numFmtId="0" fontId="43" fillId="3" borderId="19" xfId="0" applyFont="1" applyFill="1" applyBorder="1" applyAlignment="1">
      <alignment horizontal="justify" vertical="center" wrapText="1"/>
    </xf>
    <xf numFmtId="0" fontId="0" fillId="0" borderId="61" xfId="0" applyBorder="1" applyAlignment="1">
      <alignment horizontal="justify" vertical="center" wrapText="1"/>
    </xf>
    <xf numFmtId="0" fontId="43" fillId="0" borderId="26" xfId="0" applyFont="1" applyBorder="1" applyAlignment="1">
      <alignment horizontal="justify" vertical="center" wrapText="1"/>
    </xf>
    <xf numFmtId="0" fontId="43" fillId="0" borderId="26" xfId="0" quotePrefix="1" applyFont="1" applyBorder="1" applyAlignment="1">
      <alignment horizontal="justify" vertical="center" wrapText="1"/>
    </xf>
    <xf numFmtId="0" fontId="43" fillId="3" borderId="108" xfId="0" applyFont="1" applyFill="1" applyBorder="1" applyAlignment="1">
      <alignment horizontal="justify" vertical="center" wrapText="1"/>
    </xf>
    <xf numFmtId="0" fontId="43" fillId="0" borderId="110" xfId="0" applyFont="1" applyBorder="1" applyAlignment="1">
      <alignment horizontal="justify" vertical="center" wrapText="1"/>
    </xf>
    <xf numFmtId="0" fontId="43" fillId="0" borderId="105" xfId="0" quotePrefix="1" applyFont="1" applyBorder="1" applyAlignment="1">
      <alignment horizontal="justify" vertical="center" wrapText="1"/>
    </xf>
    <xf numFmtId="0" fontId="43" fillId="0" borderId="97" xfId="0" quotePrefix="1" applyFont="1" applyBorder="1" applyAlignment="1">
      <alignment horizontal="justify" vertical="center" wrapText="1"/>
    </xf>
    <xf numFmtId="0" fontId="43" fillId="0" borderId="103" xfId="0" quotePrefix="1" applyFont="1" applyBorder="1" applyAlignment="1">
      <alignment horizontal="justify" vertical="center" wrapText="1"/>
    </xf>
    <xf numFmtId="0" fontId="43" fillId="0" borderId="82" xfId="0" applyFont="1" applyBorder="1" applyAlignment="1">
      <alignment horizontal="justify" vertical="center" wrapText="1"/>
    </xf>
    <xf numFmtId="0" fontId="43" fillId="0" borderId="62" xfId="0" applyFont="1" applyBorder="1" applyAlignment="1">
      <alignment horizontal="justify" vertical="center" wrapText="1"/>
    </xf>
    <xf numFmtId="0" fontId="43" fillId="0" borderId="81" xfId="0" applyFont="1" applyBorder="1" applyAlignment="1">
      <alignment horizontal="justify" vertical="center" wrapText="1"/>
    </xf>
    <xf numFmtId="0" fontId="43" fillId="0" borderId="20" xfId="0" applyFont="1" applyBorder="1" applyAlignment="1">
      <alignment horizontal="justify" vertical="center" wrapText="1"/>
    </xf>
    <xf numFmtId="0" fontId="43" fillId="0" borderId="19" xfId="0" quotePrefix="1" applyFont="1" applyBorder="1" applyAlignment="1">
      <alignment horizontal="justify" vertical="center" wrapText="1"/>
    </xf>
    <xf numFmtId="0" fontId="43" fillId="0" borderId="61" xfId="0" quotePrefix="1" applyFont="1" applyBorder="1" applyAlignment="1">
      <alignment horizontal="justify" vertical="center" wrapText="1"/>
    </xf>
    <xf numFmtId="0" fontId="43" fillId="0" borderId="79" xfId="0" applyFont="1" applyBorder="1" applyAlignment="1">
      <alignment horizontal="justify" vertical="center" wrapText="1"/>
    </xf>
    <xf numFmtId="0" fontId="43" fillId="0" borderId="68" xfId="0" applyFont="1" applyBorder="1" applyAlignment="1">
      <alignment horizontal="justify" vertical="center" wrapText="1"/>
    </xf>
    <xf numFmtId="0" fontId="43" fillId="0" borderId="106" xfId="0" applyFont="1" applyBorder="1" applyAlignment="1">
      <alignment horizontal="justify" vertical="center" wrapText="1"/>
    </xf>
    <xf numFmtId="0" fontId="43" fillId="0" borderId="107" xfId="0" applyFont="1" applyBorder="1" applyAlignment="1">
      <alignment horizontal="justify" vertical="center" wrapText="1"/>
    </xf>
    <xf numFmtId="0" fontId="43" fillId="0" borderId="20" xfId="0" quotePrefix="1" applyFont="1" applyBorder="1" applyAlignment="1">
      <alignment horizontal="justify" vertical="center" wrapText="1"/>
    </xf>
    <xf numFmtId="0" fontId="43" fillId="0" borderId="96" xfId="0" applyFont="1" applyBorder="1" applyAlignment="1">
      <alignment horizontal="justify" vertical="center" wrapText="1"/>
    </xf>
    <xf numFmtId="0" fontId="43" fillId="0" borderId="103" xfId="0" applyFont="1" applyBorder="1" applyAlignment="1">
      <alignment horizontal="justify" vertical="center" wrapText="1"/>
    </xf>
    <xf numFmtId="0" fontId="57" fillId="0" borderId="20" xfId="0" applyFont="1" applyBorder="1" applyAlignment="1">
      <alignment horizontal="justify" vertical="center" wrapText="1"/>
    </xf>
    <xf numFmtId="0" fontId="74" fillId="3" borderId="0" xfId="0" applyFont="1" applyFill="1" applyAlignment="1">
      <alignment horizontal="justify" vertical="center" wrapText="1"/>
    </xf>
    <xf numFmtId="0" fontId="68" fillId="3" borderId="0" xfId="0" applyFont="1" applyFill="1" applyAlignment="1">
      <alignment horizontal="justify" vertical="center" wrapText="1"/>
    </xf>
    <xf numFmtId="0" fontId="73" fillId="3" borderId="0" xfId="0" applyFont="1" applyFill="1" applyAlignment="1">
      <alignment horizontal="justify" vertical="center" wrapText="1"/>
    </xf>
    <xf numFmtId="0" fontId="59" fillId="3" borderId="0" xfId="0" applyFont="1" applyFill="1" applyAlignment="1">
      <alignment horizontal="justify" vertical="center" wrapText="1"/>
    </xf>
    <xf numFmtId="0" fontId="1" fillId="32" borderId="19" xfId="0" applyFont="1" applyFill="1" applyBorder="1" applyAlignment="1" applyProtection="1">
      <alignment horizontal="center" vertical="center"/>
      <protection hidden="1"/>
    </xf>
    <xf numFmtId="0" fontId="1" fillId="32" borderId="19" xfId="0" applyFont="1" applyFill="1" applyBorder="1" applyAlignment="1">
      <alignment horizontal="center" vertical="center" textRotation="90"/>
    </xf>
    <xf numFmtId="9" fontId="1" fillId="32" borderId="19" xfId="0" applyNumberFormat="1" applyFont="1" applyFill="1" applyBorder="1" applyAlignment="1" applyProtection="1">
      <alignment horizontal="center" vertical="center"/>
      <protection hidden="1"/>
    </xf>
    <xf numFmtId="164" fontId="1" fillId="32" borderId="19" xfId="1" applyNumberFormat="1" applyFont="1" applyFill="1" applyBorder="1" applyAlignment="1" applyProtection="1">
      <alignment horizontal="center" vertical="center"/>
    </xf>
    <xf numFmtId="0" fontId="4" fillId="32" borderId="19" xfId="0" applyFont="1" applyFill="1" applyBorder="1" applyAlignment="1" applyProtection="1">
      <alignment horizontal="center" vertical="center" textRotation="90" wrapText="1"/>
      <protection hidden="1"/>
    </xf>
    <xf numFmtId="0" fontId="4" fillId="32" borderId="19" xfId="0" applyFont="1" applyFill="1" applyBorder="1" applyAlignment="1" applyProtection="1">
      <alignment horizontal="center" vertical="center" textRotation="90"/>
      <protection hidden="1"/>
    </xf>
    <xf numFmtId="0" fontId="2" fillId="32" borderId="78" xfId="0" applyFont="1" applyFill="1" applyBorder="1" applyAlignment="1">
      <alignment horizontal="center" vertical="center" wrapText="1"/>
    </xf>
    <xf numFmtId="0" fontId="45" fillId="32" borderId="78" xfId="0" applyFont="1" applyFill="1" applyBorder="1" applyAlignment="1">
      <alignment horizontal="center" vertical="center" wrapText="1"/>
    </xf>
    <xf numFmtId="0" fontId="6" fillId="32" borderId="19" xfId="0" applyFont="1" applyFill="1" applyBorder="1" applyAlignment="1">
      <alignment horizontal="center" vertical="center" wrapText="1"/>
    </xf>
    <xf numFmtId="0" fontId="6" fillId="32" borderId="19" xfId="0" applyFont="1" applyFill="1" applyBorder="1" applyAlignment="1" applyProtection="1">
      <alignment horizontal="center" vertical="center" wrapText="1"/>
      <protection hidden="1"/>
    </xf>
    <xf numFmtId="0" fontId="61" fillId="32" borderId="67" xfId="0" applyFont="1" applyFill="1" applyBorder="1" applyAlignment="1" applyProtection="1">
      <alignment horizontal="center" vertical="center" wrapText="1"/>
      <protection hidden="1"/>
    </xf>
    <xf numFmtId="0" fontId="65" fillId="32" borderId="19" xfId="0" applyFont="1" applyFill="1" applyBorder="1" applyAlignment="1">
      <alignment horizontal="center" vertical="center" wrapText="1"/>
    </xf>
    <xf numFmtId="0" fontId="49" fillId="32" borderId="19" xfId="0" applyFont="1" applyFill="1" applyBorder="1" applyAlignment="1" applyProtection="1">
      <alignment horizontal="center" vertical="center" wrapText="1"/>
      <protection hidden="1"/>
    </xf>
    <xf numFmtId="0" fontId="2" fillId="32" borderId="78" xfId="0" applyFont="1" applyFill="1" applyBorder="1" applyAlignment="1">
      <alignment horizontal="center" vertical="center"/>
    </xf>
    <xf numFmtId="0" fontId="2" fillId="32" borderId="78" xfId="0" applyFont="1" applyFill="1" applyBorder="1" applyAlignment="1">
      <alignment horizontal="center" vertical="center" textRotation="90"/>
    </xf>
    <xf numFmtId="0" fontId="2" fillId="33" borderId="78" xfId="0" applyFont="1" applyFill="1" applyBorder="1" applyAlignment="1">
      <alignment horizontal="center" vertical="center" wrapText="1"/>
    </xf>
    <xf numFmtId="0" fontId="2" fillId="34" borderId="78" xfId="0" applyFont="1" applyFill="1" applyBorder="1" applyAlignment="1">
      <alignment horizontal="left" vertical="center" wrapText="1"/>
    </xf>
    <xf numFmtId="0" fontId="6" fillId="34" borderId="19" xfId="0" applyFont="1" applyFill="1" applyBorder="1" applyAlignment="1">
      <alignment horizontal="justify" vertical="center" wrapText="1"/>
    </xf>
    <xf numFmtId="0" fontId="1" fillId="33" borderId="19" xfId="0" applyFont="1" applyFill="1" applyBorder="1" applyAlignment="1">
      <alignment horizontal="center" vertical="center" wrapText="1"/>
    </xf>
    <xf numFmtId="0" fontId="45" fillId="34" borderId="78" xfId="0" applyFont="1" applyFill="1" applyBorder="1" applyAlignment="1">
      <alignment horizontal="left" vertical="center" wrapText="1"/>
    </xf>
    <xf numFmtId="0" fontId="6" fillId="0" borderId="19" xfId="0" applyFont="1" applyBorder="1" applyAlignment="1" applyProtection="1">
      <alignment horizontal="center" vertical="center" wrapText="1"/>
      <protection locked="0"/>
    </xf>
    <xf numFmtId="0" fontId="0" fillId="0" borderId="0" xfId="0" applyAlignment="1">
      <alignment vertical="center"/>
    </xf>
    <xf numFmtId="0" fontId="67" fillId="0" borderId="19" xfId="0" applyFont="1" applyBorder="1" applyAlignment="1">
      <alignment horizontal="center" vertical="center" wrapText="1"/>
    </xf>
    <xf numFmtId="0" fontId="67" fillId="34" borderId="19" xfId="0" applyFont="1" applyFill="1" applyBorder="1" applyAlignment="1">
      <alignment horizontal="center" vertical="center" wrapText="1"/>
    </xf>
    <xf numFmtId="14" fontId="2" fillId="0" borderId="78" xfId="0" applyNumberFormat="1" applyFont="1" applyBorder="1" applyAlignment="1">
      <alignment horizontal="center" vertical="center" wrapText="1"/>
    </xf>
    <xf numFmtId="0" fontId="78" fillId="0" borderId="19" xfId="0" applyFont="1" applyBorder="1" applyAlignment="1">
      <alignment horizontal="center" vertical="center" wrapText="1"/>
    </xf>
    <xf numFmtId="0" fontId="67" fillId="33" borderId="19" xfId="0" applyFont="1" applyFill="1" applyBorder="1" applyAlignment="1">
      <alignment horizontal="center" vertical="center" wrapText="1"/>
    </xf>
    <xf numFmtId="14" fontId="77" fillId="0" borderId="19" xfId="0" applyNumberFormat="1" applyFont="1" applyBorder="1" applyAlignment="1">
      <alignment horizontal="center" vertical="center"/>
    </xf>
    <xf numFmtId="0" fontId="77" fillId="34" borderId="19" xfId="0" applyFont="1" applyFill="1" applyBorder="1" applyAlignment="1">
      <alignment horizontal="center" vertical="center" wrapText="1"/>
    </xf>
    <xf numFmtId="0" fontId="1" fillId="13" borderId="19" xfId="0" applyFont="1" applyFill="1" applyBorder="1" applyAlignment="1">
      <alignment horizontal="center" vertical="center"/>
    </xf>
    <xf numFmtId="14" fontId="1" fillId="13" borderId="19" xfId="0" applyNumberFormat="1" applyFont="1" applyFill="1" applyBorder="1" applyAlignment="1">
      <alignment horizontal="center" vertical="center"/>
    </xf>
    <xf numFmtId="0" fontId="77" fillId="33" borderId="19" xfId="0" applyFont="1" applyFill="1" applyBorder="1" applyAlignment="1">
      <alignment horizontal="center" vertical="center" wrapText="1"/>
    </xf>
    <xf numFmtId="14" fontId="77" fillId="0" borderId="19" xfId="0" applyNumberFormat="1" applyFont="1" applyBorder="1" applyAlignment="1">
      <alignment horizontal="center" vertical="center" wrapText="1"/>
    </xf>
    <xf numFmtId="0" fontId="1" fillId="13" borderId="19" xfId="0" applyFont="1" applyFill="1" applyBorder="1" applyAlignment="1">
      <alignment horizontal="center" vertical="center" wrapText="1"/>
    </xf>
    <xf numFmtId="14" fontId="2" fillId="0" borderId="78" xfId="0" applyNumberFormat="1" applyFont="1" applyBorder="1" applyAlignment="1" applyProtection="1">
      <alignment horizontal="center" vertical="center" wrapText="1"/>
      <protection locked="0"/>
    </xf>
    <xf numFmtId="0" fontId="67" fillId="3" borderId="19"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9" borderId="19" xfId="0" applyFont="1" applyFill="1" applyBorder="1" applyAlignment="1" applyProtection="1">
      <alignment horizontal="center" vertical="center" wrapText="1"/>
      <protection locked="0"/>
    </xf>
    <xf numFmtId="14" fontId="1" fillId="9" borderId="19" xfId="0" applyNumberFormat="1" applyFont="1" applyFill="1" applyBorder="1" applyAlignment="1" applyProtection="1">
      <alignment horizontal="center" vertical="center"/>
      <protection locked="0"/>
    </xf>
    <xf numFmtId="0" fontId="1" fillId="9" borderId="19" xfId="0" applyFont="1" applyFill="1" applyBorder="1" applyAlignment="1" applyProtection="1">
      <alignment horizontal="center" vertical="center"/>
      <protection locked="0"/>
    </xf>
    <xf numFmtId="14" fontId="77" fillId="0" borderId="19" xfId="0" applyNumberFormat="1" applyFont="1" applyBorder="1" applyAlignment="1" applyProtection="1">
      <alignment horizontal="center" vertical="center"/>
      <protection locked="0"/>
    </xf>
    <xf numFmtId="14" fontId="83" fillId="0" borderId="19" xfId="0" applyNumberFormat="1" applyFont="1" applyBorder="1" applyAlignment="1" applyProtection="1">
      <alignment horizontal="center" vertical="center" wrapText="1"/>
      <protection locked="0"/>
    </xf>
    <xf numFmtId="0" fontId="85" fillId="36" borderId="19" xfId="0" applyFont="1" applyFill="1" applyBorder="1" applyAlignment="1" applyProtection="1">
      <alignment horizontal="left" vertical="center" wrapText="1"/>
      <protection locked="0"/>
    </xf>
    <xf numFmtId="0" fontId="83" fillId="0" borderId="19" xfId="0" applyFont="1" applyBorder="1" applyAlignment="1" applyProtection="1">
      <alignment horizontal="center" vertical="center"/>
      <protection locked="0"/>
    </xf>
    <xf numFmtId="0" fontId="1" fillId="19" borderId="19" xfId="0" applyFont="1" applyFill="1" applyBorder="1" applyAlignment="1">
      <alignment horizontal="center" vertical="center" wrapText="1"/>
    </xf>
    <xf numFmtId="14" fontId="81" fillId="0" borderId="19" xfId="0" applyNumberFormat="1" applyFont="1" applyBorder="1" applyAlignment="1">
      <alignment horizontal="center" vertical="center"/>
    </xf>
    <xf numFmtId="0" fontId="81" fillId="33" borderId="19" xfId="0" applyFont="1" applyFill="1" applyBorder="1" applyAlignment="1">
      <alignment horizontal="center" vertical="center" wrapText="1"/>
    </xf>
    <xf numFmtId="0" fontId="87" fillId="33" borderId="19" xfId="0" applyFont="1" applyFill="1" applyBorder="1" applyAlignment="1">
      <alignment horizontal="center" vertical="center" wrapText="1"/>
    </xf>
    <xf numFmtId="0" fontId="1" fillId="35" borderId="19" xfId="0" applyFont="1" applyFill="1" applyBorder="1" applyAlignment="1">
      <alignment horizontal="center" vertical="center" wrapText="1"/>
    </xf>
    <xf numFmtId="0" fontId="67" fillId="0" borderId="19"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 fillId="0" borderId="19" xfId="0" applyFont="1" applyBorder="1" applyAlignment="1" applyProtection="1">
      <alignment horizontal="left" vertical="top"/>
      <protection locked="0"/>
    </xf>
    <xf numFmtId="0" fontId="2" fillId="0" borderId="78" xfId="0" applyFont="1" applyBorder="1" applyAlignment="1" applyProtection="1">
      <alignment horizontal="left" vertical="top" wrapText="1"/>
      <protection locked="0"/>
    </xf>
    <xf numFmtId="0" fontId="4" fillId="3" borderId="0" xfId="0" applyFont="1" applyFill="1" applyProtection="1">
      <protection locked="0"/>
    </xf>
    <xf numFmtId="14" fontId="4" fillId="0" borderId="19" xfId="0" applyNumberFormat="1" applyFont="1" applyBorder="1" applyAlignment="1" applyProtection="1">
      <alignment horizontal="center" vertical="center" wrapText="1"/>
      <protection locked="0"/>
    </xf>
    <xf numFmtId="0" fontId="65" fillId="0" borderId="19" xfId="0" applyFont="1" applyBorder="1" applyAlignment="1" applyProtection="1">
      <alignment horizontal="center" vertical="center" wrapText="1"/>
      <protection locked="0"/>
    </xf>
    <xf numFmtId="14" fontId="4" fillId="0" borderId="19" xfId="0" applyNumberFormat="1" applyFont="1" applyBorder="1" applyAlignment="1" applyProtection="1">
      <alignment horizontal="center" vertical="center"/>
      <protection locked="0"/>
    </xf>
    <xf numFmtId="14" fontId="48" fillId="0" borderId="78" xfId="0" applyNumberFormat="1" applyFont="1" applyBorder="1" applyAlignment="1" applyProtection="1">
      <alignment horizontal="center" vertical="center" wrapText="1"/>
      <protection locked="0"/>
    </xf>
    <xf numFmtId="0" fontId="4" fillId="0" borderId="0" xfId="0" applyFont="1" applyProtection="1">
      <protection locked="0"/>
    </xf>
    <xf numFmtId="14" fontId="91" fillId="0" borderId="19" xfId="0" applyNumberFormat="1" applyFont="1" applyBorder="1" applyAlignment="1" applyProtection="1">
      <alignment horizontal="center" vertical="center" wrapText="1"/>
      <protection locked="0"/>
    </xf>
    <xf numFmtId="14" fontId="32" fillId="0" borderId="19" xfId="0" applyNumberFormat="1" applyFont="1" applyBorder="1" applyAlignment="1" applyProtection="1">
      <alignment horizontal="justify" vertical="center"/>
      <protection locked="0"/>
    </xf>
    <xf numFmtId="0" fontId="32" fillId="0" borderId="19" xfId="0" applyFont="1" applyBorder="1" applyAlignment="1" applyProtection="1">
      <alignment horizontal="left" vertical="top" wrapText="1"/>
      <protection locked="0"/>
    </xf>
    <xf numFmtId="0" fontId="32" fillId="0" borderId="19" xfId="0" applyFont="1" applyBorder="1" applyAlignment="1" applyProtection="1">
      <alignment horizontal="left" vertical="top"/>
      <protection locked="0"/>
    </xf>
    <xf numFmtId="14" fontId="32" fillId="0" borderId="19" xfId="0" applyNumberFormat="1" applyFont="1" applyBorder="1" applyAlignment="1" applyProtection="1">
      <alignment horizontal="center" vertical="center"/>
      <protection locked="0"/>
    </xf>
    <xf numFmtId="0" fontId="32" fillId="0" borderId="19" xfId="0" applyFont="1" applyBorder="1" applyAlignment="1" applyProtection="1">
      <alignment horizontal="center" vertical="center" wrapText="1"/>
      <protection locked="0"/>
    </xf>
    <xf numFmtId="0" fontId="32" fillId="0" borderId="19" xfId="0" applyFont="1" applyBorder="1" applyAlignment="1" applyProtection="1">
      <alignment horizontal="center" vertical="center"/>
      <protection locked="0"/>
    </xf>
    <xf numFmtId="0" fontId="92" fillId="0" borderId="78" xfId="0" applyFont="1" applyBorder="1" applyAlignment="1" applyProtection="1">
      <alignment horizontal="left" vertical="top" wrapText="1"/>
      <protection locked="0"/>
    </xf>
    <xf numFmtId="0" fontId="2" fillId="35" borderId="78" xfId="0" applyFont="1" applyFill="1" applyBorder="1" applyAlignment="1">
      <alignment horizontal="center" vertical="center" wrapText="1"/>
    </xf>
    <xf numFmtId="0" fontId="77" fillId="33" borderId="19" xfId="0" applyFont="1" applyFill="1" applyBorder="1" applyAlignment="1" applyProtection="1">
      <alignment horizontal="center" vertical="center" wrapText="1"/>
      <protection locked="0"/>
    </xf>
    <xf numFmtId="0" fontId="95" fillId="19" borderId="78" xfId="0" applyFont="1" applyFill="1" applyBorder="1" applyAlignment="1">
      <alignment vertical="center" wrapText="1"/>
    </xf>
    <xf numFmtId="14" fontId="92" fillId="0" borderId="19" xfId="0" applyNumberFormat="1" applyFont="1" applyBorder="1" applyAlignment="1">
      <alignment horizontal="center" vertical="center" wrapText="1"/>
    </xf>
    <xf numFmtId="0" fontId="98" fillId="19" borderId="19" xfId="0" applyFont="1" applyFill="1" applyBorder="1" applyAlignment="1">
      <alignment horizontal="center" vertical="center" wrapText="1"/>
    </xf>
    <xf numFmtId="0" fontId="98" fillId="0" borderId="19" xfId="0" applyFont="1" applyBorder="1" applyAlignment="1">
      <alignment horizontal="center" vertical="center" wrapText="1"/>
    </xf>
    <xf numFmtId="0" fontId="95" fillId="0" borderId="78" xfId="0" applyFont="1" applyBorder="1" applyAlignment="1">
      <alignment horizontal="center" vertical="center" wrapText="1"/>
    </xf>
    <xf numFmtId="14" fontId="98" fillId="3" borderId="19" xfId="0" applyNumberFormat="1" applyFont="1" applyFill="1" applyBorder="1" applyAlignment="1">
      <alignment horizontal="center" vertical="center" wrapText="1"/>
    </xf>
    <xf numFmtId="0" fontId="0" fillId="0" borderId="0" xfId="0" applyAlignment="1">
      <alignment wrapText="1"/>
    </xf>
    <xf numFmtId="14" fontId="81" fillId="0" borderId="19" xfId="0" applyNumberFormat="1" applyFont="1" applyBorder="1" applyAlignment="1">
      <alignment horizontal="center" vertical="center" wrapText="1"/>
    </xf>
    <xf numFmtId="0" fontId="87" fillId="35" borderId="19" xfId="0" applyFont="1" applyFill="1" applyBorder="1" applyAlignment="1">
      <alignment vertical="center" wrapText="1"/>
    </xf>
    <xf numFmtId="14" fontId="1" fillId="9" borderId="19" xfId="0" applyNumberFormat="1" applyFont="1" applyFill="1" applyBorder="1" applyAlignment="1">
      <alignment horizontal="center" vertical="center"/>
    </xf>
    <xf numFmtId="0" fontId="81" fillId="35" borderId="19" xfId="0" applyFont="1" applyFill="1" applyBorder="1" applyAlignment="1">
      <alignment horizontal="center" vertical="center" wrapText="1"/>
    </xf>
    <xf numFmtId="0" fontId="87" fillId="35" borderId="19" xfId="0" applyFont="1" applyFill="1" applyBorder="1" applyAlignment="1">
      <alignment horizontal="center" vertical="center" wrapText="1"/>
    </xf>
    <xf numFmtId="14" fontId="1" fillId="34" borderId="19" xfId="0" applyNumberFormat="1" applyFont="1" applyFill="1" applyBorder="1" applyAlignment="1">
      <alignment horizontal="center" vertical="center" wrapText="1"/>
    </xf>
    <xf numFmtId="0" fontId="1" fillId="19" borderId="19" xfId="0" applyFont="1" applyFill="1" applyBorder="1" applyAlignment="1">
      <alignment vertical="center" wrapText="1"/>
    </xf>
    <xf numFmtId="14" fontId="98" fillId="0" borderId="19" xfId="0" applyNumberFormat="1" applyFont="1" applyBorder="1" applyAlignment="1">
      <alignment horizontal="center" vertical="center" wrapText="1"/>
    </xf>
    <xf numFmtId="0" fontId="81" fillId="0" borderId="19" xfId="0" applyFont="1" applyBorder="1" applyAlignment="1">
      <alignment horizontal="center" vertical="center"/>
    </xf>
    <xf numFmtId="14" fontId="80" fillId="0" borderId="19" xfId="0" applyNumberFormat="1" applyFont="1" applyBorder="1" applyAlignment="1">
      <alignment horizontal="center" vertical="center" wrapText="1"/>
    </xf>
    <xf numFmtId="0" fontId="80" fillId="19" borderId="19" xfId="0" applyFont="1" applyFill="1" applyBorder="1" applyAlignment="1">
      <alignment horizontal="center" vertical="center" wrapText="1"/>
    </xf>
    <xf numFmtId="0" fontId="81" fillId="19" borderId="19" xfId="0" applyFont="1" applyFill="1" applyBorder="1" applyAlignment="1">
      <alignment horizontal="center" vertical="center" wrapText="1"/>
    </xf>
    <xf numFmtId="0" fontId="1" fillId="34" borderId="19" xfId="0" applyFont="1" applyFill="1" applyBorder="1" applyAlignment="1">
      <alignment horizontal="center" vertical="center" wrapText="1"/>
    </xf>
    <xf numFmtId="0" fontId="85" fillId="36" borderId="19" xfId="0" applyFont="1" applyFill="1" applyBorder="1" applyAlignment="1">
      <alignment horizontal="left" vertical="center" wrapText="1"/>
    </xf>
    <xf numFmtId="0" fontId="83" fillId="0" borderId="19" xfId="0" applyFont="1" applyBorder="1" applyAlignment="1">
      <alignment horizontal="center" vertical="center"/>
    </xf>
    <xf numFmtId="14" fontId="83" fillId="0" borderId="19" xfId="0" applyNumberFormat="1" applyFont="1" applyBorder="1" applyAlignment="1">
      <alignment horizontal="center" vertical="center" wrapText="1"/>
    </xf>
    <xf numFmtId="0" fontId="92" fillId="0" borderId="19" xfId="0" applyFont="1" applyBorder="1" applyAlignment="1" applyProtection="1">
      <alignment horizontal="center" vertical="center" wrapText="1"/>
      <protection locked="0"/>
    </xf>
    <xf numFmtId="0" fontId="92" fillId="0" borderId="19" xfId="0" applyFont="1" applyBorder="1" applyAlignment="1" applyProtection="1">
      <alignment horizontal="left" vertical="top" wrapText="1"/>
      <protection locked="0"/>
    </xf>
    <xf numFmtId="0" fontId="92" fillId="0" borderId="62" xfId="0" applyFont="1" applyBorder="1" applyAlignment="1" applyProtection="1">
      <alignment horizontal="center" vertical="center" wrapText="1"/>
      <protection locked="0"/>
    </xf>
    <xf numFmtId="14" fontId="1" fillId="0" borderId="64" xfId="0" applyNumberFormat="1"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14" fontId="1" fillId="0" borderId="20" xfId="0" applyNumberFormat="1" applyFont="1" applyBorder="1" applyAlignment="1" applyProtection="1">
      <alignment horizontal="center" vertical="center"/>
      <protection locked="0"/>
    </xf>
    <xf numFmtId="0" fontId="1" fillId="0" borderId="78" xfId="0" applyFont="1" applyBorder="1" applyAlignment="1" applyProtection="1">
      <alignment horizontal="left" vertical="center" wrapText="1"/>
      <protection locked="0"/>
    </xf>
    <xf numFmtId="14" fontId="1" fillId="0" borderId="78" xfId="0" applyNumberFormat="1" applyFont="1" applyBorder="1" applyAlignment="1" applyProtection="1">
      <alignment vertical="center" wrapText="1"/>
      <protection locked="0"/>
    </xf>
    <xf numFmtId="0" fontId="92" fillId="19" borderId="78" xfId="0" applyFont="1" applyFill="1" applyBorder="1" applyAlignment="1" applyProtection="1">
      <alignment horizontal="center" vertical="center" wrapText="1"/>
      <protection locked="0"/>
    </xf>
    <xf numFmtId="0" fontId="98" fillId="0" borderId="19" xfId="0" applyFont="1" applyBorder="1" applyAlignment="1" applyProtection="1">
      <alignment horizontal="center" vertical="center" wrapText="1"/>
      <protection locked="0"/>
    </xf>
    <xf numFmtId="14" fontId="95" fillId="0" borderId="78" xfId="0" applyNumberFormat="1" applyFont="1" applyBorder="1" applyAlignment="1" applyProtection="1">
      <alignment horizontal="center" vertical="center" wrapText="1"/>
      <protection locked="0"/>
    </xf>
    <xf numFmtId="14" fontId="98" fillId="35" borderId="19" xfId="0" applyNumberFormat="1" applyFont="1" applyFill="1" applyBorder="1" applyAlignment="1" applyProtection="1">
      <alignment horizontal="center" vertical="center" wrapText="1"/>
      <protection locked="0"/>
    </xf>
    <xf numFmtId="0" fontId="81" fillId="35" borderId="19" xfId="0" applyFont="1" applyFill="1" applyBorder="1" applyAlignment="1" applyProtection="1">
      <alignment horizontal="center" vertical="center" wrapText="1"/>
      <protection locked="0"/>
    </xf>
    <xf numFmtId="0" fontId="101" fillId="19" borderId="19" xfId="0" applyFont="1" applyFill="1" applyBorder="1" applyAlignment="1" applyProtection="1">
      <alignment horizontal="left" vertical="center" wrapText="1"/>
      <protection locked="0"/>
    </xf>
    <xf numFmtId="0" fontId="95" fillId="0" borderId="78" xfId="0" applyFont="1" applyBorder="1" applyAlignment="1" applyProtection="1">
      <alignment horizontal="center" vertical="center" wrapText="1"/>
      <protection locked="0"/>
    </xf>
    <xf numFmtId="0" fontId="97" fillId="21" borderId="78" xfId="0" applyFont="1" applyFill="1" applyBorder="1" applyAlignment="1" applyProtection="1">
      <alignment horizontal="center" vertical="center" wrapText="1"/>
      <protection locked="0"/>
    </xf>
    <xf numFmtId="0" fontId="92" fillId="19" borderId="19" xfId="0" applyFont="1" applyFill="1" applyBorder="1" applyAlignment="1" applyProtection="1">
      <alignment horizontal="center" vertical="center" wrapText="1"/>
      <protection locked="0"/>
    </xf>
    <xf numFmtId="0" fontId="92" fillId="19" borderId="62" xfId="0" applyFont="1" applyFill="1" applyBorder="1" applyAlignment="1" applyProtection="1">
      <alignment horizontal="center" vertical="center" wrapText="1"/>
      <protection locked="0"/>
    </xf>
    <xf numFmtId="0" fontId="77" fillId="0" borderId="19" xfId="0" applyFont="1" applyBorder="1" applyAlignment="1" applyProtection="1">
      <alignment horizontal="center" vertical="center" wrapText="1"/>
      <protection locked="0"/>
    </xf>
    <xf numFmtId="0" fontId="98" fillId="19" borderId="19" xfId="0" applyFont="1" applyFill="1" applyBorder="1" applyAlignment="1" applyProtection="1">
      <alignment horizontal="center" vertical="center" wrapText="1"/>
      <protection locked="0"/>
    </xf>
    <xf numFmtId="0" fontId="0" fillId="19" borderId="0" xfId="0" applyFill="1" applyAlignment="1">
      <alignment vertical="center" wrapText="1"/>
    </xf>
    <xf numFmtId="0" fontId="0" fillId="19" borderId="0" xfId="0" applyFill="1" applyAlignment="1">
      <alignment wrapText="1"/>
    </xf>
    <xf numFmtId="0" fontId="100" fillId="19" borderId="19" xfId="0" applyFont="1" applyFill="1" applyBorder="1" applyAlignment="1" applyProtection="1">
      <alignment horizontal="center" vertical="center" wrapText="1"/>
      <protection locked="0"/>
    </xf>
    <xf numFmtId="14" fontId="77" fillId="0" borderId="19" xfId="0" applyNumberFormat="1" applyFont="1" applyBorder="1" applyAlignment="1" applyProtection="1">
      <alignment horizontal="center" vertical="center" wrapText="1"/>
      <protection locked="0"/>
    </xf>
    <xf numFmtId="0" fontId="98" fillId="0" borderId="78" xfId="0" applyFont="1" applyBorder="1" applyAlignment="1" applyProtection="1">
      <alignment horizontal="left" vertical="center" wrapText="1"/>
      <protection locked="0"/>
    </xf>
    <xf numFmtId="0" fontId="97" fillId="35" borderId="19" xfId="0" applyFont="1" applyFill="1" applyBorder="1" applyAlignment="1" applyProtection="1">
      <alignment horizontal="center" vertical="center" wrapText="1"/>
      <protection locked="0"/>
    </xf>
    <xf numFmtId="0" fontId="97" fillId="33" borderId="19" xfId="0" applyFont="1" applyFill="1" applyBorder="1" applyAlignment="1" applyProtection="1">
      <alignment horizontal="center" vertical="center" wrapText="1"/>
      <protection locked="0"/>
    </xf>
    <xf numFmtId="0" fontId="106" fillId="0" borderId="19" xfId="0" applyFont="1" applyBorder="1" applyAlignment="1" applyProtection="1">
      <alignment horizontal="left" vertical="top" wrapText="1"/>
      <protection locked="0"/>
    </xf>
    <xf numFmtId="0" fontId="97" fillId="35" borderId="19" xfId="0" applyFont="1" applyFill="1" applyBorder="1" applyAlignment="1" applyProtection="1">
      <alignment vertical="center" wrapText="1"/>
      <protection locked="0"/>
    </xf>
    <xf numFmtId="0" fontId="105" fillId="0" borderId="19" xfId="0" applyFont="1" applyBorder="1" applyAlignment="1" applyProtection="1">
      <alignment horizontal="left" vertical="top" wrapText="1"/>
      <protection locked="0"/>
    </xf>
    <xf numFmtId="0" fontId="51" fillId="3" borderId="50" xfId="2" applyFont="1" applyFill="1" applyBorder="1" applyAlignment="1">
      <alignment horizontal="justify" vertical="center" wrapText="1"/>
    </xf>
    <xf numFmtId="0" fontId="51" fillId="3" borderId="51" xfId="2" applyFont="1" applyFill="1" applyBorder="1" applyAlignment="1">
      <alignment horizontal="justify" vertical="center" wrapText="1"/>
    </xf>
    <xf numFmtId="0" fontId="50" fillId="3" borderId="57" xfId="0" applyFont="1" applyFill="1" applyBorder="1" applyAlignment="1">
      <alignment horizontal="left" vertical="center" wrapText="1"/>
    </xf>
    <xf numFmtId="0" fontId="50" fillId="3" borderId="58" xfId="0" applyFont="1" applyFill="1" applyBorder="1" applyAlignment="1">
      <alignment horizontal="left" vertical="center" wrapText="1"/>
    </xf>
    <xf numFmtId="0" fontId="50" fillId="3" borderId="44" xfId="3" applyFont="1" applyFill="1" applyBorder="1" applyAlignment="1">
      <alignment horizontal="left" vertical="top" wrapText="1" readingOrder="1"/>
    </xf>
    <xf numFmtId="0" fontId="50" fillId="3" borderId="45" xfId="3" applyFont="1" applyFill="1" applyBorder="1" applyAlignment="1">
      <alignment horizontal="left" vertical="top" wrapText="1" readingOrder="1"/>
    </xf>
    <xf numFmtId="0" fontId="51" fillId="3" borderId="46" xfId="2" applyFont="1" applyFill="1" applyBorder="1" applyAlignment="1">
      <alignment horizontal="justify" vertical="center" wrapText="1"/>
    </xf>
    <xf numFmtId="0" fontId="51" fillId="3" borderId="47" xfId="2" applyFont="1" applyFill="1" applyBorder="1" applyAlignment="1">
      <alignment horizontal="justify" vertical="center" wrapText="1"/>
    </xf>
    <xf numFmtId="0" fontId="50" fillId="3" borderId="48" xfId="0" applyFont="1" applyFill="1" applyBorder="1" applyAlignment="1">
      <alignment horizontal="left" vertical="center" wrapText="1"/>
    </xf>
    <xf numFmtId="0" fontId="50" fillId="3" borderId="49" xfId="0" applyFont="1" applyFill="1" applyBorder="1" applyAlignment="1">
      <alignment horizontal="left" vertical="center" wrapText="1"/>
    </xf>
    <xf numFmtId="0" fontId="45" fillId="3" borderId="5" xfId="2" applyFont="1" applyFill="1" applyBorder="1" applyAlignment="1">
      <alignment horizontal="left" vertical="top" wrapText="1"/>
    </xf>
    <xf numFmtId="0" fontId="45" fillId="3" borderId="0" xfId="2" applyFont="1" applyFill="1" applyAlignment="1">
      <alignment horizontal="left" vertical="top" wrapText="1"/>
    </xf>
    <xf numFmtId="0" fontId="45" fillId="3" borderId="6" xfId="2" applyFont="1" applyFill="1" applyBorder="1" applyAlignment="1">
      <alignment horizontal="left" vertical="top" wrapText="1"/>
    </xf>
    <xf numFmtId="0" fontId="50" fillId="3" borderId="59" xfId="0" applyFont="1" applyFill="1" applyBorder="1" applyAlignment="1">
      <alignment horizontal="left" vertical="center" wrapText="1"/>
    </xf>
    <xf numFmtId="0" fontId="50" fillId="3" borderId="60" xfId="0" applyFont="1" applyFill="1" applyBorder="1" applyAlignment="1">
      <alignment horizontal="left" vertical="center" wrapText="1"/>
    </xf>
    <xf numFmtId="0" fontId="51" fillId="3" borderId="52" xfId="0" applyFont="1" applyFill="1" applyBorder="1" applyAlignment="1">
      <alignment horizontal="justify" vertical="center" wrapText="1"/>
    </xf>
    <xf numFmtId="0" fontId="51" fillId="3" borderId="53" xfId="0" applyFont="1" applyFill="1" applyBorder="1" applyAlignment="1">
      <alignment horizontal="justify" vertical="center" wrapText="1"/>
    </xf>
    <xf numFmtId="0" fontId="46" fillId="14" borderId="34" xfId="2" applyFont="1" applyFill="1" applyBorder="1" applyAlignment="1">
      <alignment horizontal="center" vertical="center" wrapText="1"/>
    </xf>
    <xf numFmtId="0" fontId="46" fillId="14" borderId="35" xfId="2" applyFont="1" applyFill="1" applyBorder="1" applyAlignment="1">
      <alignment horizontal="center" vertical="center" wrapText="1"/>
    </xf>
    <xf numFmtId="0" fontId="46" fillId="14" borderId="36" xfId="2" applyFont="1" applyFill="1" applyBorder="1" applyAlignment="1">
      <alignment horizontal="center" vertical="center" wrapText="1"/>
    </xf>
    <xf numFmtId="0" fontId="45" fillId="0" borderId="5" xfId="2" quotePrefix="1" applyFont="1" applyBorder="1" applyAlignment="1">
      <alignment horizontal="left" vertical="center" wrapText="1"/>
    </xf>
    <xf numFmtId="0" fontId="45" fillId="0" borderId="0" xfId="2" quotePrefix="1" applyFont="1" applyAlignment="1">
      <alignment horizontal="left" vertical="center" wrapText="1"/>
    </xf>
    <xf numFmtId="0" fontId="45" fillId="0" borderId="6" xfId="2" quotePrefix="1" applyFont="1" applyBorder="1" applyAlignment="1">
      <alignment horizontal="left" vertical="center" wrapText="1"/>
    </xf>
    <xf numFmtId="0" fontId="45" fillId="0" borderId="54" xfId="2" quotePrefix="1" applyFont="1" applyBorder="1" applyAlignment="1">
      <alignment horizontal="left" vertical="center" wrapText="1"/>
    </xf>
    <xf numFmtId="0" fontId="45" fillId="0" borderId="55" xfId="2" quotePrefix="1" applyFont="1" applyBorder="1" applyAlignment="1">
      <alignment horizontal="left" vertical="center" wrapText="1"/>
    </xf>
    <xf numFmtId="0" fontId="45" fillId="0" borderId="56" xfId="2" quotePrefix="1" applyFont="1" applyBorder="1" applyAlignment="1">
      <alignment horizontal="left" vertical="center" wrapText="1"/>
    </xf>
    <xf numFmtId="0" fontId="47" fillId="3" borderId="37" xfId="2" quotePrefix="1" applyFont="1" applyFill="1" applyBorder="1" applyAlignment="1">
      <alignment horizontal="left" vertical="top" wrapText="1"/>
    </xf>
    <xf numFmtId="0" fontId="48" fillId="3" borderId="38" xfId="2" quotePrefix="1" applyFont="1" applyFill="1" applyBorder="1" applyAlignment="1">
      <alignment horizontal="left" vertical="top" wrapText="1"/>
    </xf>
    <xf numFmtId="0" fontId="48" fillId="3" borderId="39" xfId="2" quotePrefix="1" applyFont="1" applyFill="1" applyBorder="1" applyAlignment="1">
      <alignment horizontal="left" vertical="top" wrapText="1"/>
    </xf>
    <xf numFmtId="0" fontId="45" fillId="0" borderId="5" xfId="2" quotePrefix="1" applyFont="1" applyBorder="1" applyAlignment="1">
      <alignment horizontal="left" vertical="top" wrapText="1"/>
    </xf>
    <xf numFmtId="0" fontId="45" fillId="0" borderId="0" xfId="2" quotePrefix="1" applyFont="1" applyAlignment="1">
      <alignment horizontal="left" vertical="top" wrapText="1"/>
    </xf>
    <xf numFmtId="0" fontId="45" fillId="0" borderId="6" xfId="2" quotePrefix="1" applyFont="1" applyBorder="1" applyAlignment="1">
      <alignment horizontal="left" vertical="top" wrapText="1"/>
    </xf>
    <xf numFmtId="0" fontId="50" fillId="14" borderId="40" xfId="3" applyFont="1" applyFill="1" applyBorder="1" applyAlignment="1">
      <alignment horizontal="center" vertical="center" wrapText="1"/>
    </xf>
    <xf numFmtId="0" fontId="50" fillId="14" borderId="41" xfId="3" applyFont="1" applyFill="1" applyBorder="1" applyAlignment="1">
      <alignment horizontal="center" vertical="center" wrapText="1"/>
    </xf>
    <xf numFmtId="0" fontId="50" fillId="14" borderId="42" xfId="2" applyFont="1" applyFill="1" applyBorder="1" applyAlignment="1">
      <alignment horizontal="center" vertical="center"/>
    </xf>
    <xf numFmtId="0" fontId="50"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6" fillId="0" borderId="20" xfId="0" applyFont="1" applyBorder="1" applyAlignment="1">
      <alignment horizontal="justify" vertical="center" wrapText="1"/>
    </xf>
    <xf numFmtId="0" fontId="56" fillId="16" borderId="105" xfId="0" applyFont="1" applyFill="1" applyBorder="1" applyAlignment="1">
      <alignment horizontal="justify" vertical="center" wrapText="1"/>
    </xf>
    <xf numFmtId="0" fontId="56" fillId="16" borderId="65" xfId="0" applyFont="1" applyFill="1" applyBorder="1" applyAlignment="1">
      <alignment horizontal="justify" vertical="center" wrapText="1"/>
    </xf>
    <xf numFmtId="0" fontId="56" fillId="16" borderId="108" xfId="0" applyFont="1" applyFill="1" applyBorder="1" applyAlignment="1">
      <alignment horizontal="justify" vertical="center" wrapText="1"/>
    </xf>
    <xf numFmtId="0" fontId="56" fillId="16" borderId="99" xfId="0" applyFont="1" applyFill="1" applyBorder="1" applyAlignment="1">
      <alignment horizontal="justify" vertical="center" wrapText="1"/>
    </xf>
    <xf numFmtId="0" fontId="56" fillId="16" borderId="100" xfId="0" applyFont="1" applyFill="1" applyBorder="1" applyAlignment="1">
      <alignment horizontal="justify" vertical="center" wrapText="1"/>
    </xf>
    <xf numFmtId="0" fontId="56" fillId="16" borderId="102" xfId="0" applyFont="1" applyFill="1" applyBorder="1" applyAlignment="1">
      <alignment horizontal="justify" vertical="center" wrapText="1"/>
    </xf>
    <xf numFmtId="0" fontId="43" fillId="0" borderId="98" xfId="0" applyFont="1" applyBorder="1" applyAlignment="1">
      <alignment horizontal="justify" vertical="center" wrapText="1"/>
    </xf>
    <xf numFmtId="0" fontId="43" fillId="0" borderId="95" xfId="0" applyFont="1" applyBorder="1" applyAlignment="1">
      <alignment horizontal="justify" vertical="center" wrapText="1"/>
    </xf>
    <xf numFmtId="0" fontId="43" fillId="0" borderId="101" xfId="0" applyFont="1" applyBorder="1" applyAlignment="1">
      <alignment horizontal="justify" vertical="center" wrapText="1"/>
    </xf>
    <xf numFmtId="0" fontId="43" fillId="0" borderId="99" xfId="0" applyFont="1" applyBorder="1" applyAlignment="1">
      <alignment horizontal="justify" vertical="center" wrapText="1"/>
    </xf>
    <xf numFmtId="0" fontId="43" fillId="0" borderId="100" xfId="0" applyFont="1" applyBorder="1" applyAlignment="1">
      <alignment horizontal="justify" vertical="center" wrapText="1"/>
    </xf>
    <xf numFmtId="0" fontId="43" fillId="0" borderId="102" xfId="0" applyFont="1" applyBorder="1" applyAlignment="1">
      <alignment horizontal="justify" vertical="center" wrapText="1"/>
    </xf>
    <xf numFmtId="0" fontId="2" fillId="0" borderId="80" xfId="0" applyFont="1" applyBorder="1" applyAlignment="1">
      <alignment horizontal="justify" vertical="center" wrapText="1"/>
    </xf>
    <xf numFmtId="0" fontId="59" fillId="0" borderId="80" xfId="0" applyFont="1" applyBorder="1" applyAlignment="1">
      <alignment horizontal="justify" vertical="center" wrapText="1"/>
    </xf>
    <xf numFmtId="0" fontId="43" fillId="0" borderId="105" xfId="4" applyFont="1" applyBorder="1" applyAlignment="1">
      <alignment horizontal="justify" vertical="center" wrapText="1"/>
    </xf>
    <xf numFmtId="0" fontId="43" fillId="0" borderId="65" xfId="4" applyFont="1" applyBorder="1" applyAlignment="1">
      <alignment horizontal="justify" vertical="center" wrapText="1"/>
    </xf>
    <xf numFmtId="0" fontId="43" fillId="0" borderId="74" xfId="0" applyFont="1" applyBorder="1" applyAlignment="1">
      <alignment horizontal="justify" vertical="center" wrapText="1"/>
    </xf>
    <xf numFmtId="0" fontId="43" fillId="0" borderId="76" xfId="0" applyFont="1" applyBorder="1" applyAlignment="1">
      <alignment horizontal="justify" vertical="center" wrapText="1"/>
    </xf>
    <xf numFmtId="0" fontId="43" fillId="0" borderId="75" xfId="0" applyFont="1" applyBorder="1" applyAlignment="1">
      <alignment horizontal="justify" vertical="center" wrapText="1"/>
    </xf>
    <xf numFmtId="0" fontId="2" fillId="0" borderId="110" xfId="0" applyFont="1" applyBorder="1" applyAlignment="1">
      <alignment horizontal="justify" vertical="center" wrapText="1"/>
    </xf>
    <xf numFmtId="0" fontId="59" fillId="0" borderId="111" xfId="0" applyFont="1" applyBorder="1" applyAlignment="1">
      <alignment horizontal="justify" vertical="center" wrapText="1"/>
    </xf>
    <xf numFmtId="0" fontId="43" fillId="0" borderId="97" xfId="4" applyFont="1" applyBorder="1" applyAlignment="1">
      <alignment horizontal="center" vertical="center" wrapText="1"/>
    </xf>
    <xf numFmtId="0" fontId="43" fillId="0" borderId="19" xfId="4" applyFont="1" applyBorder="1" applyAlignment="1">
      <alignment horizontal="center" vertical="center" wrapText="1"/>
    </xf>
    <xf numFmtId="0" fontId="43" fillId="0" borderId="26" xfId="4" applyFont="1" applyBorder="1" applyAlignment="1">
      <alignment horizontal="center" vertical="center" wrapText="1"/>
    </xf>
    <xf numFmtId="0" fontId="43" fillId="0" borderId="73" xfId="0" applyFont="1" applyBorder="1" applyAlignment="1">
      <alignment horizontal="left" vertical="center" wrapText="1"/>
    </xf>
    <xf numFmtId="0" fontId="43" fillId="0" borderId="24" xfId="0" applyFont="1" applyBorder="1" applyAlignment="1">
      <alignment horizontal="left" vertical="center" wrapText="1"/>
    </xf>
    <xf numFmtId="0" fontId="43" fillId="0" borderId="27" xfId="0" applyFont="1" applyBorder="1" applyAlignment="1">
      <alignment horizontal="left" vertical="center" wrapText="1"/>
    </xf>
    <xf numFmtId="0" fontId="43" fillId="0" borderId="72"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25" xfId="0" applyFont="1" applyBorder="1" applyAlignment="1">
      <alignment horizontal="center" vertical="center" wrapText="1"/>
    </xf>
    <xf numFmtId="0" fontId="43" fillId="0" borderId="112" xfId="0" applyFont="1" applyBorder="1" applyAlignment="1">
      <alignment horizontal="justify" vertical="center" wrapText="1"/>
    </xf>
    <xf numFmtId="0" fontId="43" fillId="0" borderId="5" xfId="0" applyFont="1" applyBorder="1" applyAlignment="1">
      <alignment horizontal="justify" vertical="center" wrapText="1"/>
    </xf>
    <xf numFmtId="0" fontId="43" fillId="0" borderId="113" xfId="0" applyFont="1" applyBorder="1" applyAlignment="1">
      <alignment horizontal="justify" vertical="center" wrapText="1"/>
    </xf>
    <xf numFmtId="0" fontId="43" fillId="0" borderId="114" xfId="0" applyFont="1" applyBorder="1" applyAlignment="1">
      <alignment horizontal="justify" vertical="center" wrapText="1"/>
    </xf>
    <xf numFmtId="14" fontId="58" fillId="3" borderId="61" xfId="0" applyNumberFormat="1" applyFont="1" applyFill="1" applyBorder="1" applyAlignment="1">
      <alignment horizontal="justify" vertical="center" wrapText="1"/>
    </xf>
    <xf numFmtId="0" fontId="56" fillId="16" borderId="74" xfId="0" applyFont="1" applyFill="1" applyBorder="1" applyAlignment="1">
      <alignment horizontal="justify" vertical="center" wrapText="1"/>
    </xf>
    <xf numFmtId="0" fontId="56" fillId="16" borderId="76" xfId="0" applyFont="1" applyFill="1" applyBorder="1" applyAlignment="1">
      <alignment horizontal="justify" vertical="center" wrapText="1"/>
    </xf>
    <xf numFmtId="0" fontId="56" fillId="16" borderId="75" xfId="0" applyFont="1" applyFill="1" applyBorder="1" applyAlignment="1">
      <alignment horizontal="justify" vertical="center" wrapText="1"/>
    </xf>
    <xf numFmtId="0" fontId="56" fillId="16" borderId="103" xfId="0" applyFont="1" applyFill="1" applyBorder="1" applyAlignment="1">
      <alignment horizontal="center" vertical="center" wrapText="1"/>
    </xf>
    <xf numFmtId="0" fontId="56" fillId="16" borderId="35" xfId="0" applyFont="1" applyFill="1" applyBorder="1" applyAlignment="1">
      <alignment horizontal="center" vertical="center" wrapText="1"/>
    </xf>
    <xf numFmtId="0" fontId="56" fillId="16" borderId="104" xfId="0" applyFont="1" applyFill="1" applyBorder="1" applyAlignment="1">
      <alignment horizontal="center" vertical="center" wrapText="1"/>
    </xf>
    <xf numFmtId="0" fontId="56" fillId="17" borderId="19" xfId="0" applyFont="1" applyFill="1" applyBorder="1" applyAlignment="1">
      <alignment horizontal="center" vertical="center" wrapText="1"/>
    </xf>
    <xf numFmtId="0" fontId="4" fillId="20" borderId="19" xfId="0" applyFont="1" applyFill="1" applyBorder="1" applyAlignment="1">
      <alignment horizontal="center" vertical="center"/>
    </xf>
    <xf numFmtId="0" fontId="4" fillId="20" borderId="19" xfId="0" applyFont="1" applyFill="1" applyBorder="1" applyAlignment="1">
      <alignment horizontal="center" vertical="center" wrapText="1"/>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32" borderId="79" xfId="0" applyFont="1" applyFill="1" applyBorder="1" applyAlignment="1">
      <alignment horizontal="center" vertical="center" textRotation="90"/>
    </xf>
    <xf numFmtId="0" fontId="59" fillId="32" borderId="80" xfId="0" applyFont="1" applyFill="1" applyBorder="1"/>
    <xf numFmtId="0" fontId="59" fillId="0" borderId="80" xfId="0" applyFont="1" applyBorder="1"/>
    <xf numFmtId="0" fontId="59" fillId="0" borderId="81" xfId="0" applyFont="1" applyBorder="1"/>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4" fillId="21" borderId="19"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9" fontId="2" fillId="0" borderId="79" xfId="0" applyNumberFormat="1" applyFont="1" applyBorder="1" applyAlignment="1">
      <alignment horizontal="center" vertical="center" wrapText="1"/>
    </xf>
    <xf numFmtId="0" fontId="48" fillId="0" borderId="79"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19" xfId="0" applyFont="1" applyBorder="1" applyAlignment="1">
      <alignment horizontal="center" vertical="center" wrapText="1"/>
    </xf>
    <xf numFmtId="0" fontId="4" fillId="0" borderId="19" xfId="0" applyFont="1" applyBorder="1" applyAlignment="1" applyProtection="1">
      <alignment horizontal="center" vertical="center" wrapText="1"/>
      <protection hidden="1"/>
    </xf>
    <xf numFmtId="0" fontId="2" fillId="0" borderId="79" xfId="0" applyFont="1" applyBorder="1" applyAlignment="1">
      <alignment horizontal="center" vertical="center" wrapText="1"/>
    </xf>
    <xf numFmtId="0" fontId="25" fillId="19" borderId="19" xfId="0" applyFont="1" applyFill="1" applyBorder="1" applyAlignment="1">
      <alignment horizontal="center" vertical="center" textRotation="90"/>
    </xf>
    <xf numFmtId="0" fontId="4" fillId="19" borderId="19" xfId="0" applyFont="1" applyFill="1" applyBorder="1" applyAlignment="1">
      <alignment horizontal="center" vertical="center" wrapText="1"/>
    </xf>
    <xf numFmtId="0" fontId="48"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19" xfId="0" applyFont="1" applyBorder="1" applyAlignment="1">
      <alignment horizontal="center" vertical="center"/>
    </xf>
    <xf numFmtId="9" fontId="2" fillId="0" borderId="86" xfId="0" applyNumberFormat="1" applyFont="1" applyBorder="1" applyAlignment="1">
      <alignment horizontal="center" vertical="center" wrapText="1"/>
    </xf>
    <xf numFmtId="9" fontId="2" fillId="0" borderId="87" xfId="0" applyNumberFormat="1" applyFont="1" applyBorder="1" applyAlignment="1">
      <alignment horizontal="center" vertical="center" wrapText="1"/>
    </xf>
    <xf numFmtId="9" fontId="2" fillId="0" borderId="88" xfId="0" applyNumberFormat="1" applyFont="1" applyBorder="1" applyAlignment="1">
      <alignment horizontal="center" vertical="center" wrapText="1"/>
    </xf>
    <xf numFmtId="0" fontId="4" fillId="17" borderId="19" xfId="0" applyFont="1" applyFill="1" applyBorder="1" applyAlignment="1">
      <alignment horizontal="center" vertical="center"/>
    </xf>
    <xf numFmtId="0" fontId="4" fillId="17"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4" fillId="21" borderId="19" xfId="0" applyFont="1" applyFill="1" applyBorder="1" applyAlignment="1" applyProtection="1">
      <alignment horizontal="center" vertical="center" wrapText="1"/>
      <protection locked="0"/>
    </xf>
    <xf numFmtId="0" fontId="4" fillId="21" borderId="61" xfId="0" applyFont="1" applyFill="1" applyBorder="1" applyAlignment="1" applyProtection="1">
      <alignment horizontal="center" vertical="center" wrapText="1"/>
      <protection locked="0"/>
    </xf>
    <xf numFmtId="0" fontId="4" fillId="21" borderId="20" xfId="0" applyFont="1" applyFill="1" applyBorder="1" applyAlignment="1" applyProtection="1">
      <alignment horizontal="center" vertical="center" wrapText="1"/>
      <protection locked="0"/>
    </xf>
    <xf numFmtId="0" fontId="4" fillId="20" borderId="61" xfId="0" applyFont="1" applyFill="1" applyBorder="1" applyAlignment="1">
      <alignment horizontal="center" vertical="center" wrapText="1"/>
    </xf>
    <xf numFmtId="0" fontId="63" fillId="32" borderId="66" xfId="0" applyFont="1" applyFill="1" applyBorder="1" applyAlignment="1">
      <alignment horizontal="center" vertical="center"/>
    </xf>
    <xf numFmtId="0" fontId="63" fillId="19" borderId="66" xfId="0" applyFont="1" applyFill="1" applyBorder="1" applyAlignment="1">
      <alignment horizontal="center" vertical="center"/>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1" fillId="32" borderId="66" xfId="0" applyFont="1" applyFill="1" applyBorder="1" applyAlignment="1" applyProtection="1">
      <alignment horizontal="center" vertical="center" wrapText="1"/>
      <protection hidden="1"/>
    </xf>
    <xf numFmtId="0" fontId="61" fillId="22" borderId="66" xfId="0" applyFont="1" applyFill="1" applyBorder="1" applyAlignment="1" applyProtection="1">
      <alignment horizontal="center" vertical="center" wrapText="1"/>
      <protection hidden="1"/>
    </xf>
    <xf numFmtId="0" fontId="60" fillId="22" borderId="66" xfId="0" applyFont="1" applyFill="1" applyBorder="1" applyAlignment="1">
      <alignment horizontal="center" vertical="center" textRotation="90" wrapText="1"/>
    </xf>
    <xf numFmtId="0" fontId="62" fillId="22" borderId="66" xfId="0" applyFont="1" applyFill="1" applyBorder="1" applyAlignment="1" applyProtection="1">
      <alignment horizontal="center" vertical="center" wrapText="1"/>
      <protection hidden="1"/>
    </xf>
    <xf numFmtId="0" fontId="6" fillId="32" borderId="61" xfId="0" applyFont="1" applyFill="1" applyBorder="1" applyAlignment="1">
      <alignment horizontal="center" vertical="center" wrapText="1"/>
    </xf>
    <xf numFmtId="0" fontId="6" fillId="0" borderId="65" xfId="0" applyFont="1" applyBorder="1" applyAlignment="1">
      <alignment horizontal="center" vertical="center" wrapText="1"/>
    </xf>
    <xf numFmtId="0" fontId="6" fillId="0" borderId="20" xfId="0" applyFont="1" applyBorder="1" applyAlignment="1">
      <alignment horizontal="center" vertical="center" wrapText="1"/>
    </xf>
    <xf numFmtId="0" fontId="6" fillId="32" borderId="65" xfId="0" applyFont="1" applyFill="1" applyBorder="1" applyAlignment="1">
      <alignment horizontal="center" vertical="center" wrapText="1"/>
    </xf>
    <xf numFmtId="0" fontId="6" fillId="0" borderId="61" xfId="0" applyFont="1" applyBorder="1" applyAlignment="1">
      <alignment horizontal="center" vertical="center" wrapText="1"/>
    </xf>
    <xf numFmtId="0" fontId="62" fillId="32" borderId="66" xfId="0" applyFont="1" applyFill="1" applyBorder="1" applyAlignment="1" applyProtection="1">
      <alignment horizontal="center" vertical="center" wrapText="1"/>
      <protection hidden="1"/>
    </xf>
    <xf numFmtId="0" fontId="48" fillId="19" borderId="61" xfId="0" applyFont="1" applyFill="1" applyBorder="1" applyAlignment="1">
      <alignment horizontal="center" vertical="center" wrapText="1"/>
    </xf>
    <xf numFmtId="0" fontId="48" fillId="19" borderId="20" xfId="0" applyFont="1" applyFill="1" applyBorder="1" applyAlignment="1">
      <alignment horizontal="center" vertical="center" wrapText="1"/>
    </xf>
    <xf numFmtId="0" fontId="1" fillId="32" borderId="19" xfId="0" applyFont="1" applyFill="1" applyBorder="1" applyAlignment="1" applyProtection="1">
      <alignment horizontal="center" vertical="center"/>
      <protection hidden="1"/>
    </xf>
    <xf numFmtId="0" fontId="4" fillId="32" borderId="61" xfId="0" applyFont="1" applyFill="1" applyBorder="1" applyAlignment="1" applyProtection="1">
      <alignment horizontal="center" vertical="center" wrapText="1"/>
      <protection hidden="1"/>
    </xf>
    <xf numFmtId="0" fontId="4" fillId="32" borderId="65" xfId="0" applyFont="1" applyFill="1" applyBorder="1" applyAlignment="1" applyProtection="1">
      <alignment horizontal="center" vertical="center" wrapText="1"/>
      <protection hidden="1"/>
    </xf>
    <xf numFmtId="0" fontId="60" fillId="32" borderId="92" xfId="0" applyFont="1" applyFill="1" applyBorder="1" applyAlignment="1">
      <alignment horizontal="center" vertical="center" textRotation="90" wrapText="1"/>
    </xf>
    <xf numFmtId="0" fontId="60" fillId="32" borderId="93" xfId="0" applyFont="1" applyFill="1" applyBorder="1" applyAlignment="1">
      <alignment horizontal="center" vertical="center" textRotation="90" wrapText="1"/>
    </xf>
    <xf numFmtId="0" fontId="60" fillId="22" borderId="93" xfId="0" applyFont="1" applyFill="1" applyBorder="1" applyAlignment="1">
      <alignment horizontal="center" vertical="center" textRotation="90" wrapText="1"/>
    </xf>
    <xf numFmtId="0" fontId="60" fillId="22" borderId="94" xfId="0" applyFont="1" applyFill="1" applyBorder="1" applyAlignment="1">
      <alignment horizontal="center" vertical="center" textRotation="90" wrapText="1"/>
    </xf>
    <xf numFmtId="0" fontId="60" fillId="32" borderId="66" xfId="0" applyFont="1" applyFill="1" applyBorder="1" applyAlignment="1">
      <alignment horizontal="center" vertical="center" textRotation="90" wrapText="1"/>
    </xf>
    <xf numFmtId="0" fontId="2" fillId="0" borderId="79" xfId="0" applyFont="1" applyBorder="1" applyAlignment="1">
      <alignment horizontal="center" vertical="center"/>
    </xf>
    <xf numFmtId="0" fontId="48" fillId="17" borderId="19" xfId="0" applyFont="1" applyFill="1" applyBorder="1" applyAlignment="1">
      <alignment horizontal="center" vertical="center" wrapText="1"/>
    </xf>
    <xf numFmtId="0" fontId="2" fillId="0" borderId="83" xfId="0" applyFont="1" applyBorder="1" applyAlignment="1">
      <alignment horizontal="center" vertical="center" wrapText="1"/>
    </xf>
    <xf numFmtId="0" fontId="59" fillId="0" borderId="84" xfId="0" applyFont="1" applyBorder="1"/>
    <xf numFmtId="0" fontId="59" fillId="0" borderId="85" xfId="0" applyFont="1" applyBorder="1"/>
    <xf numFmtId="0" fontId="2" fillId="0" borderId="78" xfId="0" applyFont="1" applyBorder="1" applyAlignment="1">
      <alignment horizontal="center" vertical="center" wrapText="1"/>
    </xf>
    <xf numFmtId="0" fontId="59" fillId="0" borderId="78" xfId="0" applyFont="1" applyBorder="1"/>
    <xf numFmtId="0" fontId="2" fillId="0" borderId="89" xfId="0" applyFont="1" applyBorder="1" applyAlignment="1">
      <alignment horizontal="center" vertical="center"/>
    </xf>
    <xf numFmtId="0" fontId="59" fillId="0" borderId="90" xfId="0" applyFont="1" applyBorder="1"/>
    <xf numFmtId="0" fontId="59" fillId="0" borderId="91" xfId="0" applyFont="1" applyBorder="1"/>
    <xf numFmtId="0" fontId="2" fillId="0" borderId="80" xfId="0" applyFont="1" applyBorder="1" applyAlignment="1">
      <alignment horizontal="center" vertical="center" wrapText="1"/>
    </xf>
    <xf numFmtId="0" fontId="48" fillId="19" borderId="19" xfId="0" applyFont="1" applyFill="1" applyBorder="1" applyAlignment="1">
      <alignment horizontal="center" vertical="center" textRotation="90" wrapText="1"/>
    </xf>
    <xf numFmtId="0" fontId="48" fillId="19" borderId="68" xfId="0" applyFont="1" applyFill="1" applyBorder="1" applyAlignment="1">
      <alignment horizontal="center" vertical="center" wrapText="1"/>
    </xf>
    <xf numFmtId="0" fontId="48" fillId="19" borderId="69" xfId="0" applyFont="1" applyFill="1" applyBorder="1" applyAlignment="1">
      <alignment horizontal="center" vertical="center" wrapText="1"/>
    </xf>
    <xf numFmtId="0" fontId="48" fillId="19" borderId="70" xfId="0" applyFont="1" applyFill="1" applyBorder="1" applyAlignment="1">
      <alignment horizontal="center" vertical="center" wrapText="1"/>
    </xf>
    <xf numFmtId="0" fontId="48" fillId="19" borderId="71" xfId="0" applyFont="1" applyFill="1" applyBorder="1" applyAlignment="1">
      <alignment horizontal="center" vertical="center" wrapText="1"/>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xf>
    <xf numFmtId="0" fontId="1" fillId="32" borderId="65" xfId="0" applyFont="1" applyFill="1" applyBorder="1" applyAlignment="1">
      <alignment horizontal="center" vertical="center" textRotation="90"/>
    </xf>
    <xf numFmtId="9" fontId="1" fillId="0" borderId="19" xfId="0" applyNumberFormat="1" applyFont="1" applyBorder="1" applyAlignment="1">
      <alignment horizontal="center" vertical="center" wrapText="1"/>
    </xf>
    <xf numFmtId="0" fontId="4" fillId="15" borderId="19" xfId="0" applyFont="1" applyFill="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5" xfId="0" applyFont="1" applyBorder="1" applyAlignment="1">
      <alignment horizontal="center" vertical="center" wrapText="1"/>
    </xf>
    <xf numFmtId="0" fontId="40" fillId="0" borderId="0" xfId="0" applyFont="1" applyAlignment="1">
      <alignment horizontal="center" vertical="center"/>
    </xf>
    <xf numFmtId="0" fontId="40" fillId="0" borderId="5" xfId="0" applyFont="1" applyBorder="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40" fillId="0" borderId="10" xfId="0" applyFont="1" applyBorder="1" applyAlignment="1">
      <alignment horizontal="center" vertical="center" wrapText="1"/>
    </xf>
    <xf numFmtId="0" fontId="23" fillId="0" borderId="0" xfId="0" applyFont="1" applyAlignment="1">
      <alignment horizontal="center" vertical="center"/>
    </xf>
    <xf numFmtId="0" fontId="71"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14" fontId="1" fillId="0" borderId="0" xfId="0" applyNumberFormat="1" applyFont="1" applyAlignment="1" applyProtection="1">
      <alignment horizontal="center" vertical="center" wrapText="1"/>
      <protection locked="0"/>
    </xf>
  </cellXfs>
  <cellStyles count="8">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Normal 50" xfId="7" xr:uid="{26D20898-F519-4D59-8014-9D499758EB2A}"/>
    <cellStyle name="Porcentaje" xfId="1" builtinId="5"/>
    <cellStyle name="Porcentaje 2 5" xfId="6" xr:uid="{337C3020-D763-4CE4-AAE7-C17F4CDB35E0}"/>
  </cellStyles>
  <dxfs count="204">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00B050"/>
        </patternFill>
      </fill>
    </dxf>
    <dxf>
      <fill>
        <patternFill>
          <bgColor rgb="FFFFFF66"/>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203"/>
      <tableStyleElement type="firstRowStripe" dxfId="202"/>
      <tableStyleElement type="secondRowStripe" dxfId="201"/>
    </tableStyle>
  </tableStyles>
  <colors>
    <mruColors>
      <color rgb="FFC9B8D4"/>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57" customWidth="1"/>
    <col min="2" max="3" width="24.7109375" style="57" customWidth="1"/>
    <col min="4" max="4" width="16" style="57" customWidth="1"/>
    <col min="5" max="5" width="24.7109375" style="57" customWidth="1"/>
    <col min="6" max="6" width="27.7109375" style="57" customWidth="1"/>
    <col min="7" max="8" width="24.7109375" style="57" customWidth="1"/>
    <col min="9" max="16384" width="11.42578125" style="57"/>
  </cols>
  <sheetData>
    <row r="1" spans="2:8" ht="15.75" thickBot="1" x14ac:dyDescent="0.3"/>
    <row r="2" spans="2:8" ht="18" x14ac:dyDescent="0.25">
      <c r="B2" s="378" t="s">
        <v>0</v>
      </c>
      <c r="C2" s="379"/>
      <c r="D2" s="379"/>
      <c r="E2" s="379"/>
      <c r="F2" s="379"/>
      <c r="G2" s="379"/>
      <c r="H2" s="380"/>
    </row>
    <row r="3" spans="2:8" x14ac:dyDescent="0.25">
      <c r="B3" s="58"/>
      <c r="C3" s="59"/>
      <c r="D3" s="59"/>
      <c r="E3" s="59"/>
      <c r="F3" s="59"/>
      <c r="G3" s="59"/>
      <c r="H3" s="60"/>
    </row>
    <row r="4" spans="2:8" ht="63" customHeight="1" x14ac:dyDescent="0.25">
      <c r="B4" s="381" t="s">
        <v>1</v>
      </c>
      <c r="C4" s="382"/>
      <c r="D4" s="382"/>
      <c r="E4" s="382"/>
      <c r="F4" s="382"/>
      <c r="G4" s="382"/>
      <c r="H4" s="383"/>
    </row>
    <row r="5" spans="2:8" ht="63" customHeight="1" x14ac:dyDescent="0.25">
      <c r="B5" s="384"/>
      <c r="C5" s="385"/>
      <c r="D5" s="385"/>
      <c r="E5" s="385"/>
      <c r="F5" s="385"/>
      <c r="G5" s="385"/>
      <c r="H5" s="386"/>
    </row>
    <row r="6" spans="2:8" ht="16.5" x14ac:dyDescent="0.25">
      <c r="B6" s="387" t="s">
        <v>2</v>
      </c>
      <c r="C6" s="388"/>
      <c r="D6" s="388"/>
      <c r="E6" s="388"/>
      <c r="F6" s="388"/>
      <c r="G6" s="388"/>
      <c r="H6" s="389"/>
    </row>
    <row r="7" spans="2:8" ht="95.25" customHeight="1" x14ac:dyDescent="0.25">
      <c r="B7" s="397" t="s">
        <v>3</v>
      </c>
      <c r="C7" s="398"/>
      <c r="D7" s="398"/>
      <c r="E7" s="398"/>
      <c r="F7" s="398"/>
      <c r="G7" s="398"/>
      <c r="H7" s="399"/>
    </row>
    <row r="8" spans="2:8" ht="16.5" x14ac:dyDescent="0.25">
      <c r="B8" s="90"/>
      <c r="C8" s="91"/>
      <c r="D8" s="91"/>
      <c r="E8" s="91"/>
      <c r="F8" s="91"/>
      <c r="G8" s="91"/>
      <c r="H8" s="92"/>
    </row>
    <row r="9" spans="2:8" ht="16.5" customHeight="1" x14ac:dyDescent="0.25">
      <c r="B9" s="390" t="s">
        <v>4</v>
      </c>
      <c r="C9" s="391"/>
      <c r="D9" s="391"/>
      <c r="E9" s="391"/>
      <c r="F9" s="391"/>
      <c r="G9" s="391"/>
      <c r="H9" s="392"/>
    </row>
    <row r="10" spans="2:8" ht="44.25" customHeight="1" x14ac:dyDescent="0.25">
      <c r="B10" s="390"/>
      <c r="C10" s="391"/>
      <c r="D10" s="391"/>
      <c r="E10" s="391"/>
      <c r="F10" s="391"/>
      <c r="G10" s="391"/>
      <c r="H10" s="392"/>
    </row>
    <row r="11" spans="2:8" ht="15.75" thickBot="1" x14ac:dyDescent="0.3">
      <c r="B11" s="79"/>
      <c r="C11" s="82"/>
      <c r="D11" s="87"/>
      <c r="E11" s="88"/>
      <c r="F11" s="88"/>
      <c r="G11" s="89"/>
      <c r="H11" s="83"/>
    </row>
    <row r="12" spans="2:8" ht="15.75" thickTop="1" x14ac:dyDescent="0.25">
      <c r="B12" s="79"/>
      <c r="C12" s="393" t="s">
        <v>5</v>
      </c>
      <c r="D12" s="394"/>
      <c r="E12" s="395" t="s">
        <v>6</v>
      </c>
      <c r="F12" s="396"/>
      <c r="G12" s="82"/>
      <c r="H12" s="83"/>
    </row>
    <row r="13" spans="2:8" ht="35.25" customHeight="1" x14ac:dyDescent="0.25">
      <c r="B13" s="79"/>
      <c r="C13" s="365" t="s">
        <v>7</v>
      </c>
      <c r="D13" s="366"/>
      <c r="E13" s="367" t="s">
        <v>8</v>
      </c>
      <c r="F13" s="368"/>
      <c r="G13" s="82"/>
      <c r="H13" s="83"/>
    </row>
    <row r="14" spans="2:8" ht="17.25" customHeight="1" x14ac:dyDescent="0.25">
      <c r="B14" s="79"/>
      <c r="C14" s="365" t="s">
        <v>9</v>
      </c>
      <c r="D14" s="366"/>
      <c r="E14" s="367" t="s">
        <v>10</v>
      </c>
      <c r="F14" s="368"/>
      <c r="G14" s="82"/>
      <c r="H14" s="83"/>
    </row>
    <row r="15" spans="2:8" ht="19.5" customHeight="1" x14ac:dyDescent="0.25">
      <c r="B15" s="79"/>
      <c r="C15" s="365" t="s">
        <v>11</v>
      </c>
      <c r="D15" s="366"/>
      <c r="E15" s="367" t="s">
        <v>12</v>
      </c>
      <c r="F15" s="368"/>
      <c r="G15" s="82"/>
      <c r="H15" s="83"/>
    </row>
    <row r="16" spans="2:8" ht="69.75" customHeight="1" x14ac:dyDescent="0.25">
      <c r="B16" s="79"/>
      <c r="C16" s="365" t="s">
        <v>13</v>
      </c>
      <c r="D16" s="366"/>
      <c r="E16" s="367" t="s">
        <v>14</v>
      </c>
      <c r="F16" s="368"/>
      <c r="G16" s="82"/>
      <c r="H16" s="83"/>
    </row>
    <row r="17" spans="2:8" ht="34.5" customHeight="1" x14ac:dyDescent="0.25">
      <c r="B17" s="79"/>
      <c r="C17" s="369" t="s">
        <v>15</v>
      </c>
      <c r="D17" s="370"/>
      <c r="E17" s="361" t="s">
        <v>16</v>
      </c>
      <c r="F17" s="362"/>
      <c r="G17" s="82"/>
      <c r="H17" s="83"/>
    </row>
    <row r="18" spans="2:8" ht="27.75" customHeight="1" x14ac:dyDescent="0.25">
      <c r="B18" s="79"/>
      <c r="C18" s="369" t="s">
        <v>17</v>
      </c>
      <c r="D18" s="370"/>
      <c r="E18" s="361" t="s">
        <v>18</v>
      </c>
      <c r="F18" s="362"/>
      <c r="G18" s="82"/>
      <c r="H18" s="83"/>
    </row>
    <row r="19" spans="2:8" ht="28.5" customHeight="1" x14ac:dyDescent="0.25">
      <c r="B19" s="79"/>
      <c r="C19" s="369" t="s">
        <v>19</v>
      </c>
      <c r="D19" s="370"/>
      <c r="E19" s="361" t="s">
        <v>20</v>
      </c>
      <c r="F19" s="362"/>
      <c r="G19" s="82"/>
      <c r="H19" s="83"/>
    </row>
    <row r="20" spans="2:8" ht="72.75" customHeight="1" x14ac:dyDescent="0.25">
      <c r="B20" s="79"/>
      <c r="C20" s="369" t="s">
        <v>21</v>
      </c>
      <c r="D20" s="370"/>
      <c r="E20" s="361" t="s">
        <v>22</v>
      </c>
      <c r="F20" s="362"/>
      <c r="G20" s="82"/>
      <c r="H20" s="83"/>
    </row>
    <row r="21" spans="2:8" ht="64.5" customHeight="1" x14ac:dyDescent="0.25">
      <c r="B21" s="79"/>
      <c r="C21" s="369" t="s">
        <v>23</v>
      </c>
      <c r="D21" s="370"/>
      <c r="E21" s="361" t="s">
        <v>24</v>
      </c>
      <c r="F21" s="362"/>
      <c r="G21" s="82"/>
      <c r="H21" s="83"/>
    </row>
    <row r="22" spans="2:8" ht="71.25" customHeight="1" x14ac:dyDescent="0.25">
      <c r="B22" s="79"/>
      <c r="C22" s="369" t="s">
        <v>25</v>
      </c>
      <c r="D22" s="370"/>
      <c r="E22" s="361" t="s">
        <v>26</v>
      </c>
      <c r="F22" s="362"/>
      <c r="G22" s="82"/>
      <c r="H22" s="83"/>
    </row>
    <row r="23" spans="2:8" ht="55.5" customHeight="1" x14ac:dyDescent="0.25">
      <c r="B23" s="79"/>
      <c r="C23" s="363" t="s">
        <v>27</v>
      </c>
      <c r="D23" s="364"/>
      <c r="E23" s="361" t="s">
        <v>28</v>
      </c>
      <c r="F23" s="362"/>
      <c r="G23" s="82"/>
      <c r="H23" s="83"/>
    </row>
    <row r="24" spans="2:8" ht="42" customHeight="1" x14ac:dyDescent="0.25">
      <c r="B24" s="79"/>
      <c r="C24" s="363" t="s">
        <v>29</v>
      </c>
      <c r="D24" s="364"/>
      <c r="E24" s="361" t="s">
        <v>30</v>
      </c>
      <c r="F24" s="362"/>
      <c r="G24" s="82"/>
      <c r="H24" s="83"/>
    </row>
    <row r="25" spans="2:8" ht="59.25" customHeight="1" x14ac:dyDescent="0.25">
      <c r="B25" s="79"/>
      <c r="C25" s="363" t="s">
        <v>31</v>
      </c>
      <c r="D25" s="364"/>
      <c r="E25" s="361" t="s">
        <v>32</v>
      </c>
      <c r="F25" s="362"/>
      <c r="G25" s="82"/>
      <c r="H25" s="83"/>
    </row>
    <row r="26" spans="2:8" ht="23.25" customHeight="1" x14ac:dyDescent="0.25">
      <c r="B26" s="79"/>
      <c r="C26" s="363" t="s">
        <v>33</v>
      </c>
      <c r="D26" s="364"/>
      <c r="E26" s="361" t="s">
        <v>34</v>
      </c>
      <c r="F26" s="362"/>
      <c r="G26" s="82"/>
      <c r="H26" s="83"/>
    </row>
    <row r="27" spans="2:8" ht="30.75" customHeight="1" x14ac:dyDescent="0.25">
      <c r="B27" s="79"/>
      <c r="C27" s="363" t="s">
        <v>35</v>
      </c>
      <c r="D27" s="364"/>
      <c r="E27" s="361" t="s">
        <v>36</v>
      </c>
      <c r="F27" s="362"/>
      <c r="G27" s="82"/>
      <c r="H27" s="83"/>
    </row>
    <row r="28" spans="2:8" ht="35.25" customHeight="1" x14ac:dyDescent="0.25">
      <c r="B28" s="79"/>
      <c r="C28" s="363" t="s">
        <v>37</v>
      </c>
      <c r="D28" s="364"/>
      <c r="E28" s="361" t="s">
        <v>38</v>
      </c>
      <c r="F28" s="362"/>
      <c r="G28" s="82"/>
      <c r="H28" s="83"/>
    </row>
    <row r="29" spans="2:8" ht="33" customHeight="1" x14ac:dyDescent="0.25">
      <c r="B29" s="79"/>
      <c r="C29" s="363" t="s">
        <v>37</v>
      </c>
      <c r="D29" s="364"/>
      <c r="E29" s="361" t="s">
        <v>38</v>
      </c>
      <c r="F29" s="362"/>
      <c r="G29" s="82"/>
      <c r="H29" s="83"/>
    </row>
    <row r="30" spans="2:8" ht="30" customHeight="1" x14ac:dyDescent="0.25">
      <c r="B30" s="79"/>
      <c r="C30" s="363" t="s">
        <v>39</v>
      </c>
      <c r="D30" s="364"/>
      <c r="E30" s="361" t="s">
        <v>40</v>
      </c>
      <c r="F30" s="362"/>
      <c r="G30" s="82"/>
      <c r="H30" s="83"/>
    </row>
    <row r="31" spans="2:8" ht="35.25" customHeight="1" x14ac:dyDescent="0.25">
      <c r="B31" s="79"/>
      <c r="C31" s="363" t="s">
        <v>41</v>
      </c>
      <c r="D31" s="364"/>
      <c r="E31" s="361" t="s">
        <v>42</v>
      </c>
      <c r="F31" s="362"/>
      <c r="G31" s="82"/>
      <c r="H31" s="83"/>
    </row>
    <row r="32" spans="2:8" ht="31.5" customHeight="1" x14ac:dyDescent="0.25">
      <c r="B32" s="79"/>
      <c r="C32" s="363" t="s">
        <v>43</v>
      </c>
      <c r="D32" s="364"/>
      <c r="E32" s="361" t="s">
        <v>44</v>
      </c>
      <c r="F32" s="362"/>
      <c r="G32" s="82"/>
      <c r="H32" s="83"/>
    </row>
    <row r="33" spans="2:8" ht="35.25" customHeight="1" x14ac:dyDescent="0.25">
      <c r="B33" s="79"/>
      <c r="C33" s="363" t="s">
        <v>45</v>
      </c>
      <c r="D33" s="364"/>
      <c r="E33" s="361" t="s">
        <v>46</v>
      </c>
      <c r="F33" s="362"/>
      <c r="G33" s="82"/>
      <c r="H33" s="83"/>
    </row>
    <row r="34" spans="2:8" ht="59.25" customHeight="1" x14ac:dyDescent="0.25">
      <c r="B34" s="79"/>
      <c r="C34" s="363" t="s">
        <v>47</v>
      </c>
      <c r="D34" s="364"/>
      <c r="E34" s="361" t="s">
        <v>48</v>
      </c>
      <c r="F34" s="362"/>
      <c r="G34" s="82"/>
      <c r="H34" s="83"/>
    </row>
    <row r="35" spans="2:8" ht="29.25" customHeight="1" x14ac:dyDescent="0.25">
      <c r="B35" s="79"/>
      <c r="C35" s="363" t="s">
        <v>49</v>
      </c>
      <c r="D35" s="364"/>
      <c r="E35" s="361" t="s">
        <v>50</v>
      </c>
      <c r="F35" s="362"/>
      <c r="G35" s="82"/>
      <c r="H35" s="83"/>
    </row>
    <row r="36" spans="2:8" ht="82.5" customHeight="1" x14ac:dyDescent="0.25">
      <c r="B36" s="79"/>
      <c r="C36" s="363" t="s">
        <v>51</v>
      </c>
      <c r="D36" s="364"/>
      <c r="E36" s="361" t="s">
        <v>52</v>
      </c>
      <c r="F36" s="362"/>
      <c r="G36" s="82"/>
      <c r="H36" s="83"/>
    </row>
    <row r="37" spans="2:8" ht="46.5" customHeight="1" x14ac:dyDescent="0.25">
      <c r="B37" s="79"/>
      <c r="C37" s="363" t="s">
        <v>53</v>
      </c>
      <c r="D37" s="364"/>
      <c r="E37" s="361" t="s">
        <v>54</v>
      </c>
      <c r="F37" s="362"/>
      <c r="G37" s="82"/>
      <c r="H37" s="83"/>
    </row>
    <row r="38" spans="2:8" ht="6.75" customHeight="1" thickBot="1" x14ac:dyDescent="0.3">
      <c r="B38" s="79"/>
      <c r="C38" s="374"/>
      <c r="D38" s="375"/>
      <c r="E38" s="376"/>
      <c r="F38" s="377"/>
      <c r="G38" s="82"/>
      <c r="H38" s="83"/>
    </row>
    <row r="39" spans="2:8" ht="15.75" thickTop="1" x14ac:dyDescent="0.25">
      <c r="B39" s="79"/>
      <c r="C39" s="80"/>
      <c r="D39" s="80"/>
      <c r="E39" s="81"/>
      <c r="F39" s="81"/>
      <c r="G39" s="82"/>
      <c r="H39" s="83"/>
    </row>
    <row r="40" spans="2:8" ht="21" customHeight="1" x14ac:dyDescent="0.25">
      <c r="B40" s="371" t="s">
        <v>55</v>
      </c>
      <c r="C40" s="372"/>
      <c r="D40" s="372"/>
      <c r="E40" s="372"/>
      <c r="F40" s="372"/>
      <c r="G40" s="372"/>
      <c r="H40" s="373"/>
    </row>
    <row r="41" spans="2:8" ht="20.25" customHeight="1" x14ac:dyDescent="0.25">
      <c r="B41" s="371" t="s">
        <v>56</v>
      </c>
      <c r="C41" s="372"/>
      <c r="D41" s="372"/>
      <c r="E41" s="372"/>
      <c r="F41" s="372"/>
      <c r="G41" s="372"/>
      <c r="H41" s="373"/>
    </row>
    <row r="42" spans="2:8" ht="20.25" customHeight="1" x14ac:dyDescent="0.25">
      <c r="B42" s="371" t="s">
        <v>57</v>
      </c>
      <c r="C42" s="372"/>
      <c r="D42" s="372"/>
      <c r="E42" s="372"/>
      <c r="F42" s="372"/>
      <c r="G42" s="372"/>
      <c r="H42" s="373"/>
    </row>
    <row r="43" spans="2:8" ht="20.25" customHeight="1" x14ac:dyDescent="0.25">
      <c r="B43" s="371" t="s">
        <v>58</v>
      </c>
      <c r="C43" s="372"/>
      <c r="D43" s="372"/>
      <c r="E43" s="372"/>
      <c r="F43" s="372"/>
      <c r="G43" s="372"/>
      <c r="H43" s="373"/>
    </row>
    <row r="44" spans="2:8" x14ac:dyDescent="0.25">
      <c r="B44" s="371" t="s">
        <v>59</v>
      </c>
      <c r="C44" s="372"/>
      <c r="D44" s="372"/>
      <c r="E44" s="372"/>
      <c r="F44" s="372"/>
      <c r="G44" s="372"/>
      <c r="H44" s="373"/>
    </row>
    <row r="45" spans="2:8" ht="15.75" thickBot="1" x14ac:dyDescent="0.3">
      <c r="B45" s="84"/>
      <c r="C45" s="85"/>
      <c r="D45" s="85"/>
      <c r="E45" s="85"/>
      <c r="F45" s="85"/>
      <c r="G45" s="85"/>
      <c r="H45" s="86"/>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35"/>
  <sheetViews>
    <sheetView topLeftCell="A2" zoomScale="70" zoomScaleNormal="70" zoomScalePageLayoutView="55" workbookViewId="0">
      <pane ySplit="3" topLeftCell="A7" activePane="bottomLeft" state="frozen"/>
      <selection activeCell="A2" sqref="A2"/>
      <selection pane="bottomLeft" activeCell="C7" sqref="C7"/>
    </sheetView>
  </sheetViews>
  <sheetFormatPr baseColWidth="10" defaultColWidth="17.42578125" defaultRowHeight="12.75" x14ac:dyDescent="0.25"/>
  <cols>
    <col min="1" max="1" width="17.42578125" style="207"/>
    <col min="2" max="2" width="36.28515625" style="207" customWidth="1"/>
    <col min="3" max="3" width="23" style="207" customWidth="1"/>
    <col min="4" max="4" width="38.7109375" style="207" customWidth="1"/>
    <col min="5" max="5" width="22.42578125" style="207" customWidth="1"/>
    <col min="6" max="6" width="30.42578125" style="207" customWidth="1"/>
    <col min="7" max="7" width="22.42578125" style="207" customWidth="1"/>
    <col min="8" max="8" width="41.42578125" style="207" customWidth="1"/>
    <col min="9" max="9" width="17.42578125" style="207"/>
    <col min="10" max="10" width="29.42578125" style="207" customWidth="1"/>
    <col min="11" max="11" width="44.5703125" style="207" customWidth="1"/>
    <col min="12" max="16384" width="17.42578125" style="207"/>
  </cols>
  <sheetData>
    <row r="1" spans="1:11" s="202" customFormat="1" ht="39" customHeight="1" thickBot="1" x14ac:dyDescent="0.3">
      <c r="A1" s="200" t="s">
        <v>60</v>
      </c>
      <c r="B1" s="201">
        <v>44588</v>
      </c>
      <c r="C1" s="435" t="s">
        <v>61</v>
      </c>
      <c r="D1" s="435"/>
      <c r="E1" s="435"/>
      <c r="F1" s="435"/>
      <c r="G1" s="435"/>
      <c r="H1" s="435"/>
      <c r="I1" s="435"/>
      <c r="J1" s="435"/>
      <c r="K1" s="435"/>
    </row>
    <row r="2" spans="1:11" s="203" customFormat="1" ht="25.5" customHeight="1" x14ac:dyDescent="0.25">
      <c r="A2" s="436" t="s">
        <v>62</v>
      </c>
      <c r="B2" s="439" t="s">
        <v>63</v>
      </c>
      <c r="C2" s="440"/>
      <c r="D2" s="440"/>
      <c r="E2" s="440"/>
      <c r="F2" s="440"/>
      <c r="G2" s="440"/>
      <c r="H2" s="440"/>
      <c r="I2" s="441"/>
      <c r="J2" s="401" t="s">
        <v>64</v>
      </c>
      <c r="K2" s="404" t="s">
        <v>65</v>
      </c>
    </row>
    <row r="3" spans="1:11" s="203" customFormat="1" ht="22.5" customHeight="1" x14ac:dyDescent="0.25">
      <c r="A3" s="437"/>
      <c r="B3" s="442" t="s">
        <v>66</v>
      </c>
      <c r="C3" s="442"/>
      <c r="D3" s="442" t="s">
        <v>67</v>
      </c>
      <c r="E3" s="442"/>
      <c r="F3" s="442" t="s">
        <v>68</v>
      </c>
      <c r="G3" s="442"/>
      <c r="H3" s="442" t="s">
        <v>69</v>
      </c>
      <c r="I3" s="442"/>
      <c r="J3" s="402"/>
      <c r="K3" s="405"/>
    </row>
    <row r="4" spans="1:11" s="203" customFormat="1" ht="27" customHeight="1" thickBot="1" x14ac:dyDescent="0.3">
      <c r="A4" s="438"/>
      <c r="B4" s="204" t="s">
        <v>70</v>
      </c>
      <c r="C4" s="204" t="s">
        <v>71</v>
      </c>
      <c r="D4" s="204" t="s">
        <v>70</v>
      </c>
      <c r="E4" s="204" t="s">
        <v>71</v>
      </c>
      <c r="F4" s="204" t="s">
        <v>70</v>
      </c>
      <c r="G4" s="204" t="s">
        <v>71</v>
      </c>
      <c r="H4" s="204" t="s">
        <v>70</v>
      </c>
      <c r="I4" s="204" t="s">
        <v>71</v>
      </c>
      <c r="J4" s="403"/>
      <c r="K4" s="406"/>
    </row>
    <row r="5" spans="1:11" ht="69" customHeight="1" thickBot="1" x14ac:dyDescent="0.3">
      <c r="A5" s="417" t="s">
        <v>72</v>
      </c>
      <c r="B5" s="205" t="s">
        <v>73</v>
      </c>
      <c r="C5" s="206" t="s">
        <v>74</v>
      </c>
      <c r="D5" s="206" t="s">
        <v>75</v>
      </c>
      <c r="E5" s="206" t="s">
        <v>76</v>
      </c>
      <c r="F5" s="206" t="s">
        <v>77</v>
      </c>
      <c r="G5" s="206" t="s">
        <v>78</v>
      </c>
      <c r="H5" s="206" t="s">
        <v>79</v>
      </c>
      <c r="I5" s="206" t="s">
        <v>80</v>
      </c>
      <c r="J5" s="407" t="s">
        <v>81</v>
      </c>
      <c r="K5" s="410" t="s">
        <v>82</v>
      </c>
    </row>
    <row r="6" spans="1:11" ht="89.25" customHeight="1" x14ac:dyDescent="0.25">
      <c r="A6" s="418"/>
      <c r="B6" s="208" t="s">
        <v>83</v>
      </c>
      <c r="C6" s="209" t="s">
        <v>84</v>
      </c>
      <c r="D6" s="209" t="s">
        <v>85</v>
      </c>
      <c r="E6" s="209" t="s">
        <v>86</v>
      </c>
      <c r="F6" s="206" t="s">
        <v>77</v>
      </c>
      <c r="G6" s="209" t="s">
        <v>87</v>
      </c>
      <c r="H6" s="209"/>
      <c r="I6" s="209"/>
      <c r="J6" s="408"/>
      <c r="K6" s="411"/>
    </row>
    <row r="7" spans="1:11" ht="117" customHeight="1" x14ac:dyDescent="0.25">
      <c r="A7" s="418"/>
      <c r="B7" s="208" t="s">
        <v>68</v>
      </c>
      <c r="C7" s="209" t="s">
        <v>88</v>
      </c>
      <c r="D7" s="209" t="s">
        <v>85</v>
      </c>
      <c r="E7" s="209" t="s">
        <v>89</v>
      </c>
      <c r="F7" s="209"/>
      <c r="G7" s="209"/>
      <c r="H7" s="209"/>
      <c r="I7" s="209"/>
      <c r="J7" s="408"/>
      <c r="K7" s="411"/>
    </row>
    <row r="8" spans="1:11" ht="81" customHeight="1" x14ac:dyDescent="0.25">
      <c r="A8" s="418"/>
      <c r="B8" s="208"/>
      <c r="C8" s="209"/>
      <c r="D8" s="209" t="s">
        <v>85</v>
      </c>
      <c r="E8" s="207" t="s">
        <v>90</v>
      </c>
      <c r="F8" s="210"/>
      <c r="G8" s="210"/>
      <c r="H8" s="209"/>
      <c r="I8" s="209"/>
      <c r="J8" s="408"/>
      <c r="K8" s="411"/>
    </row>
    <row r="9" spans="1:11" ht="81" customHeight="1" x14ac:dyDescent="0.25">
      <c r="A9" s="418"/>
      <c r="B9" s="208"/>
      <c r="C9" s="211"/>
      <c r="D9" s="211" t="s">
        <v>91</v>
      </c>
      <c r="E9" s="212" t="s">
        <v>92</v>
      </c>
      <c r="F9" s="213"/>
      <c r="G9" s="213"/>
      <c r="H9" s="209"/>
      <c r="I9" s="211"/>
      <c r="J9" s="408"/>
      <c r="K9" s="411"/>
    </row>
    <row r="10" spans="1:11" ht="59.25" customHeight="1" x14ac:dyDescent="0.25">
      <c r="A10" s="418"/>
      <c r="B10" s="208"/>
      <c r="C10" s="211"/>
      <c r="D10" s="209" t="s">
        <v>75</v>
      </c>
      <c r="E10" s="209" t="s">
        <v>93</v>
      </c>
      <c r="F10" s="213"/>
      <c r="G10" s="213"/>
      <c r="H10" s="209"/>
      <c r="I10" s="211"/>
      <c r="J10" s="408"/>
      <c r="K10" s="411"/>
    </row>
    <row r="11" spans="1:11" ht="36" customHeight="1" thickBot="1" x14ac:dyDescent="0.3">
      <c r="A11" s="419"/>
      <c r="B11" s="214"/>
      <c r="C11" s="215"/>
      <c r="D11" s="214"/>
      <c r="E11" s="216"/>
      <c r="F11" s="214"/>
      <c r="G11" s="215"/>
      <c r="H11" s="214"/>
      <c r="I11" s="215"/>
      <c r="J11" s="409"/>
      <c r="K11" s="412"/>
    </row>
    <row r="12" spans="1:11" ht="82.5" customHeight="1" x14ac:dyDescent="0.25">
      <c r="A12" s="431" t="s">
        <v>72</v>
      </c>
      <c r="B12" s="217" t="s">
        <v>94</v>
      </c>
      <c r="C12" s="218" t="s">
        <v>95</v>
      </c>
      <c r="D12" s="205" t="s">
        <v>75</v>
      </c>
      <c r="E12" s="219" t="s">
        <v>96</v>
      </c>
      <c r="F12" s="205" t="s">
        <v>97</v>
      </c>
      <c r="G12" s="219" t="s">
        <v>98</v>
      </c>
      <c r="H12" s="206"/>
      <c r="I12" s="220"/>
      <c r="J12" s="420" t="s">
        <v>99</v>
      </c>
      <c r="K12" s="410" t="s">
        <v>100</v>
      </c>
    </row>
    <row r="13" spans="1:11" ht="93.75" customHeight="1" x14ac:dyDescent="0.25">
      <c r="A13" s="432"/>
      <c r="B13" s="209" t="s">
        <v>73</v>
      </c>
      <c r="C13" s="209" t="s">
        <v>101</v>
      </c>
      <c r="D13" s="221"/>
      <c r="E13" s="209"/>
      <c r="F13" s="208" t="s">
        <v>77</v>
      </c>
      <c r="G13" s="209" t="s">
        <v>102</v>
      </c>
      <c r="H13" s="209"/>
      <c r="I13" s="222"/>
      <c r="J13" s="414"/>
      <c r="K13" s="411"/>
    </row>
    <row r="14" spans="1:11" ht="36" customHeight="1" x14ac:dyDescent="0.25">
      <c r="A14" s="433"/>
      <c r="B14" s="223"/>
      <c r="C14" s="224"/>
      <c r="D14" s="208"/>
      <c r="E14" s="209"/>
      <c r="F14" s="208"/>
      <c r="G14" s="209"/>
      <c r="H14" s="209"/>
      <c r="I14" s="222"/>
      <c r="J14" s="414"/>
      <c r="K14" s="411"/>
    </row>
    <row r="15" spans="1:11" ht="36" customHeight="1" x14ac:dyDescent="0.25">
      <c r="A15" s="433"/>
      <c r="B15" s="208"/>
      <c r="C15" s="225"/>
      <c r="D15" s="209"/>
      <c r="E15" s="209"/>
      <c r="F15" s="208"/>
      <c r="G15" s="209"/>
      <c r="H15" s="209"/>
      <c r="I15" s="222"/>
      <c r="J15" s="414"/>
      <c r="K15" s="411"/>
    </row>
    <row r="16" spans="1:11" ht="36" customHeight="1" x14ac:dyDescent="0.25">
      <c r="A16" s="433"/>
      <c r="B16" s="208"/>
      <c r="C16" s="226"/>
      <c r="D16" s="211"/>
      <c r="E16" s="211"/>
      <c r="F16" s="227"/>
      <c r="G16" s="211"/>
      <c r="H16" s="209"/>
      <c r="I16" s="228"/>
      <c r="J16" s="414"/>
      <c r="K16" s="411"/>
    </row>
    <row r="17" spans="1:11" ht="36" customHeight="1" thickBot="1" x14ac:dyDescent="0.3">
      <c r="A17" s="434"/>
      <c r="B17" s="229"/>
      <c r="C17" s="214"/>
      <c r="D17" s="214"/>
      <c r="E17" s="214"/>
      <c r="F17" s="229"/>
      <c r="G17" s="214"/>
      <c r="H17" s="214"/>
      <c r="I17" s="230"/>
      <c r="J17" s="421"/>
      <c r="K17" s="412"/>
    </row>
    <row r="18" spans="1:11" ht="108" customHeight="1" x14ac:dyDescent="0.25">
      <c r="A18" s="433" t="s">
        <v>72</v>
      </c>
      <c r="B18" s="223" t="s">
        <v>73</v>
      </c>
      <c r="C18" s="231" t="s">
        <v>103</v>
      </c>
      <c r="D18" s="224" t="s">
        <v>75</v>
      </c>
      <c r="E18" s="224" t="s">
        <v>104</v>
      </c>
      <c r="F18" s="223" t="s">
        <v>77</v>
      </c>
      <c r="G18" s="224" t="s">
        <v>105</v>
      </c>
      <c r="H18" s="224"/>
      <c r="I18" s="232"/>
      <c r="J18" s="413" t="s">
        <v>106</v>
      </c>
      <c r="K18" s="411" t="s">
        <v>107</v>
      </c>
    </row>
    <row r="19" spans="1:11" ht="69" customHeight="1" x14ac:dyDescent="0.25">
      <c r="A19" s="433"/>
      <c r="B19" s="208" t="s">
        <v>83</v>
      </c>
      <c r="C19" s="225" t="s">
        <v>108</v>
      </c>
      <c r="D19" s="209" t="s">
        <v>85</v>
      </c>
      <c r="E19" s="209" t="s">
        <v>109</v>
      </c>
      <c r="F19" s="209"/>
      <c r="G19" s="209"/>
      <c r="H19" s="209"/>
      <c r="I19" s="222"/>
      <c r="J19" s="414"/>
      <c r="K19" s="411"/>
    </row>
    <row r="20" spans="1:11" ht="69" customHeight="1" x14ac:dyDescent="0.25">
      <c r="A20" s="433"/>
      <c r="B20" s="208" t="s">
        <v>68</v>
      </c>
      <c r="C20" s="225" t="s">
        <v>110</v>
      </c>
      <c r="D20" s="209"/>
      <c r="E20" s="209"/>
      <c r="F20" s="209"/>
      <c r="G20" s="209"/>
      <c r="H20" s="209"/>
      <c r="I20" s="222"/>
      <c r="J20" s="414"/>
      <c r="K20" s="411"/>
    </row>
    <row r="21" spans="1:11" ht="36.950000000000003" customHeight="1" x14ac:dyDescent="0.25">
      <c r="A21" s="433"/>
      <c r="B21" s="208"/>
      <c r="C21" s="225"/>
      <c r="D21" s="209"/>
      <c r="E21" s="209"/>
      <c r="F21" s="209"/>
      <c r="G21" s="209"/>
      <c r="H21" s="209"/>
      <c r="I21" s="222"/>
      <c r="J21" s="414"/>
      <c r="K21" s="411"/>
    </row>
    <row r="22" spans="1:11" ht="36.950000000000003" customHeight="1" x14ac:dyDescent="0.25">
      <c r="A22" s="433"/>
      <c r="B22" s="208"/>
      <c r="C22" s="225"/>
      <c r="D22" s="209"/>
      <c r="E22" s="209"/>
      <c r="F22" s="209"/>
      <c r="G22" s="209"/>
      <c r="H22" s="209"/>
      <c r="I22" s="222"/>
      <c r="J22" s="414"/>
      <c r="K22" s="411"/>
    </row>
    <row r="23" spans="1:11" ht="36.950000000000003" customHeight="1" thickBot="1" x14ac:dyDescent="0.3">
      <c r="A23" s="433"/>
      <c r="B23" s="227"/>
      <c r="C23" s="226"/>
      <c r="D23" s="211"/>
      <c r="E23" s="211"/>
      <c r="F23" s="211"/>
      <c r="G23" s="211"/>
      <c r="H23" s="211"/>
      <c r="I23" s="228"/>
      <c r="J23" s="414"/>
      <c r="K23" s="411"/>
    </row>
    <row r="24" spans="1:11" ht="123" customHeight="1" x14ac:dyDescent="0.25">
      <c r="A24" s="431" t="s">
        <v>72</v>
      </c>
      <c r="B24" s="205" t="s">
        <v>73</v>
      </c>
      <c r="C24" s="219" t="s">
        <v>111</v>
      </c>
      <c r="D24" s="206" t="s">
        <v>75</v>
      </c>
      <c r="E24" s="206" t="s">
        <v>112</v>
      </c>
      <c r="F24" s="205"/>
      <c r="G24" s="206"/>
      <c r="H24" s="206" t="s">
        <v>79</v>
      </c>
      <c r="I24" s="233" t="s">
        <v>113</v>
      </c>
      <c r="J24" s="415" t="s">
        <v>114</v>
      </c>
      <c r="K24" s="410" t="s">
        <v>115</v>
      </c>
    </row>
    <row r="25" spans="1:11" ht="79.5" customHeight="1" x14ac:dyDescent="0.25">
      <c r="A25" s="433"/>
      <c r="B25" s="208" t="s">
        <v>83</v>
      </c>
      <c r="C25" s="225" t="s">
        <v>116</v>
      </c>
      <c r="D25" s="209" t="s">
        <v>85</v>
      </c>
      <c r="E25" s="209" t="s">
        <v>117</v>
      </c>
      <c r="F25" s="209"/>
      <c r="G25" s="209"/>
      <c r="H25" s="209"/>
      <c r="I25" s="222"/>
      <c r="J25" s="416"/>
      <c r="K25" s="411"/>
    </row>
    <row r="26" spans="1:11" ht="77.25" customHeight="1" x14ac:dyDescent="0.25">
      <c r="A26" s="433"/>
      <c r="B26" s="208" t="s">
        <v>68</v>
      </c>
      <c r="C26" s="225" t="s">
        <v>118</v>
      </c>
      <c r="D26" s="209" t="s">
        <v>75</v>
      </c>
      <c r="E26" s="209" t="s">
        <v>93</v>
      </c>
      <c r="F26" s="209"/>
      <c r="G26" s="209"/>
      <c r="H26" s="209"/>
      <c r="I26" s="222"/>
      <c r="J26" s="416"/>
      <c r="K26" s="411"/>
    </row>
    <row r="27" spans="1:11" ht="36.950000000000003" customHeight="1" x14ac:dyDescent="0.25">
      <c r="A27" s="433"/>
      <c r="B27" s="208"/>
      <c r="C27" s="225"/>
      <c r="D27" s="209" t="s">
        <v>85</v>
      </c>
      <c r="E27" s="209" t="s">
        <v>109</v>
      </c>
      <c r="F27" s="209"/>
      <c r="G27" s="209"/>
      <c r="H27" s="209"/>
      <c r="I27" s="222"/>
      <c r="J27" s="416"/>
      <c r="K27" s="411"/>
    </row>
    <row r="28" spans="1:11" ht="36.950000000000003" customHeight="1" x14ac:dyDescent="0.25">
      <c r="A28" s="433"/>
      <c r="B28" s="227"/>
      <c r="C28" s="226"/>
      <c r="D28" s="211"/>
      <c r="E28" s="211"/>
      <c r="F28" s="211"/>
      <c r="G28" s="211"/>
      <c r="H28" s="209"/>
      <c r="I28" s="228"/>
      <c r="J28" s="416"/>
      <c r="K28" s="411"/>
    </row>
    <row r="29" spans="1:11" ht="36.950000000000003" customHeight="1" thickBot="1" x14ac:dyDescent="0.3">
      <c r="A29" s="433"/>
      <c r="B29" s="227"/>
      <c r="C29" s="226"/>
      <c r="D29" s="211"/>
      <c r="E29" s="211"/>
      <c r="F29" s="211"/>
      <c r="G29" s="211"/>
      <c r="H29" s="211"/>
      <c r="I29" s="228"/>
      <c r="J29" s="416"/>
      <c r="K29" s="411"/>
    </row>
    <row r="30" spans="1:11" ht="45" customHeight="1" x14ac:dyDescent="0.25">
      <c r="A30" s="428" t="s">
        <v>72</v>
      </c>
      <c r="B30" s="206" t="s">
        <v>83</v>
      </c>
      <c r="C30" s="219" t="s">
        <v>119</v>
      </c>
      <c r="D30" s="206"/>
      <c r="E30" s="206"/>
      <c r="F30" s="206" t="s">
        <v>77</v>
      </c>
      <c r="G30" s="206" t="s">
        <v>120</v>
      </c>
      <c r="H30" s="206" t="s">
        <v>79</v>
      </c>
      <c r="I30" s="206" t="s">
        <v>121</v>
      </c>
      <c r="J30" s="422" t="s">
        <v>122</v>
      </c>
      <c r="K30" s="425" t="s">
        <v>123</v>
      </c>
    </row>
    <row r="31" spans="1:11" ht="36.950000000000003" customHeight="1" x14ac:dyDescent="0.25">
      <c r="A31" s="429"/>
      <c r="B31" s="209"/>
      <c r="C31" s="225"/>
      <c r="D31" s="209"/>
      <c r="E31" s="209"/>
      <c r="F31" s="209"/>
      <c r="G31" s="209"/>
      <c r="H31" s="209"/>
      <c r="I31" s="209"/>
      <c r="J31" s="423"/>
      <c r="K31" s="426"/>
    </row>
    <row r="32" spans="1:11" ht="36.950000000000003" customHeight="1" thickBot="1" x14ac:dyDescent="0.3">
      <c r="A32" s="430"/>
      <c r="B32" s="214"/>
      <c r="C32" s="215"/>
      <c r="D32" s="214"/>
      <c r="E32" s="214"/>
      <c r="F32" s="214"/>
      <c r="G32" s="214"/>
      <c r="H32" s="214"/>
      <c r="I32" s="214"/>
      <c r="J32" s="424"/>
      <c r="K32" s="427"/>
    </row>
    <row r="33" spans="1:20" ht="42.95" customHeight="1" x14ac:dyDescent="0.25">
      <c r="A33" s="234" t="s">
        <v>124</v>
      </c>
      <c r="B33" s="400" t="s">
        <v>125</v>
      </c>
      <c r="C33" s="400"/>
      <c r="D33" s="400"/>
      <c r="E33" s="400"/>
      <c r="F33" s="400"/>
      <c r="G33" s="400"/>
      <c r="H33" s="400"/>
      <c r="I33" s="400"/>
      <c r="J33" s="400"/>
      <c r="K33" s="400"/>
    </row>
    <row r="36" spans="1:20" x14ac:dyDescent="0.25">
      <c r="A36" s="235"/>
      <c r="B36" s="235"/>
      <c r="C36" s="235"/>
      <c r="D36" s="235"/>
      <c r="E36" s="235"/>
      <c r="F36" s="235"/>
      <c r="G36" s="235"/>
      <c r="H36" s="235"/>
    </row>
    <row r="37" spans="1:20" ht="25.5" x14ac:dyDescent="0.25">
      <c r="A37" s="235" t="s">
        <v>126</v>
      </c>
      <c r="B37" s="235" t="s">
        <v>73</v>
      </c>
      <c r="C37" s="235" t="s">
        <v>127</v>
      </c>
      <c r="D37" s="235" t="s">
        <v>79</v>
      </c>
      <c r="E37" s="235"/>
      <c r="F37" s="235" t="s">
        <v>79</v>
      </c>
      <c r="G37" s="235"/>
      <c r="H37" s="235" t="s">
        <v>79</v>
      </c>
    </row>
    <row r="38" spans="1:20" ht="25.5" x14ac:dyDescent="0.25">
      <c r="A38" s="235" t="s">
        <v>128</v>
      </c>
      <c r="B38" s="235" t="s">
        <v>83</v>
      </c>
      <c r="C38" s="235" t="s">
        <v>129</v>
      </c>
      <c r="D38" s="235" t="s">
        <v>130</v>
      </c>
      <c r="E38" s="235"/>
      <c r="F38" s="235" t="s">
        <v>130</v>
      </c>
      <c r="G38" s="235"/>
      <c r="H38" s="235" t="s">
        <v>130</v>
      </c>
    </row>
    <row r="39" spans="1:20" ht="25.5" x14ac:dyDescent="0.25">
      <c r="A39" s="235" t="s">
        <v>85</v>
      </c>
      <c r="B39" s="235" t="s">
        <v>68</v>
      </c>
      <c r="C39" s="235" t="s">
        <v>131</v>
      </c>
      <c r="D39" s="235" t="s">
        <v>132</v>
      </c>
      <c r="E39" s="235"/>
      <c r="F39" s="235" t="s">
        <v>132</v>
      </c>
      <c r="G39" s="235"/>
      <c r="H39" s="235" t="s">
        <v>132</v>
      </c>
    </row>
    <row r="40" spans="1:20" ht="25.5" x14ac:dyDescent="0.25">
      <c r="A40" s="235" t="s">
        <v>133</v>
      </c>
      <c r="B40" s="235" t="s">
        <v>134</v>
      </c>
      <c r="C40" s="235" t="s">
        <v>77</v>
      </c>
      <c r="D40" s="235"/>
      <c r="E40" s="235"/>
      <c r="F40" s="235"/>
      <c r="G40" s="235"/>
      <c r="H40" s="235"/>
    </row>
    <row r="41" spans="1:20" ht="25.5" x14ac:dyDescent="0.25">
      <c r="A41" s="235" t="s">
        <v>91</v>
      </c>
      <c r="B41" s="235" t="s">
        <v>135</v>
      </c>
      <c r="C41" s="235" t="s">
        <v>97</v>
      </c>
      <c r="D41" s="235"/>
      <c r="E41" s="235"/>
      <c r="F41" s="235"/>
      <c r="G41" s="235"/>
      <c r="H41" s="235"/>
    </row>
    <row r="42" spans="1:20" ht="38.25" x14ac:dyDescent="0.25">
      <c r="A42" s="235" t="s">
        <v>75</v>
      </c>
      <c r="B42" s="235" t="s">
        <v>94</v>
      </c>
      <c r="C42" s="235" t="s">
        <v>136</v>
      </c>
      <c r="D42" s="235"/>
      <c r="E42" s="235"/>
      <c r="F42" s="235"/>
      <c r="G42" s="235"/>
      <c r="H42" s="235"/>
    </row>
    <row r="43" spans="1:20" x14ac:dyDescent="0.25">
      <c r="A43" s="235"/>
      <c r="B43" s="235"/>
      <c r="C43" s="235"/>
      <c r="D43" s="235"/>
      <c r="E43" s="235"/>
      <c r="F43" s="235"/>
      <c r="G43" s="235"/>
      <c r="H43" s="235"/>
    </row>
    <row r="44" spans="1:20" s="236" customFormat="1" x14ac:dyDescent="0.25">
      <c r="A44" s="235"/>
      <c r="B44" s="235"/>
      <c r="C44" s="235"/>
      <c r="D44" s="235"/>
      <c r="E44" s="235"/>
      <c r="F44" s="235"/>
      <c r="G44" s="235"/>
      <c r="H44" s="235"/>
      <c r="I44" s="207"/>
      <c r="J44" s="207"/>
      <c r="K44" s="207"/>
      <c r="L44" s="207"/>
      <c r="M44" s="207"/>
      <c r="N44" s="207"/>
      <c r="O44" s="207"/>
      <c r="P44" s="207"/>
      <c r="Q44" s="207"/>
      <c r="R44" s="207"/>
      <c r="S44" s="207"/>
      <c r="T44" s="207"/>
    </row>
    <row r="45" spans="1:20" s="236" customFormat="1" x14ac:dyDescent="0.25">
      <c r="A45" s="235"/>
      <c r="B45" s="235"/>
      <c r="C45" s="235"/>
      <c r="D45" s="235"/>
      <c r="E45" s="235"/>
      <c r="F45" s="235"/>
      <c r="G45" s="235"/>
      <c r="H45" s="235"/>
      <c r="I45" s="207"/>
      <c r="J45" s="207"/>
      <c r="K45" s="207"/>
      <c r="L45" s="207"/>
      <c r="M45" s="207"/>
      <c r="N45" s="207"/>
      <c r="O45" s="207"/>
      <c r="P45" s="207"/>
      <c r="Q45" s="207"/>
      <c r="R45" s="207"/>
      <c r="S45" s="207"/>
      <c r="T45" s="207"/>
    </row>
    <row r="46" spans="1:20" s="236" customFormat="1" ht="15" x14ac:dyDescent="0.25">
      <c r="A46" s="237"/>
      <c r="B46" s="237"/>
      <c r="C46" s="237"/>
      <c r="D46" s="207"/>
      <c r="E46" s="207"/>
      <c r="F46" s="207"/>
      <c r="G46" s="207"/>
      <c r="H46" s="207"/>
      <c r="I46" s="207"/>
      <c r="J46" s="207"/>
      <c r="K46" s="207"/>
      <c r="L46" s="207"/>
      <c r="M46" s="207"/>
      <c r="N46" s="207"/>
      <c r="O46" s="207"/>
      <c r="P46" s="207"/>
      <c r="Q46" s="207"/>
      <c r="R46" s="207"/>
      <c r="S46" s="207"/>
      <c r="T46" s="207"/>
    </row>
    <row r="47" spans="1:20" s="236" customFormat="1" ht="14.25" x14ac:dyDescent="0.25">
      <c r="A47" s="207"/>
      <c r="B47" s="238"/>
      <c r="C47" s="207"/>
      <c r="D47" s="207"/>
      <c r="E47" s="207"/>
      <c r="F47" s="207"/>
      <c r="G47" s="207"/>
      <c r="H47" s="207"/>
      <c r="I47" s="207"/>
      <c r="J47" s="207"/>
      <c r="K47" s="207"/>
      <c r="L47" s="207"/>
      <c r="M47" s="207"/>
      <c r="N47" s="207"/>
      <c r="O47" s="207"/>
      <c r="P47" s="207"/>
      <c r="Q47" s="207"/>
      <c r="R47" s="207"/>
      <c r="S47" s="207"/>
      <c r="T47" s="207"/>
    </row>
    <row r="48" spans="1:20" s="236" customFormat="1" ht="14.25" x14ac:dyDescent="0.25">
      <c r="A48" s="207"/>
      <c r="B48" s="238"/>
      <c r="C48" s="207"/>
      <c r="D48" s="207"/>
      <c r="E48" s="207"/>
      <c r="F48" s="207"/>
      <c r="G48" s="207"/>
      <c r="H48" s="207"/>
      <c r="I48" s="207"/>
      <c r="J48" s="207"/>
      <c r="K48" s="207"/>
      <c r="L48" s="207"/>
      <c r="M48" s="207"/>
      <c r="N48" s="207"/>
      <c r="O48" s="207"/>
      <c r="P48" s="207"/>
      <c r="Q48" s="207"/>
      <c r="R48" s="207"/>
      <c r="S48" s="207"/>
      <c r="T48" s="207"/>
    </row>
    <row r="49" spans="1:20" s="236" customFormat="1" ht="14.25" x14ac:dyDescent="0.25">
      <c r="A49" s="207"/>
      <c r="B49" s="238"/>
      <c r="C49" s="207"/>
      <c r="D49" s="207"/>
      <c r="E49" s="207"/>
      <c r="F49" s="207"/>
      <c r="G49" s="207"/>
      <c r="H49" s="207"/>
      <c r="I49" s="207"/>
      <c r="J49" s="207"/>
      <c r="K49" s="207"/>
      <c r="L49" s="207"/>
      <c r="M49" s="207"/>
      <c r="N49" s="207"/>
      <c r="O49" s="207"/>
      <c r="P49" s="207"/>
      <c r="Q49" s="207"/>
      <c r="R49" s="207"/>
      <c r="S49" s="207"/>
      <c r="T49" s="207"/>
    </row>
    <row r="50" spans="1:20" s="236" customFormat="1" ht="14.25" x14ac:dyDescent="0.25">
      <c r="A50" s="207"/>
      <c r="B50" s="238"/>
      <c r="C50" s="207"/>
      <c r="D50" s="207"/>
      <c r="E50" s="207"/>
      <c r="F50" s="207"/>
      <c r="G50" s="207"/>
      <c r="H50" s="207"/>
      <c r="I50" s="207"/>
      <c r="J50" s="207"/>
      <c r="K50" s="207"/>
      <c r="L50" s="207"/>
      <c r="M50" s="207"/>
      <c r="N50" s="207"/>
      <c r="O50" s="207"/>
      <c r="P50" s="207"/>
      <c r="Q50" s="207"/>
      <c r="R50" s="207"/>
      <c r="S50" s="207"/>
      <c r="T50" s="207"/>
    </row>
    <row r="51" spans="1:20" s="236" customFormat="1" ht="14.25" x14ac:dyDescent="0.25">
      <c r="A51" s="207"/>
      <c r="B51" s="238"/>
      <c r="C51" s="207"/>
      <c r="D51" s="207"/>
      <c r="E51" s="207"/>
      <c r="F51" s="207"/>
      <c r="G51" s="207"/>
      <c r="H51" s="207"/>
      <c r="I51" s="207"/>
      <c r="J51" s="207"/>
      <c r="K51" s="207"/>
      <c r="L51" s="207"/>
      <c r="M51" s="207"/>
      <c r="N51" s="207"/>
      <c r="O51" s="207"/>
      <c r="P51" s="207"/>
      <c r="Q51" s="207"/>
      <c r="R51" s="207"/>
      <c r="S51" s="207"/>
      <c r="T51" s="207"/>
    </row>
    <row r="52" spans="1:20" ht="14.25" x14ac:dyDescent="0.25">
      <c r="B52" s="238"/>
    </row>
    <row r="53" spans="1:20" ht="14.25" x14ac:dyDescent="0.25">
      <c r="B53" s="238"/>
    </row>
    <row r="54" spans="1:20" ht="14.25" x14ac:dyDescent="0.25">
      <c r="B54" s="238"/>
    </row>
    <row r="55" spans="1:20" ht="14.25" x14ac:dyDescent="0.25">
      <c r="B55" s="238"/>
    </row>
    <row r="56" spans="1:20" ht="14.25" x14ac:dyDescent="0.25">
      <c r="B56" s="238"/>
    </row>
    <row r="57" spans="1:20" ht="14.25" x14ac:dyDescent="0.25">
      <c r="B57" s="238"/>
    </row>
    <row r="58" spans="1:20" ht="14.25" x14ac:dyDescent="0.25">
      <c r="B58" s="238"/>
    </row>
    <row r="59" spans="1:20" ht="14.25" x14ac:dyDescent="0.25">
      <c r="B59" s="238"/>
    </row>
    <row r="60" spans="1:20" ht="14.25" x14ac:dyDescent="0.25">
      <c r="B60" s="238"/>
    </row>
    <row r="132" s="238" customFormat="1" ht="25.5" customHeight="1" x14ac:dyDescent="0.25"/>
    <row r="133" s="238" customFormat="1" ht="24" customHeight="1" x14ac:dyDescent="0.25"/>
    <row r="134" s="238" customFormat="1" ht="22.5" customHeight="1" x14ac:dyDescent="0.25"/>
    <row r="135" ht="31.5" customHeight="1" x14ac:dyDescent="0.25"/>
  </sheetData>
  <sheetProtection algorithmName="SHA-512" hashValue="5e4v/z8Zjdb+JJHTwYgxibZIIgU6GPzjMkY1iXDQtqvgTegAd7Ey4QZOF+u9AKvcHNbUfvXa+BDJSgxNKJU0EQ==" saltValue="CLj4OWYjR3lzYOHMXJzzhA==" spinCount="100000" sheet="1" formatCells="0" formatColumns="0" formatRows="0"/>
  <mergeCells count="25">
    <mergeCell ref="C1:K1"/>
    <mergeCell ref="A2:A4"/>
    <mergeCell ref="B2:I2"/>
    <mergeCell ref="B3:C3"/>
    <mergeCell ref="D3:E3"/>
    <mergeCell ref="F3:G3"/>
    <mergeCell ref="H3:I3"/>
    <mergeCell ref="A5:A11"/>
    <mergeCell ref="J12:J17"/>
    <mergeCell ref="K12:K17"/>
    <mergeCell ref="K18:K23"/>
    <mergeCell ref="J30:J32"/>
    <mergeCell ref="K30:K32"/>
    <mergeCell ref="A30:A32"/>
    <mergeCell ref="K24:K29"/>
    <mergeCell ref="A12:A17"/>
    <mergeCell ref="A18:A23"/>
    <mergeCell ref="A24:A29"/>
    <mergeCell ref="B33:K33"/>
    <mergeCell ref="J2:J4"/>
    <mergeCell ref="K2:K4"/>
    <mergeCell ref="J5:J11"/>
    <mergeCell ref="K5:K11"/>
    <mergeCell ref="J18:J23"/>
    <mergeCell ref="J24:J29"/>
  </mergeCells>
  <dataValidations count="8">
    <dataValidation type="list" allowBlank="1" showInputMessage="1" showErrorMessage="1" sqref="B14:B32 B5:B12" xr:uid="{698B2120-12C5-4352-A2BA-F3891FCBE2FC}">
      <formula1>$B$37:$B$42</formula1>
    </dataValidation>
    <dataValidation type="list" allowBlank="1" showInputMessage="1" showErrorMessage="1" sqref="D5:D14 D18:D32" xr:uid="{D7CA491D-CAED-43B4-A5C1-E9B4484E33CA}">
      <formula1>$A$37:$A$42</formula1>
    </dataValidation>
    <dataValidation type="list" allowBlank="1" showInputMessage="1" showErrorMessage="1" sqref="D15:D17" xr:uid="{E5C15AFC-84AC-42EC-8349-6327A5CC8C9B}">
      <formula1>$A$12:$A$17</formula1>
    </dataValidation>
    <dataValidation type="list" allowBlank="1" showErrorMessage="1" sqref="F5:F7" xr:uid="{0DA7F72F-DD32-4962-BE47-0F4FB1D16876}">
      <formula1>$C$25:$C$34</formula1>
    </dataValidation>
    <dataValidation type="list" allowBlank="1" showErrorMessage="1" sqref="B13" xr:uid="{6D899FFE-E14F-488E-B5EB-686E9ADE1F18}">
      <formula1>$B$25:$B$34</formula1>
    </dataValidation>
    <dataValidation type="list" allowBlank="1" showInputMessage="1" showErrorMessage="1" sqref="D7:D9" xr:uid="{0B5D2E7E-85D9-4F1A-A137-A038902DBB55}">
      <formula1>$A$37:$A$43</formula1>
    </dataValidation>
    <dataValidation type="list" allowBlank="1" showInputMessage="1" showErrorMessage="1" sqref="F11:F32" xr:uid="{FD2EF114-7144-4929-A623-9D45CCC9FA6E}">
      <formula1>$C$37:$C$42</formula1>
    </dataValidation>
    <dataValidation type="list" allowBlank="1" showInputMessage="1" showErrorMessage="1" sqref="H5:H32" xr:uid="{2D34C4E7-9D48-4FFB-841A-82D68755C1EA}">
      <formula1>$D$37:$D$39</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B33:K33</xm:sqref>
        </x14:dataValidation>
        <x14:dataValidation type="list" allowBlank="1" showInputMessage="1" showErrorMessage="1" xr:uid="{6A79F4B0-8222-4F70-8F59-6F3F46BC1838}">
          <x14:formula1>
            <xm:f>Hoja1!$A$26:$A$39</xm:f>
          </x14:formula1>
          <xm:sqref>A12 A18 A24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opLeftCell="BU1" zoomScale="70" zoomScaleNormal="70" zoomScaleSheetLayoutView="100" zoomScalePageLayoutView="55" workbookViewId="0">
      <pane ySplit="4" topLeftCell="A11" activePane="bottomLeft" state="frozen"/>
      <selection pane="bottomLeft" activeCell="BZ11" sqref="BZ11"/>
    </sheetView>
  </sheetViews>
  <sheetFormatPr baseColWidth="10" defaultColWidth="11.42578125" defaultRowHeight="16.5" customHeight="1" x14ac:dyDescent="0.3"/>
  <cols>
    <col min="1" max="1" width="4" style="2" bestFit="1" customWidth="1"/>
    <col min="2" max="4" width="18.7109375" style="93" customWidth="1"/>
    <col min="5" max="5" width="32.42578125" style="1" customWidth="1"/>
    <col min="6" max="6" width="18.42578125" style="2" hidden="1" customWidth="1"/>
    <col min="7" max="7" width="16.42578125" style="2" hidden="1" customWidth="1"/>
    <col min="8" max="8" width="16.140625" style="2" hidden="1" customWidth="1"/>
    <col min="9" max="9" width="19" style="172" hidden="1" customWidth="1"/>
    <col min="10" max="10" width="24.42578125" style="1" hidden="1" customWidth="1"/>
    <col min="11" max="11" width="16.5703125" style="1" hidden="1" customWidth="1"/>
    <col min="12" max="12" width="6.28515625" style="1" hidden="1" customWidth="1"/>
    <col min="13" max="13" width="27" style="1" hidden="1" customWidth="1"/>
    <col min="14" max="14" width="11" style="1" hidden="1" customWidth="1"/>
    <col min="15" max="15" width="17.5703125" style="1" hidden="1" customWidth="1"/>
    <col min="16" max="16" width="6.28515625" style="1" hidden="1" customWidth="1"/>
    <col min="17" max="17" width="20.42578125" style="1" hidden="1" customWidth="1"/>
    <col min="18" max="18" width="5.85546875" style="1" customWidth="1"/>
    <col min="19" max="19" width="31" style="1" customWidth="1"/>
    <col min="20" max="20" width="15.140625" style="1" hidden="1" customWidth="1"/>
    <col min="21" max="21" width="18.42578125" style="1" hidden="1" customWidth="1"/>
    <col min="22" max="22" width="21" style="1" hidden="1" customWidth="1"/>
    <col min="23" max="23" width="19.28515625" style="1" hidden="1" customWidth="1"/>
    <col min="24" max="24" width="28.42578125" style="1"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28.140625" style="1" customWidth="1"/>
    <col min="39" max="39" width="18.85546875" style="1" customWidth="1"/>
    <col min="40" max="40" width="22.140625" style="1" hidden="1" customWidth="1"/>
    <col min="41" max="41" width="20.5703125" style="135" hidden="1" customWidth="1"/>
    <col min="42" max="42" width="62.7109375" style="135" hidden="1" customWidth="1"/>
    <col min="43" max="43" width="20.5703125" style="1" hidden="1" customWidth="1"/>
    <col min="44" max="44" width="37" style="1" hidden="1" customWidth="1"/>
    <col min="45" max="45" width="20.5703125" style="135" hidden="1" customWidth="1"/>
    <col min="46" max="46" width="41.42578125" style="135" hidden="1" customWidth="1"/>
    <col min="47" max="47" width="20.5703125" style="135" customWidth="1"/>
    <col min="48" max="48" width="39" style="135" customWidth="1"/>
    <col min="49" max="49" width="21" style="135" customWidth="1"/>
    <col min="50" max="50" width="23" style="135" hidden="1" customWidth="1"/>
    <col min="51" max="51" width="63.140625" style="135" hidden="1" customWidth="1"/>
    <col min="52" max="52" width="24.140625" style="135" hidden="1" customWidth="1"/>
    <col min="53" max="53" width="16.85546875" style="135" hidden="1" customWidth="1"/>
    <col min="54" max="54" width="19.5703125" style="135" hidden="1" customWidth="1"/>
    <col min="55" max="55" width="23" style="1" hidden="1" customWidth="1"/>
    <col min="56" max="56" width="47.7109375" style="1" hidden="1" customWidth="1"/>
    <col min="57" max="57" width="18.85546875" style="1" hidden="1" customWidth="1"/>
    <col min="58" max="58" width="16.85546875" style="1" hidden="1" customWidth="1"/>
    <col min="59" max="59" width="19.5703125" style="1" hidden="1" customWidth="1"/>
    <col min="60" max="60" width="23" style="1" hidden="1" customWidth="1"/>
    <col min="61" max="61" width="73.140625" style="1" hidden="1" customWidth="1"/>
    <col min="62" max="62" width="18.85546875" style="1" hidden="1" customWidth="1"/>
    <col min="63" max="63" width="16.85546875" style="1" hidden="1" customWidth="1"/>
    <col min="64" max="64" width="19.5703125" style="1" hidden="1" customWidth="1"/>
    <col min="65" max="65" width="23" style="135" customWidth="1"/>
    <col min="66" max="66" width="42.7109375" style="135" customWidth="1"/>
    <col min="67" max="67" width="18.85546875" style="135" customWidth="1"/>
    <col min="68" max="68" width="16.85546875" style="135" customWidth="1"/>
    <col min="69" max="69" width="19.5703125" style="135" customWidth="1"/>
    <col min="70" max="70" width="20.5703125" style="144" customWidth="1"/>
    <col min="71" max="72" width="23" style="135" customWidth="1"/>
    <col min="73" max="73" width="18.5703125" style="135" customWidth="1"/>
    <col min="74" max="74" width="20.5703125" style="135" customWidth="1"/>
    <col min="75" max="75" width="23" style="135" customWidth="1"/>
    <col min="76" max="76" width="18.5703125" style="135" customWidth="1"/>
    <col min="77" max="77" width="20.5703125" style="297" customWidth="1"/>
    <col min="78" max="78" width="122.140625" style="135" customWidth="1"/>
    <col min="79" max="79" width="43.42578125" style="135" customWidth="1"/>
    <col min="80" max="80" width="84.5703125" style="135" customWidth="1"/>
    <col min="81" max="16384" width="11.42578125" style="135"/>
  </cols>
  <sheetData>
    <row r="1" spans="1:106" ht="16.5" customHeight="1" x14ac:dyDescent="0.3">
      <c r="A1" s="189"/>
      <c r="B1" s="190"/>
      <c r="C1" s="190"/>
      <c r="E1" s="3"/>
      <c r="F1" s="191"/>
      <c r="G1" s="189"/>
      <c r="H1" s="189"/>
      <c r="I1" s="192"/>
      <c r="J1" s="3"/>
      <c r="K1" s="3"/>
      <c r="L1" s="3"/>
      <c r="M1" s="3"/>
      <c r="N1" s="3"/>
      <c r="O1" s="3"/>
      <c r="P1" s="3"/>
      <c r="Q1" s="3"/>
      <c r="R1" s="3"/>
      <c r="S1" s="3"/>
      <c r="T1" s="3"/>
      <c r="U1" s="3"/>
      <c r="V1" s="3"/>
      <c r="W1" s="3"/>
      <c r="X1" s="3"/>
      <c r="Y1" s="3"/>
      <c r="Z1" s="3"/>
      <c r="AA1" s="3"/>
      <c r="AB1" s="3"/>
      <c r="AC1" s="3"/>
      <c r="AD1" s="3"/>
      <c r="AE1" s="3"/>
      <c r="AF1" s="3"/>
      <c r="AG1" s="3"/>
      <c r="AH1" s="3"/>
      <c r="AI1" s="3"/>
      <c r="AJ1" s="3"/>
      <c r="AK1" s="3"/>
      <c r="AL1" s="134"/>
      <c r="AM1" s="134"/>
      <c r="AN1" s="134"/>
      <c r="AO1" s="134"/>
      <c r="AP1" s="134"/>
      <c r="AQ1" s="134"/>
      <c r="AR1" s="134"/>
      <c r="AS1" s="134"/>
      <c r="AT1" s="134"/>
      <c r="AU1" s="134"/>
      <c r="AV1" s="134"/>
      <c r="AW1" s="134"/>
      <c r="AX1" s="134"/>
      <c r="AY1" s="134"/>
      <c r="AZ1" s="134"/>
      <c r="BA1" s="134"/>
      <c r="BB1" s="134"/>
      <c r="BC1" s="134"/>
      <c r="BD1" s="134"/>
      <c r="BE1" s="134"/>
      <c r="BF1" s="134"/>
      <c r="BG1" s="134"/>
      <c r="BH1" s="3"/>
      <c r="BI1" s="3"/>
      <c r="BJ1" s="3"/>
      <c r="BK1" s="3"/>
      <c r="BL1" s="3"/>
      <c r="BM1" s="134"/>
      <c r="BN1" s="134"/>
      <c r="BO1" s="134"/>
      <c r="BP1" s="134"/>
      <c r="BQ1" s="134"/>
      <c r="BR1" s="143"/>
      <c r="BS1" s="134"/>
      <c r="BT1" s="134"/>
      <c r="BU1" s="134"/>
      <c r="BV1" s="134"/>
      <c r="BW1" s="134"/>
      <c r="BX1" s="134"/>
      <c r="BY1" s="292"/>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row>
    <row r="2" spans="1:106" ht="16.5" customHeight="1" x14ac:dyDescent="0.3">
      <c r="A2" s="450" t="s">
        <v>137</v>
      </c>
      <c r="B2" s="451"/>
      <c r="C2" s="451"/>
      <c r="D2" s="451"/>
      <c r="E2" s="451"/>
      <c r="F2" s="451"/>
      <c r="G2" s="451"/>
      <c r="H2" s="451"/>
      <c r="I2" s="452"/>
      <c r="J2" s="450" t="s">
        <v>138</v>
      </c>
      <c r="K2" s="451"/>
      <c r="L2" s="451"/>
      <c r="M2" s="451"/>
      <c r="N2" s="451"/>
      <c r="O2" s="451"/>
      <c r="P2" s="451"/>
      <c r="Q2" s="452"/>
      <c r="R2" s="479" t="s">
        <v>139</v>
      </c>
      <c r="S2" s="479"/>
      <c r="T2" s="479"/>
      <c r="U2" s="479"/>
      <c r="V2" s="479"/>
      <c r="W2" s="479"/>
      <c r="X2" s="479"/>
      <c r="Y2" s="479"/>
      <c r="Z2" s="479"/>
      <c r="AA2" s="479"/>
      <c r="AB2" s="479"/>
      <c r="AC2" s="479"/>
      <c r="AD2" s="479"/>
      <c r="AE2" s="479" t="s">
        <v>140</v>
      </c>
      <c r="AF2" s="479"/>
      <c r="AG2" s="479"/>
      <c r="AH2" s="479"/>
      <c r="AI2" s="479"/>
      <c r="AJ2" s="479"/>
      <c r="AK2" s="479"/>
      <c r="AL2" s="489" t="s">
        <v>141</v>
      </c>
      <c r="AM2" s="489"/>
      <c r="AN2" s="489"/>
      <c r="AO2" s="489"/>
      <c r="AP2" s="489"/>
      <c r="AQ2" s="489"/>
      <c r="AR2" s="489"/>
      <c r="AS2" s="489"/>
      <c r="AT2" s="489"/>
      <c r="AU2" s="489"/>
      <c r="AV2" s="489"/>
      <c r="AW2" s="489"/>
      <c r="AX2" s="443" t="s">
        <v>142</v>
      </c>
      <c r="AY2" s="443"/>
      <c r="AZ2" s="443"/>
      <c r="BA2" s="443"/>
      <c r="BB2" s="443"/>
      <c r="BC2" s="443" t="s">
        <v>143</v>
      </c>
      <c r="BD2" s="443"/>
      <c r="BE2" s="443"/>
      <c r="BF2" s="443"/>
      <c r="BG2" s="443"/>
      <c r="BH2" s="443" t="s">
        <v>144</v>
      </c>
      <c r="BI2" s="443"/>
      <c r="BJ2" s="443"/>
      <c r="BK2" s="443"/>
      <c r="BL2" s="443"/>
      <c r="BM2" s="443" t="s">
        <v>145</v>
      </c>
      <c r="BN2" s="443"/>
      <c r="BO2" s="443"/>
      <c r="BP2" s="443"/>
      <c r="BQ2" s="443"/>
      <c r="BR2" s="487" t="s">
        <v>146</v>
      </c>
      <c r="BS2" s="487"/>
      <c r="BT2" s="487"/>
      <c r="BU2" s="487"/>
      <c r="BV2" s="456" t="s">
        <v>147</v>
      </c>
      <c r="BW2" s="456"/>
      <c r="BX2" s="456"/>
      <c r="BY2" s="447" t="s">
        <v>148</v>
      </c>
      <c r="BZ2" s="448"/>
      <c r="CA2" s="448"/>
      <c r="CB2" s="449"/>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row>
    <row r="3" spans="1:106" ht="16.5" customHeight="1" x14ac:dyDescent="0.3">
      <c r="A3" s="475" t="s">
        <v>149</v>
      </c>
      <c r="B3" s="476" t="s">
        <v>7</v>
      </c>
      <c r="C3" s="476" t="s">
        <v>9</v>
      </c>
      <c r="D3" s="477" t="s">
        <v>150</v>
      </c>
      <c r="E3" s="477" t="s">
        <v>21</v>
      </c>
      <c r="F3" s="479" t="s">
        <v>15</v>
      </c>
      <c r="G3" s="476" t="s">
        <v>17</v>
      </c>
      <c r="H3" s="476" t="s">
        <v>151</v>
      </c>
      <c r="I3" s="476" t="s">
        <v>23</v>
      </c>
      <c r="J3" s="476" t="s">
        <v>152</v>
      </c>
      <c r="K3" s="476" t="s">
        <v>153</v>
      </c>
      <c r="L3" s="477" t="s">
        <v>154</v>
      </c>
      <c r="M3" s="476" t="s">
        <v>155</v>
      </c>
      <c r="N3" s="490" t="s">
        <v>156</v>
      </c>
      <c r="O3" s="476" t="s">
        <v>157</v>
      </c>
      <c r="P3" s="479" t="s">
        <v>154</v>
      </c>
      <c r="Q3" s="476" t="s">
        <v>29</v>
      </c>
      <c r="R3" s="478" t="s">
        <v>158</v>
      </c>
      <c r="S3" s="476" t="s">
        <v>31</v>
      </c>
      <c r="T3" s="476" t="s">
        <v>33</v>
      </c>
      <c r="U3" s="480" t="s">
        <v>159</v>
      </c>
      <c r="V3" s="481"/>
      <c r="W3" s="481"/>
      <c r="X3" s="482"/>
      <c r="Y3" s="476" t="s">
        <v>160</v>
      </c>
      <c r="Z3" s="476"/>
      <c r="AA3" s="476"/>
      <c r="AB3" s="476"/>
      <c r="AC3" s="476"/>
      <c r="AD3" s="476"/>
      <c r="AE3" s="478" t="s">
        <v>161</v>
      </c>
      <c r="AF3" s="478" t="s">
        <v>162</v>
      </c>
      <c r="AG3" s="478" t="s">
        <v>154</v>
      </c>
      <c r="AH3" s="478" t="s">
        <v>163</v>
      </c>
      <c r="AI3" s="478" t="s">
        <v>154</v>
      </c>
      <c r="AJ3" s="478" t="s">
        <v>164</v>
      </c>
      <c r="AK3" s="478" t="s">
        <v>49</v>
      </c>
      <c r="AL3" s="465" t="s">
        <v>165</v>
      </c>
      <c r="AM3" s="465" t="s">
        <v>166</v>
      </c>
      <c r="AN3" s="465" t="s">
        <v>167</v>
      </c>
      <c r="AO3" s="465" t="s">
        <v>168</v>
      </c>
      <c r="AP3" s="465" t="s">
        <v>169</v>
      </c>
      <c r="AQ3" s="465" t="s">
        <v>168</v>
      </c>
      <c r="AR3" s="466" t="s">
        <v>170</v>
      </c>
      <c r="AS3" s="465" t="s">
        <v>168</v>
      </c>
      <c r="AT3" s="465" t="s">
        <v>171</v>
      </c>
      <c r="AU3" s="465" t="s">
        <v>168</v>
      </c>
      <c r="AV3" s="466" t="s">
        <v>172</v>
      </c>
      <c r="AW3" s="465" t="s">
        <v>53</v>
      </c>
      <c r="AX3" s="444" t="s">
        <v>173</v>
      </c>
      <c r="AY3" s="444" t="s">
        <v>174</v>
      </c>
      <c r="AZ3" s="444" t="s">
        <v>166</v>
      </c>
      <c r="BA3" s="444" t="s">
        <v>175</v>
      </c>
      <c r="BB3" s="444" t="s">
        <v>176</v>
      </c>
      <c r="BC3" s="444" t="s">
        <v>173</v>
      </c>
      <c r="BD3" s="444" t="s">
        <v>174</v>
      </c>
      <c r="BE3" s="444" t="s">
        <v>166</v>
      </c>
      <c r="BF3" s="444" t="s">
        <v>175</v>
      </c>
      <c r="BG3" s="444" t="s">
        <v>176</v>
      </c>
      <c r="BH3" s="444" t="s">
        <v>173</v>
      </c>
      <c r="BI3" s="444" t="s">
        <v>174</v>
      </c>
      <c r="BJ3" s="444" t="s">
        <v>166</v>
      </c>
      <c r="BK3" s="444" t="s">
        <v>175</v>
      </c>
      <c r="BL3" s="444" t="s">
        <v>176</v>
      </c>
      <c r="BM3" s="444" t="s">
        <v>173</v>
      </c>
      <c r="BN3" s="444" t="s">
        <v>174</v>
      </c>
      <c r="BO3" s="444" t="s">
        <v>166</v>
      </c>
      <c r="BP3" s="444" t="s">
        <v>175</v>
      </c>
      <c r="BQ3" s="444" t="s">
        <v>176</v>
      </c>
      <c r="BR3" s="488" t="s">
        <v>177</v>
      </c>
      <c r="BS3" s="488" t="s">
        <v>178</v>
      </c>
      <c r="BT3" s="488" t="s">
        <v>179</v>
      </c>
      <c r="BU3" s="488" t="s">
        <v>174</v>
      </c>
      <c r="BV3" s="457" t="s">
        <v>168</v>
      </c>
      <c r="BW3" s="457" t="s">
        <v>180</v>
      </c>
      <c r="BX3" s="457" t="s">
        <v>181</v>
      </c>
      <c r="BY3" s="492" t="s">
        <v>182</v>
      </c>
      <c r="BZ3" s="492" t="s">
        <v>183</v>
      </c>
      <c r="CA3" s="492" t="s">
        <v>184</v>
      </c>
      <c r="CB3" s="492" t="s">
        <v>185</v>
      </c>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row>
    <row r="4" spans="1:106" s="137" customFormat="1" ht="67.5" customHeight="1" x14ac:dyDescent="0.25">
      <c r="A4" s="475"/>
      <c r="B4" s="476"/>
      <c r="C4" s="476"/>
      <c r="D4" s="477"/>
      <c r="E4" s="477"/>
      <c r="F4" s="479"/>
      <c r="G4" s="476"/>
      <c r="H4" s="476"/>
      <c r="I4" s="476"/>
      <c r="J4" s="476"/>
      <c r="K4" s="476"/>
      <c r="L4" s="477"/>
      <c r="M4" s="476"/>
      <c r="N4" s="491"/>
      <c r="O4" s="479"/>
      <c r="P4" s="479"/>
      <c r="Q4" s="476"/>
      <c r="R4" s="478"/>
      <c r="S4" s="476"/>
      <c r="T4" s="476"/>
      <c r="U4" s="193" t="s">
        <v>186</v>
      </c>
      <c r="V4" s="193" t="s">
        <v>187</v>
      </c>
      <c r="W4" s="193" t="s">
        <v>188</v>
      </c>
      <c r="X4" s="193" t="s">
        <v>189</v>
      </c>
      <c r="Y4" s="194" t="s">
        <v>70</v>
      </c>
      <c r="Z4" s="194" t="s">
        <v>190</v>
      </c>
      <c r="AA4" s="194" t="s">
        <v>191</v>
      </c>
      <c r="AB4" s="194" t="s">
        <v>192</v>
      </c>
      <c r="AC4" s="194" t="s">
        <v>193</v>
      </c>
      <c r="AD4" s="194" t="s">
        <v>175</v>
      </c>
      <c r="AE4" s="478"/>
      <c r="AF4" s="478"/>
      <c r="AG4" s="478"/>
      <c r="AH4" s="478"/>
      <c r="AI4" s="478"/>
      <c r="AJ4" s="478"/>
      <c r="AK4" s="478"/>
      <c r="AL4" s="465"/>
      <c r="AM4" s="465"/>
      <c r="AN4" s="465"/>
      <c r="AO4" s="465"/>
      <c r="AP4" s="465"/>
      <c r="AQ4" s="465"/>
      <c r="AR4" s="467"/>
      <c r="AS4" s="465"/>
      <c r="AT4" s="465"/>
      <c r="AU4" s="465"/>
      <c r="AV4" s="467"/>
      <c r="AW4" s="465"/>
      <c r="AX4" s="444"/>
      <c r="AY4" s="444"/>
      <c r="AZ4" s="444"/>
      <c r="BA4" s="444"/>
      <c r="BB4" s="444"/>
      <c r="BC4" s="444"/>
      <c r="BD4" s="444"/>
      <c r="BE4" s="444"/>
      <c r="BF4" s="444"/>
      <c r="BG4" s="444"/>
      <c r="BH4" s="444"/>
      <c r="BI4" s="444"/>
      <c r="BJ4" s="444"/>
      <c r="BK4" s="444"/>
      <c r="BL4" s="444"/>
      <c r="BM4" s="444"/>
      <c r="BN4" s="444"/>
      <c r="BO4" s="444"/>
      <c r="BP4" s="444"/>
      <c r="BQ4" s="444"/>
      <c r="BR4" s="488"/>
      <c r="BS4" s="488"/>
      <c r="BT4" s="488"/>
      <c r="BU4" s="488"/>
      <c r="BV4" s="457"/>
      <c r="BW4" s="457"/>
      <c r="BX4" s="457"/>
      <c r="BY4" s="492"/>
      <c r="BZ4" s="492"/>
      <c r="CA4" s="492"/>
      <c r="CB4" s="492"/>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row>
    <row r="5" spans="1:106" s="139" customFormat="1" ht="337.5" customHeight="1" x14ac:dyDescent="0.25">
      <c r="A5" s="445">
        <v>1</v>
      </c>
      <c r="B5" s="474" t="s">
        <v>72</v>
      </c>
      <c r="C5" s="474" t="s">
        <v>125</v>
      </c>
      <c r="D5" s="474" t="s">
        <v>194</v>
      </c>
      <c r="E5" s="474" t="s">
        <v>195</v>
      </c>
      <c r="F5" s="474" t="s">
        <v>196</v>
      </c>
      <c r="G5" s="474" t="s">
        <v>197</v>
      </c>
      <c r="H5" s="474" t="s">
        <v>198</v>
      </c>
      <c r="I5" s="474" t="s">
        <v>199</v>
      </c>
      <c r="J5" s="483">
        <v>84</v>
      </c>
      <c r="K5" s="473" t="str">
        <f>IF(J5&lt;=0,"",IF(J5&lt;=2,"Muy Baja",IF(J5&lt;=24,"Baja",IF(J5&lt;=500,"Media",IF(J5&lt;=5000,"Alta","Muy Alta")))))</f>
        <v>Media</v>
      </c>
      <c r="L5" s="470">
        <f>IF(K5="","",IF(K5="Muy Baja",0.2,IF(K5="Baja",0.4,IF(K5="Media",0.6,IF(K5="Alta",0.8,IF(K5="Muy Alta",1,))))))</f>
        <v>0.6</v>
      </c>
      <c r="M5" s="484" t="s">
        <v>200</v>
      </c>
      <c r="N5" s="468"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469" t="str">
        <f ca="1">IF(OR(N5='Tabla Impacto'!$C$11,N5='Tabla Impacto'!$D$11),"Leve",IF(OR(N5='Tabla Impacto'!$C$12,N5='Tabla Impacto'!$D$12),"Menor",IF(OR(N5='Tabla Impacto'!$C$13,N5='Tabla Impacto'!$D$13),"Moderado",IF(OR(N5='Tabla Impacto'!$C$14,N5='Tabla Impacto'!$D$14),"Mayor",IF(OR(N5='Tabla Impacto'!$C$15,N5='Tabla Impacto'!$D$15),"Catastrófico","")))))</f>
        <v>Mayor</v>
      </c>
      <c r="P5" s="468">
        <f ca="1">IF(O5="","",IF(O5="Leve",0.2,IF(O5="Menor",0.4,IF(O5="Moderado",0.6,IF(O5="Mayor",0.8,IF(O5="Catastrófico",1,))))))</f>
        <v>0.8</v>
      </c>
      <c r="Q5" s="471"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76">
        <v>1</v>
      </c>
      <c r="S5" s="196" t="s">
        <v>201</v>
      </c>
      <c r="T5" s="169" t="str">
        <f t="shared" ref="T5:T37" si="0">IF(OR(Y5="Preventivo",Y5="Detectivo"),"Probabilidad",IF(Y5="Correctivo","Impacto",""))</f>
        <v>Probabilidad</v>
      </c>
      <c r="U5" s="187" t="s">
        <v>202</v>
      </c>
      <c r="V5" s="187" t="s">
        <v>202</v>
      </c>
      <c r="W5" s="187" t="s">
        <v>202</v>
      </c>
      <c r="X5" s="187" t="s">
        <v>202</v>
      </c>
      <c r="Y5" s="197" t="s">
        <v>203</v>
      </c>
      <c r="Z5" s="197" t="s">
        <v>204</v>
      </c>
      <c r="AA5" s="97" t="str">
        <f t="shared" ref="AA5:AA36" si="1">IF(AND(Y5="Preventivo",Z5="Automático"),"50%",IF(AND(Y5="Preventivo",Z5="Manual"),"40%",IF(AND(Y5="Detectivo",Z5="Automático"),"40%",IF(AND(Y5="Detectivo",Z5="Manual"),"30%",IF(AND(Y5="Correctivo",Z5="Automático"),"35%",IF(AND(Y5="Correctivo",Z5="Manual"),"25%",""))))))</f>
        <v>40%</v>
      </c>
      <c r="AB5" s="197" t="s">
        <v>205</v>
      </c>
      <c r="AC5" s="197" t="s">
        <v>206</v>
      </c>
      <c r="AD5" s="197" t="s">
        <v>207</v>
      </c>
      <c r="AE5" s="141">
        <f>IFERROR(IF(T5="Probabilidad",(L5-(+L5*AA5)),IF(T5="Impacto",L5,"")),"")</f>
        <v>0.36</v>
      </c>
      <c r="AF5" s="130" t="str">
        <f>IFERROR(IF(AE5="","",IF(AE5&lt;=0.2,"Muy Baja",IF(AE5&lt;=0.4,"Baja",IF(AE5&lt;=0.6,"Media",IF(AE5&lt;=0.8,"Alta","Muy Alta"))))),"")</f>
        <v>Baja</v>
      </c>
      <c r="AG5" s="97">
        <f t="shared" ref="AG5:AG36" si="2">+AE5</f>
        <v>0.36</v>
      </c>
      <c r="AH5" s="130" t="str">
        <f ca="1">IFERROR(IF(AI5="","",IF(AI5&lt;=0.2,"Leve",IF(AI5&lt;=0.4,"Menor",IF(AI5&lt;=0.6,"Moderado",IF(AI5&lt;=0.8,"Mayor","Catastrófico"))))),"")</f>
        <v>Mayor</v>
      </c>
      <c r="AI5" s="97">
        <f ca="1">IFERROR(IF(T5="Impacto",(P5-(+P5*AA5)),IF(T5="Probabilidad",P5,"")),"")</f>
        <v>0.8</v>
      </c>
      <c r="AJ5" s="98"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453" t="s">
        <v>208</v>
      </c>
      <c r="AL5" s="177" t="s">
        <v>209</v>
      </c>
      <c r="AM5" s="177" t="s">
        <v>210</v>
      </c>
      <c r="AN5" s="186">
        <v>45291</v>
      </c>
      <c r="AO5" s="199" t="s">
        <v>211</v>
      </c>
      <c r="AP5" s="261" t="s">
        <v>212</v>
      </c>
      <c r="AQ5" s="177" t="s">
        <v>213</v>
      </c>
      <c r="AR5" s="177" t="s">
        <v>214</v>
      </c>
      <c r="AS5" s="199" t="s">
        <v>215</v>
      </c>
      <c r="AT5" s="185" t="s">
        <v>216</v>
      </c>
      <c r="AU5" s="133" t="s">
        <v>217</v>
      </c>
      <c r="AV5" s="331" t="s">
        <v>218</v>
      </c>
      <c r="AW5" s="131"/>
      <c r="AX5" s="199" t="s">
        <v>219</v>
      </c>
      <c r="AY5" s="261" t="s">
        <v>220</v>
      </c>
      <c r="AZ5" s="185" t="s">
        <v>221</v>
      </c>
      <c r="BA5" s="199" t="s">
        <v>222</v>
      </c>
      <c r="BB5" s="188" t="s">
        <v>223</v>
      </c>
      <c r="BC5" s="199" t="s">
        <v>224</v>
      </c>
      <c r="BD5" s="185" t="s">
        <v>225</v>
      </c>
      <c r="BE5" s="185" t="s">
        <v>226</v>
      </c>
      <c r="BF5" s="199" t="s">
        <v>227</v>
      </c>
      <c r="BG5" s="188" t="s">
        <v>223</v>
      </c>
      <c r="BH5" s="199" t="s">
        <v>228</v>
      </c>
      <c r="BI5" s="185" t="s">
        <v>229</v>
      </c>
      <c r="BJ5" s="185" t="s">
        <v>230</v>
      </c>
      <c r="BK5" s="185" t="s">
        <v>231</v>
      </c>
      <c r="BL5" s="188"/>
      <c r="BM5" s="133" t="s">
        <v>232</v>
      </c>
      <c r="BN5" s="331" t="s">
        <v>233</v>
      </c>
      <c r="BO5" s="170" t="s">
        <v>234</v>
      </c>
      <c r="BP5" s="170" t="s">
        <v>235</v>
      </c>
      <c r="BQ5" s="99"/>
      <c r="BR5" s="171" t="s">
        <v>236</v>
      </c>
      <c r="BS5" s="170"/>
      <c r="BT5" s="170"/>
      <c r="BU5" s="170"/>
      <c r="BV5" s="133" t="s">
        <v>835</v>
      </c>
      <c r="BW5" s="259" t="s">
        <v>838</v>
      </c>
      <c r="BX5" s="259" t="s">
        <v>839</v>
      </c>
      <c r="BY5" s="293" t="s">
        <v>238</v>
      </c>
      <c r="BZ5" s="288" t="s">
        <v>239</v>
      </c>
      <c r="CA5" s="289" t="s">
        <v>240</v>
      </c>
      <c r="CB5" s="289" t="s">
        <v>241</v>
      </c>
    </row>
    <row r="6" spans="1:106" ht="409.5" customHeight="1" x14ac:dyDescent="0.3">
      <c r="A6" s="445"/>
      <c r="B6" s="460"/>
      <c r="C6" s="460"/>
      <c r="D6" s="460"/>
      <c r="E6" s="460"/>
      <c r="F6" s="460"/>
      <c r="G6" s="460"/>
      <c r="H6" s="460"/>
      <c r="I6" s="460"/>
      <c r="J6" s="483"/>
      <c r="K6" s="473"/>
      <c r="L6" s="470"/>
      <c r="M6" s="485"/>
      <c r="N6" s="460"/>
      <c r="O6" s="460"/>
      <c r="P6" s="460"/>
      <c r="Q6" s="471"/>
      <c r="R6" s="176">
        <v>2</v>
      </c>
      <c r="S6" s="196" t="s">
        <v>242</v>
      </c>
      <c r="T6" s="169" t="str">
        <f t="shared" si="0"/>
        <v>Probabilidad</v>
      </c>
      <c r="U6" s="187" t="s">
        <v>202</v>
      </c>
      <c r="V6" s="187" t="s">
        <v>202</v>
      </c>
      <c r="W6" s="187" t="s">
        <v>202</v>
      </c>
      <c r="X6" s="187" t="s">
        <v>202</v>
      </c>
      <c r="Y6" s="197" t="s">
        <v>203</v>
      </c>
      <c r="Z6" s="197" t="s">
        <v>204</v>
      </c>
      <c r="AA6" s="97" t="str">
        <f t="shared" si="1"/>
        <v>40%</v>
      </c>
      <c r="AB6" s="197" t="s">
        <v>205</v>
      </c>
      <c r="AC6" s="197" t="s">
        <v>206</v>
      </c>
      <c r="AD6" s="197" t="s">
        <v>207</v>
      </c>
      <c r="AE6" s="141">
        <f>IFERROR(IF(AND(T5="Probabilidad",T6="Probabilidad"),(AG5-(+AG5*AA6)),IF(T6="Probabilidad",(L5-(+L5*AA6)),IF(T6="Impacto",AG5,""))),"")</f>
        <v>0.216</v>
      </c>
      <c r="AF6" s="130" t="str">
        <f t="shared" ref="AF6:AF64" si="4">IFERROR(IF(AE6="","",IF(AE6&lt;=0.2,"Muy Baja",IF(AE6&lt;=0.4,"Baja",IF(AE6&lt;=0.6,"Media",IF(AE6&lt;=0.8,"Alta","Muy Alta"))))),"")</f>
        <v>Baja</v>
      </c>
      <c r="AG6" s="97">
        <f t="shared" si="2"/>
        <v>0.216</v>
      </c>
      <c r="AH6" s="130" t="str">
        <f t="shared" ref="AH6:AH64" ca="1" si="5">IFERROR(IF(AI6="","",IF(AI6&lt;=0.2,"Leve",IF(AI6&lt;=0.4,"Menor",IF(AI6&lt;=0.6,"Moderado",IF(AI6&lt;=0.8,"Mayor","Catastrófico"))))),"")</f>
        <v>Mayor</v>
      </c>
      <c r="AI6" s="97">
        <f ca="1">IFERROR(IF(AND(T5="Impacto",T6="Impacto"),(AI5-(+AI5*AA6)),IF(T6="Impacto",($P$5-(+$P$5*AA6)),IF(T6="Probabilidad",AI5,""))),"")</f>
        <v>0.8</v>
      </c>
      <c r="AJ6" s="98" t="str">
        <f t="shared" ca="1" si="3"/>
        <v>Alto</v>
      </c>
      <c r="AK6" s="454"/>
      <c r="AL6" s="177" t="s">
        <v>243</v>
      </c>
      <c r="AM6" s="177" t="s">
        <v>210</v>
      </c>
      <c r="AN6" s="186">
        <v>45291</v>
      </c>
      <c r="AO6" s="199" t="s">
        <v>244</v>
      </c>
      <c r="AP6" s="261" t="s">
        <v>245</v>
      </c>
      <c r="AQ6" s="177" t="s">
        <v>246</v>
      </c>
      <c r="AR6" s="177" t="s">
        <v>247</v>
      </c>
      <c r="AS6" s="199" t="s">
        <v>248</v>
      </c>
      <c r="AT6" s="185" t="s">
        <v>249</v>
      </c>
      <c r="AU6" s="133" t="s">
        <v>250</v>
      </c>
      <c r="AV6" s="170" t="s">
        <v>251</v>
      </c>
      <c r="AW6" s="131"/>
      <c r="AX6" s="199" t="s">
        <v>252</v>
      </c>
      <c r="AY6" s="261" t="s">
        <v>253</v>
      </c>
      <c r="AZ6" s="185" t="s">
        <v>254</v>
      </c>
      <c r="BA6" s="199" t="s">
        <v>255</v>
      </c>
      <c r="BB6" s="188" t="s">
        <v>223</v>
      </c>
      <c r="BC6" s="199" t="s">
        <v>256</v>
      </c>
      <c r="BD6" s="185" t="s">
        <v>257</v>
      </c>
      <c r="BE6" s="185" t="s">
        <v>226</v>
      </c>
      <c r="BF6" s="199" t="s">
        <v>258</v>
      </c>
      <c r="BG6" s="188" t="s">
        <v>223</v>
      </c>
      <c r="BH6" s="199" t="s">
        <v>259</v>
      </c>
      <c r="BI6" s="185" t="s">
        <v>260</v>
      </c>
      <c r="BJ6" s="185" t="s">
        <v>261</v>
      </c>
      <c r="BK6" s="185" t="s">
        <v>262</v>
      </c>
      <c r="BL6" s="188"/>
      <c r="BM6" s="133" t="s">
        <v>250</v>
      </c>
      <c r="BN6" s="331" t="s">
        <v>263</v>
      </c>
      <c r="BO6" s="170" t="s">
        <v>234</v>
      </c>
      <c r="BP6" s="133" t="s">
        <v>264</v>
      </c>
      <c r="BQ6" s="99"/>
      <c r="BR6" s="132"/>
      <c r="BS6" s="170"/>
      <c r="BT6" s="170"/>
      <c r="BU6" s="170"/>
      <c r="BV6" s="133" t="s">
        <v>835</v>
      </c>
      <c r="BW6" s="259" t="s">
        <v>837</v>
      </c>
      <c r="BX6" s="259" t="s">
        <v>840</v>
      </c>
      <c r="BY6" s="293" t="s">
        <v>265</v>
      </c>
      <c r="BZ6" s="332" t="s">
        <v>266</v>
      </c>
      <c r="CA6" s="289" t="s">
        <v>267</v>
      </c>
      <c r="CB6" s="289" t="s">
        <v>268</v>
      </c>
    </row>
    <row r="7" spans="1:106" ht="378.95" customHeight="1" x14ac:dyDescent="0.3">
      <c r="A7" s="445"/>
      <c r="B7" s="460"/>
      <c r="C7" s="460"/>
      <c r="D7" s="460"/>
      <c r="E7" s="460"/>
      <c r="F7" s="460"/>
      <c r="G7" s="460"/>
      <c r="H7" s="460"/>
      <c r="I7" s="460"/>
      <c r="J7" s="483"/>
      <c r="K7" s="473"/>
      <c r="L7" s="470"/>
      <c r="M7" s="485"/>
      <c r="N7" s="460"/>
      <c r="O7" s="460"/>
      <c r="P7" s="460"/>
      <c r="Q7" s="471"/>
      <c r="R7" s="176">
        <v>3</v>
      </c>
      <c r="S7" s="196" t="s">
        <v>269</v>
      </c>
      <c r="T7" s="169" t="str">
        <f t="shared" si="0"/>
        <v>Probabilidad</v>
      </c>
      <c r="U7" s="187" t="s">
        <v>202</v>
      </c>
      <c r="V7" s="187" t="s">
        <v>202</v>
      </c>
      <c r="W7" s="187" t="s">
        <v>202</v>
      </c>
      <c r="X7" s="187" t="s">
        <v>202</v>
      </c>
      <c r="Y7" s="197" t="s">
        <v>270</v>
      </c>
      <c r="Z7" s="197" t="s">
        <v>204</v>
      </c>
      <c r="AA7" s="97" t="str">
        <f t="shared" si="1"/>
        <v>30%</v>
      </c>
      <c r="AB7" s="197" t="s">
        <v>205</v>
      </c>
      <c r="AC7" s="197" t="s">
        <v>206</v>
      </c>
      <c r="AD7" s="197" t="s">
        <v>207</v>
      </c>
      <c r="AE7" s="141">
        <f>IFERROR(IF(AND(T6="Probabilidad",T7="Probabilidad"),(AG6-(+AG6*AA7)),IF(AND(T6="Impacto",T7="Probabilidad"),(AG5-(+AG5*AA7)),IF(T7="Impacto",AG6,""))),"")</f>
        <v>0.1512</v>
      </c>
      <c r="AF7" s="130" t="str">
        <f t="shared" si="4"/>
        <v>Muy Baja</v>
      </c>
      <c r="AG7" s="97">
        <f t="shared" si="2"/>
        <v>0.1512</v>
      </c>
      <c r="AH7" s="130" t="str">
        <f t="shared" ca="1" si="5"/>
        <v>Mayor</v>
      </c>
      <c r="AI7" s="97">
        <f ca="1">IFERROR(IF(AND(T6="Impacto",T7="Impacto"),(AI6-(+AI6*AA7)),IF(AND(T6="Probabilidad",T7="Impacto"),(AI5-(+AI5*AA7)),IF(T7="Probabilidad",AI6,""))),"")</f>
        <v>0.8</v>
      </c>
      <c r="AJ7" s="98" t="str">
        <f t="shared" ca="1" si="3"/>
        <v>Alto</v>
      </c>
      <c r="AK7" s="454"/>
      <c r="AL7" s="177"/>
      <c r="AM7" s="177"/>
      <c r="AN7" s="186"/>
      <c r="AO7" s="199" t="s">
        <v>271</v>
      </c>
      <c r="AP7" s="261" t="s">
        <v>272</v>
      </c>
      <c r="AQ7" s="199"/>
      <c r="AR7" s="185"/>
      <c r="AS7" s="188"/>
      <c r="AT7" s="185"/>
      <c r="AU7" s="99"/>
      <c r="AV7" s="170"/>
      <c r="AW7" s="131"/>
      <c r="AX7" s="199" t="s">
        <v>271</v>
      </c>
      <c r="AY7" s="261" t="s">
        <v>273</v>
      </c>
      <c r="AZ7" s="185" t="s">
        <v>254</v>
      </c>
      <c r="BA7" s="199" t="s">
        <v>274</v>
      </c>
      <c r="BB7" s="188" t="s">
        <v>223</v>
      </c>
      <c r="BC7" s="199" t="s">
        <v>275</v>
      </c>
      <c r="BD7" s="185" t="s">
        <v>276</v>
      </c>
      <c r="BE7" s="185" t="s">
        <v>226</v>
      </c>
      <c r="BF7" s="199" t="s">
        <v>277</v>
      </c>
      <c r="BG7" s="188" t="s">
        <v>223</v>
      </c>
      <c r="BH7" s="199" t="s">
        <v>278</v>
      </c>
      <c r="BI7" s="185" t="s">
        <v>279</v>
      </c>
      <c r="BJ7" s="185" t="s">
        <v>230</v>
      </c>
      <c r="BK7" s="185" t="s">
        <v>280</v>
      </c>
      <c r="BL7" s="188"/>
      <c r="BM7" s="133" t="s">
        <v>250</v>
      </c>
      <c r="BN7" s="331" t="s">
        <v>281</v>
      </c>
      <c r="BO7" s="170" t="s">
        <v>234</v>
      </c>
      <c r="BP7" s="99" t="s">
        <v>282</v>
      </c>
      <c r="BQ7" s="99"/>
      <c r="BR7" s="133"/>
      <c r="BS7" s="170"/>
      <c r="BT7" s="170"/>
      <c r="BU7" s="170"/>
      <c r="BV7" s="133" t="s">
        <v>835</v>
      </c>
      <c r="BW7" s="259" t="s">
        <v>836</v>
      </c>
      <c r="BX7" s="260"/>
      <c r="BY7" s="294" t="s">
        <v>283</v>
      </c>
      <c r="BZ7" s="289" t="s">
        <v>284</v>
      </c>
      <c r="CA7" s="289" t="s">
        <v>285</v>
      </c>
      <c r="CB7" s="289" t="s">
        <v>286</v>
      </c>
    </row>
    <row r="8" spans="1:106" ht="36" customHeight="1" x14ac:dyDescent="0.3">
      <c r="A8" s="445"/>
      <c r="B8" s="460"/>
      <c r="C8" s="460"/>
      <c r="D8" s="460"/>
      <c r="E8" s="460"/>
      <c r="F8" s="460"/>
      <c r="G8" s="460"/>
      <c r="H8" s="460"/>
      <c r="I8" s="460"/>
      <c r="J8" s="483"/>
      <c r="K8" s="473"/>
      <c r="L8" s="470"/>
      <c r="M8" s="485"/>
      <c r="N8" s="460"/>
      <c r="O8" s="460"/>
      <c r="P8" s="460"/>
      <c r="Q8" s="471"/>
      <c r="R8" s="176">
        <v>4</v>
      </c>
      <c r="S8" s="184"/>
      <c r="T8" s="169" t="str">
        <f t="shared" si="0"/>
        <v/>
      </c>
      <c r="U8" s="169"/>
      <c r="V8" s="169"/>
      <c r="W8" s="169"/>
      <c r="X8" s="169"/>
      <c r="Y8" s="195"/>
      <c r="Z8" s="195"/>
      <c r="AA8" s="97" t="str">
        <f t="shared" si="1"/>
        <v/>
      </c>
      <c r="AB8" s="195"/>
      <c r="AC8" s="195"/>
      <c r="AD8" s="195"/>
      <c r="AE8" s="141" t="str">
        <f>IFERROR(IF(AND(T7="Probabilidad",T8="Probabilidad"),(AG7-(+AG7*AA8)),IF(AND(T7="Impacto",T8="Probabilidad"),(AG6-(+AG6*AA8)),IF(T8="Impacto",AG7,""))),"")</f>
        <v/>
      </c>
      <c r="AF8" s="130" t="str">
        <f t="shared" si="4"/>
        <v/>
      </c>
      <c r="AG8" s="97" t="str">
        <f t="shared" si="2"/>
        <v/>
      </c>
      <c r="AH8" s="130" t="str">
        <f t="shared" si="5"/>
        <v/>
      </c>
      <c r="AI8" s="97" t="str">
        <f>IFERROR(IF(AND(T7="Impacto",T8="Impacto"),(AI7-(+AI7*AA8)),IF(AND(T7="Probabilidad",T8="Impacto"),(AI6-(+AI6*AA8)),IF(T8="Probabilidad",AI7,""))),"")</f>
        <v/>
      </c>
      <c r="AJ8" s="98" t="str">
        <f t="shared" si="3"/>
        <v/>
      </c>
      <c r="AK8" s="454"/>
      <c r="AL8" s="185"/>
      <c r="AM8" s="176"/>
      <c r="AN8" s="188"/>
      <c r="AO8" s="188"/>
      <c r="AP8" s="185"/>
      <c r="AQ8" s="188"/>
      <c r="AR8" s="185"/>
      <c r="AS8" s="188"/>
      <c r="AT8" s="185"/>
      <c r="AU8" s="99"/>
      <c r="AV8" s="170"/>
      <c r="AW8" s="131"/>
      <c r="AX8" s="185"/>
      <c r="AY8" s="185"/>
      <c r="AZ8" s="176"/>
      <c r="BA8" s="188"/>
      <c r="BB8" s="188"/>
      <c r="BC8" s="185"/>
      <c r="BD8" s="185"/>
      <c r="BE8" s="176"/>
      <c r="BF8" s="188"/>
      <c r="BG8" s="188"/>
      <c r="BH8" s="185"/>
      <c r="BI8" s="185"/>
      <c r="BJ8" s="176"/>
      <c r="BK8" s="188"/>
      <c r="BL8" s="188"/>
      <c r="BM8" s="170"/>
      <c r="BN8" s="170"/>
      <c r="BO8" s="131"/>
      <c r="BP8" s="99"/>
      <c r="BQ8" s="99"/>
      <c r="BR8" s="133"/>
      <c r="BS8" s="170"/>
      <c r="BT8" s="170"/>
      <c r="BU8" s="170"/>
      <c r="BV8" s="99"/>
      <c r="BW8" s="170"/>
      <c r="BX8" s="170"/>
      <c r="BY8" s="295"/>
      <c r="BZ8" s="289"/>
      <c r="CA8" s="290"/>
      <c r="CB8" s="289"/>
    </row>
    <row r="9" spans="1:106" x14ac:dyDescent="0.3">
      <c r="A9" s="445"/>
      <c r="B9" s="460"/>
      <c r="C9" s="460"/>
      <c r="D9" s="460"/>
      <c r="E9" s="460"/>
      <c r="F9" s="460"/>
      <c r="G9" s="460"/>
      <c r="H9" s="460"/>
      <c r="I9" s="460"/>
      <c r="J9" s="483"/>
      <c r="K9" s="473"/>
      <c r="L9" s="470"/>
      <c r="M9" s="485"/>
      <c r="N9" s="460"/>
      <c r="O9" s="460"/>
      <c r="P9" s="460"/>
      <c r="Q9" s="471"/>
      <c r="R9" s="176">
        <v>5</v>
      </c>
      <c r="S9" s="184"/>
      <c r="T9" s="169" t="str">
        <f t="shared" si="0"/>
        <v/>
      </c>
      <c r="U9" s="169"/>
      <c r="V9" s="169"/>
      <c r="W9" s="169"/>
      <c r="X9" s="169"/>
      <c r="Y9" s="195"/>
      <c r="Z9" s="195"/>
      <c r="AA9" s="97" t="str">
        <f t="shared" si="1"/>
        <v/>
      </c>
      <c r="AB9" s="195"/>
      <c r="AC9" s="195"/>
      <c r="AD9" s="195"/>
      <c r="AE9" s="141" t="str">
        <f>IFERROR(IF(AND(T8="Probabilidad",T9="Probabilidad"),(AG8-(+AG8*AA9)),IF(AND(T8="Impacto",T9="Probabilidad"),(AG7-(+AG7*AA9)),IF(T9="Impacto",AG8,""))),"")</f>
        <v/>
      </c>
      <c r="AF9" s="130" t="str">
        <f t="shared" si="4"/>
        <v/>
      </c>
      <c r="AG9" s="97" t="str">
        <f t="shared" si="2"/>
        <v/>
      </c>
      <c r="AH9" s="130" t="str">
        <f t="shared" si="5"/>
        <v/>
      </c>
      <c r="AI9" s="97" t="str">
        <f>IFERROR(IF(AND(T8="Impacto",T9="Impacto"),(AI8-(+AI8*AA9)),IF(AND(T8="Probabilidad",T9="Impacto"),(AI7-(+AI7*AA9)),IF(T9="Probabilidad",AI8,""))),"")</f>
        <v/>
      </c>
      <c r="AJ9" s="98" t="str">
        <f t="shared" si="3"/>
        <v/>
      </c>
      <c r="AK9" s="454"/>
      <c r="AL9" s="185"/>
      <c r="AM9" s="176"/>
      <c r="AN9" s="188"/>
      <c r="AO9" s="188"/>
      <c r="AP9" s="185"/>
      <c r="AQ9" s="188"/>
      <c r="AR9" s="185"/>
      <c r="AS9" s="188"/>
      <c r="AT9" s="185"/>
      <c r="AU9" s="99"/>
      <c r="AV9" s="170"/>
      <c r="AW9" s="131"/>
      <c r="AX9" s="185"/>
      <c r="AY9" s="185"/>
      <c r="AZ9" s="176"/>
      <c r="BA9" s="188"/>
      <c r="BB9" s="188"/>
      <c r="BC9" s="185"/>
      <c r="BD9" s="185"/>
      <c r="BE9" s="176"/>
      <c r="BF9" s="188"/>
      <c r="BG9" s="188"/>
      <c r="BH9" s="185"/>
      <c r="BI9" s="185"/>
      <c r="BJ9" s="176"/>
      <c r="BK9" s="188"/>
      <c r="BL9" s="188"/>
      <c r="BM9" s="170"/>
      <c r="BN9" s="170"/>
      <c r="BO9" s="131"/>
      <c r="BP9" s="99"/>
      <c r="BQ9" s="99"/>
      <c r="BR9" s="133"/>
      <c r="BS9" s="170"/>
      <c r="BT9" s="170"/>
      <c r="BU9" s="170"/>
      <c r="BV9" s="99"/>
      <c r="BW9" s="170"/>
      <c r="BX9" s="170"/>
      <c r="BY9" s="295"/>
      <c r="BZ9" s="289"/>
      <c r="CA9" s="290"/>
      <c r="CB9" s="289"/>
    </row>
    <row r="10" spans="1:106" ht="24.75" customHeight="1" x14ac:dyDescent="0.3">
      <c r="A10" s="445"/>
      <c r="B10" s="461"/>
      <c r="C10" s="461"/>
      <c r="D10" s="461"/>
      <c r="E10" s="461"/>
      <c r="F10" s="461"/>
      <c r="G10" s="461"/>
      <c r="H10" s="461"/>
      <c r="I10" s="461"/>
      <c r="J10" s="483"/>
      <c r="K10" s="473"/>
      <c r="L10" s="470"/>
      <c r="M10" s="486"/>
      <c r="N10" s="461"/>
      <c r="O10" s="461"/>
      <c r="P10" s="461"/>
      <c r="Q10" s="471"/>
      <c r="R10" s="176">
        <v>6</v>
      </c>
      <c r="S10" s="184"/>
      <c r="T10" s="169" t="str">
        <f t="shared" si="0"/>
        <v/>
      </c>
      <c r="U10" s="169"/>
      <c r="V10" s="169"/>
      <c r="W10" s="169"/>
      <c r="X10" s="169"/>
      <c r="Y10" s="195"/>
      <c r="Z10" s="195"/>
      <c r="AA10" s="97" t="str">
        <f t="shared" si="1"/>
        <v/>
      </c>
      <c r="AB10" s="195"/>
      <c r="AC10" s="195"/>
      <c r="AD10" s="195"/>
      <c r="AE10" s="141" t="str">
        <f>IFERROR(IF(AND(T9="Probabilidad",T10="Probabilidad"),(AG9-(+AG9*AA10)),IF(AND(T9="Impacto",T10="Probabilidad"),(AG8-(+AG8*AA10)),IF(T10="Impacto",AG9,""))),"")</f>
        <v/>
      </c>
      <c r="AF10" s="130" t="str">
        <f t="shared" si="4"/>
        <v/>
      </c>
      <c r="AG10" s="97" t="str">
        <f t="shared" si="2"/>
        <v/>
      </c>
      <c r="AH10" s="130" t="str">
        <f t="shared" si="5"/>
        <v/>
      </c>
      <c r="AI10" s="97" t="str">
        <f>IFERROR(IF(AND(T9="Impacto",T10="Impacto"),(AI9-(+AI9*AA10)),IF(AND(T9="Probabilidad",T10="Impacto"),(AI8-(+AI8*AA10)),IF(T10="Probabilidad",AI9,""))),"")</f>
        <v/>
      </c>
      <c r="AJ10" s="98" t="str">
        <f t="shared" si="3"/>
        <v/>
      </c>
      <c r="AK10" s="455"/>
      <c r="AL10" s="185"/>
      <c r="AM10" s="176"/>
      <c r="AN10" s="188"/>
      <c r="AO10" s="188"/>
      <c r="AP10" s="185"/>
      <c r="AQ10" s="188"/>
      <c r="AR10" s="185"/>
      <c r="AS10" s="188"/>
      <c r="AT10" s="185"/>
      <c r="AU10" s="99"/>
      <c r="AV10" s="170"/>
      <c r="AW10" s="131"/>
      <c r="AX10" s="185"/>
      <c r="AY10" s="185"/>
      <c r="AZ10" s="176"/>
      <c r="BA10" s="188"/>
      <c r="BB10" s="188"/>
      <c r="BC10" s="185"/>
      <c r="BD10" s="185"/>
      <c r="BE10" s="176"/>
      <c r="BF10" s="188"/>
      <c r="BG10" s="188"/>
      <c r="BH10" s="185"/>
      <c r="BI10" s="185"/>
      <c r="BJ10" s="176"/>
      <c r="BK10" s="188"/>
      <c r="BL10" s="188"/>
      <c r="BM10" s="170"/>
      <c r="BN10" s="170"/>
      <c r="BO10" s="131"/>
      <c r="BP10" s="99"/>
      <c r="BQ10" s="99"/>
      <c r="BR10" s="133"/>
      <c r="BS10" s="170"/>
      <c r="BT10" s="170"/>
      <c r="BU10" s="170"/>
      <c r="BV10" s="99"/>
      <c r="BW10" s="170"/>
      <c r="BX10" s="170"/>
      <c r="BY10" s="295"/>
      <c r="BZ10" s="289"/>
      <c r="CA10" s="290"/>
      <c r="CB10" s="289"/>
    </row>
    <row r="11" spans="1:106" ht="408" customHeight="1" x14ac:dyDescent="0.3">
      <c r="A11" s="445">
        <v>2</v>
      </c>
      <c r="B11" s="474" t="s">
        <v>72</v>
      </c>
      <c r="C11" s="474" t="s">
        <v>287</v>
      </c>
      <c r="D11" s="474" t="s">
        <v>288</v>
      </c>
      <c r="E11" s="474" t="s">
        <v>289</v>
      </c>
      <c r="F11" s="474" t="s">
        <v>196</v>
      </c>
      <c r="G11" s="474" t="s">
        <v>290</v>
      </c>
      <c r="H11" s="474" t="s">
        <v>291</v>
      </c>
      <c r="I11" s="474" t="s">
        <v>292</v>
      </c>
      <c r="J11" s="445">
        <v>20</v>
      </c>
      <c r="K11" s="473" t="str">
        <f>IF(J11&lt;=0,"",IF(J11&lt;=2,"Muy Baja",IF(J11&lt;=24,"Baja",IF(J11&lt;=500,"Media",IF(J11&lt;=5000,"Alta","Muy Alta")))))</f>
        <v>Baja</v>
      </c>
      <c r="L11" s="470">
        <f>IF(K11="","",IF(K11="Muy Baja",0.2,IF(K11="Baja",0.4,IF(K11="Media",0.6,IF(K11="Alta",0.8,IF(K11="Muy Alta",1,))))))</f>
        <v>0.4</v>
      </c>
      <c r="M11" s="468" t="s">
        <v>293</v>
      </c>
      <c r="N11" s="468" t="str">
        <f ca="1">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469" t="str">
        <f ca="1">IF(OR(N11='Tabla Impacto'!$C$11,N11='Tabla Impacto'!$D$11),"Leve",IF(OR(N11='Tabla Impacto'!$C$12,N11='Tabla Impacto'!$D$12),"Menor",IF(OR(N11='Tabla Impacto'!$C$13,N11='Tabla Impacto'!$D$13),"Moderado",IF(OR(N11='Tabla Impacto'!$C$14,N11='Tabla Impacto'!$D$14),"Mayor",IF(OR(N11='Tabla Impacto'!$C$15,N11='Tabla Impacto'!$D$15),"Catastrófico","")))))</f>
        <v>Moderado</v>
      </c>
      <c r="P11" s="470">
        <f ca="1">IF(O11="","",IF(O11="Leve",0.2,IF(O11="Menor",0.4,IF(O11="Moderado",0.6,IF(O11="Mayor",0.8,IF(O11="Catastrófico",1,))))))</f>
        <v>0.6</v>
      </c>
      <c r="Q11" s="471"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76">
        <v>1</v>
      </c>
      <c r="S11" s="258" t="s">
        <v>294</v>
      </c>
      <c r="T11" s="239" t="str">
        <f t="shared" si="0"/>
        <v>Probabilidad</v>
      </c>
      <c r="U11" s="252" t="s">
        <v>202</v>
      </c>
      <c r="V11" s="252" t="s">
        <v>202</v>
      </c>
      <c r="W11" s="252" t="s">
        <v>202</v>
      </c>
      <c r="X11" s="252" t="s">
        <v>202</v>
      </c>
      <c r="Y11" s="253" t="s">
        <v>203</v>
      </c>
      <c r="Z11" s="253" t="s">
        <v>204</v>
      </c>
      <c r="AA11" s="241" t="str">
        <f t="shared" si="1"/>
        <v>40%</v>
      </c>
      <c r="AB11" s="253" t="s">
        <v>205</v>
      </c>
      <c r="AC11" s="253" t="s">
        <v>206</v>
      </c>
      <c r="AD11" s="253" t="s">
        <v>207</v>
      </c>
      <c r="AE11" s="242">
        <f>IFERROR(IF(T11="Probabilidad",(L11-(+L11*AA11)),IF(T11="Impacto",L11,"")),"")</f>
        <v>0.24</v>
      </c>
      <c r="AF11" s="243" t="str">
        <f>IFERROR(IF(AE11="","",IF(AE11&lt;=0.2,"Muy Baja",IF(AE11&lt;=0.4,"Baja",IF(AE11&lt;=0.6,"Media",IF(AE11&lt;=0.8,"Alta","Muy Alta"))))),"")</f>
        <v>Baja</v>
      </c>
      <c r="AG11" s="241">
        <f t="shared" si="2"/>
        <v>0.24</v>
      </c>
      <c r="AH11" s="243" t="str">
        <f ca="1">IFERROR(IF(AI11="","",IF(AI11&lt;=0.2,"Leve",IF(AI11&lt;=0.4,"Menor",IF(AI11&lt;=0.6,"Moderado",IF(AI11&lt;=0.8,"Mayor","Catastrófico"))))),"")</f>
        <v>Moderado</v>
      </c>
      <c r="AI11" s="241">
        <f ca="1">IFERROR(IF(T11="Impacto",(P11-(+P11*AA11)),IF(T11="Probabilidad",P11,"")),"")</f>
        <v>0.6</v>
      </c>
      <c r="AJ11" s="244" t="str">
        <f t="shared" ca="1" si="3"/>
        <v>Moderado</v>
      </c>
      <c r="AK11" s="458" t="s">
        <v>208</v>
      </c>
      <c r="AL11" s="254" t="s">
        <v>295</v>
      </c>
      <c r="AM11" s="254" t="s">
        <v>296</v>
      </c>
      <c r="AN11" s="186">
        <v>45291</v>
      </c>
      <c r="AO11" s="199" t="s">
        <v>297</v>
      </c>
      <c r="AP11" s="265" t="s">
        <v>298</v>
      </c>
      <c r="AQ11" s="263" t="s">
        <v>299</v>
      </c>
      <c r="AR11" s="306" t="s">
        <v>300</v>
      </c>
      <c r="AS11" s="263" t="s">
        <v>301</v>
      </c>
      <c r="AT11" s="312" t="s">
        <v>302</v>
      </c>
      <c r="AU11" s="273" t="s">
        <v>303</v>
      </c>
      <c r="AV11" s="346" t="s">
        <v>304</v>
      </c>
      <c r="AW11" s="145"/>
      <c r="AX11" s="199" t="s">
        <v>305</v>
      </c>
      <c r="AY11" s="262" t="s">
        <v>306</v>
      </c>
      <c r="AZ11" s="185" t="s">
        <v>307</v>
      </c>
      <c r="BA11" s="263" t="s">
        <v>308</v>
      </c>
      <c r="BB11" s="186" t="s">
        <v>223</v>
      </c>
      <c r="BC11" s="199" t="s">
        <v>309</v>
      </c>
      <c r="BD11" s="283" t="s">
        <v>310</v>
      </c>
      <c r="BE11" s="177" t="s">
        <v>311</v>
      </c>
      <c r="BF11" s="263" t="s">
        <v>312</v>
      </c>
      <c r="BG11" s="186" t="s">
        <v>223</v>
      </c>
      <c r="BH11" s="263" t="s">
        <v>313</v>
      </c>
      <c r="BI11" s="308" t="s">
        <v>314</v>
      </c>
      <c r="BJ11" s="177" t="s">
        <v>315</v>
      </c>
      <c r="BK11" s="263" t="s">
        <v>316</v>
      </c>
      <c r="BL11" s="186"/>
      <c r="BM11" s="273" t="s">
        <v>303</v>
      </c>
      <c r="BN11" s="339" t="s">
        <v>317</v>
      </c>
      <c r="BO11" s="345" t="s">
        <v>318</v>
      </c>
      <c r="BP11" s="341" t="s">
        <v>319</v>
      </c>
      <c r="BQ11" s="147"/>
      <c r="BR11" s="171" t="s">
        <v>236</v>
      </c>
      <c r="BS11" s="146"/>
      <c r="BT11" s="146"/>
      <c r="BU11" s="146"/>
      <c r="BV11" s="273" t="s">
        <v>841</v>
      </c>
      <c r="BW11" s="259" t="s">
        <v>842</v>
      </c>
      <c r="BX11" s="259" t="s">
        <v>844</v>
      </c>
      <c r="BY11" s="296" t="s">
        <v>320</v>
      </c>
      <c r="BZ11" s="291" t="s">
        <v>321</v>
      </c>
      <c r="CA11" s="291" t="s">
        <v>322</v>
      </c>
      <c r="CB11" s="305" t="s">
        <v>323</v>
      </c>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row>
    <row r="12" spans="1:106" ht="390" customHeight="1" x14ac:dyDescent="0.3">
      <c r="A12" s="445"/>
      <c r="B12" s="460"/>
      <c r="C12" s="460"/>
      <c r="D12" s="460"/>
      <c r="E12" s="460"/>
      <c r="F12" s="460"/>
      <c r="G12" s="460"/>
      <c r="H12" s="460"/>
      <c r="I12" s="460"/>
      <c r="J12" s="445"/>
      <c r="K12" s="473"/>
      <c r="L12" s="470"/>
      <c r="M12" s="460"/>
      <c r="N12" s="460"/>
      <c r="O12" s="460"/>
      <c r="P12" s="470"/>
      <c r="Q12" s="471"/>
      <c r="R12" s="176">
        <v>2</v>
      </c>
      <c r="S12" s="258" t="s">
        <v>324</v>
      </c>
      <c r="T12" s="239" t="str">
        <f t="shared" si="0"/>
        <v>Probabilidad</v>
      </c>
      <c r="U12" s="252" t="s">
        <v>202</v>
      </c>
      <c r="V12" s="252" t="s">
        <v>202</v>
      </c>
      <c r="W12" s="252" t="s">
        <v>202</v>
      </c>
      <c r="X12" s="252" t="s">
        <v>202</v>
      </c>
      <c r="Y12" s="253" t="s">
        <v>203</v>
      </c>
      <c r="Z12" s="240" t="s">
        <v>204</v>
      </c>
      <c r="AA12" s="241" t="str">
        <f t="shared" si="1"/>
        <v>40%</v>
      </c>
      <c r="AB12" s="253" t="s">
        <v>205</v>
      </c>
      <c r="AC12" s="253" t="s">
        <v>206</v>
      </c>
      <c r="AD12" s="253" t="s">
        <v>207</v>
      </c>
      <c r="AE12" s="242">
        <f>IFERROR(IF(AND(T11="Probabilidad",T12="Probabilidad"),(AG11-(+AG11*AA12)),IF(T12="Probabilidad",(L11-(+L11*AA12)),IF(T12="Impacto",AG11,""))),"")</f>
        <v>0.14399999999999999</v>
      </c>
      <c r="AF12" s="243" t="str">
        <f t="shared" si="4"/>
        <v>Muy Baja</v>
      </c>
      <c r="AG12" s="241">
        <f t="shared" si="2"/>
        <v>0.14399999999999999</v>
      </c>
      <c r="AH12" s="243" t="str">
        <f t="shared" ca="1" si="5"/>
        <v>Mayor</v>
      </c>
      <c r="AI12" s="241">
        <f ca="1">IFERROR(IF(AND(T11="Impacto",T12="Impacto"),(AI5-(+AI5*AA12)),IF(T12="Impacto",($P$11-(+$P$11*AA12)),IF(T12="Probabilidad",AI5,""))),"")</f>
        <v>0.8</v>
      </c>
      <c r="AJ12" s="244" t="str">
        <f t="shared" ca="1" si="3"/>
        <v>Alto</v>
      </c>
      <c r="AK12" s="459"/>
      <c r="AL12" s="177"/>
      <c r="AM12" s="187"/>
      <c r="AN12" s="186"/>
      <c r="AO12" s="199" t="s">
        <v>252</v>
      </c>
      <c r="AP12" s="274" t="s">
        <v>325</v>
      </c>
      <c r="AQ12" s="188"/>
      <c r="AR12" s="185"/>
      <c r="AS12" s="199"/>
      <c r="AT12" s="185"/>
      <c r="AU12" s="99"/>
      <c r="AV12" s="170"/>
      <c r="AW12" s="131"/>
      <c r="AX12" s="199" t="s">
        <v>326</v>
      </c>
      <c r="AY12" s="262" t="s">
        <v>327</v>
      </c>
      <c r="AZ12" s="264" t="s">
        <v>328</v>
      </c>
      <c r="BA12" s="199" t="s">
        <v>329</v>
      </c>
      <c r="BB12" s="188" t="s">
        <v>223</v>
      </c>
      <c r="BC12" s="199" t="s">
        <v>330</v>
      </c>
      <c r="BD12" s="283" t="s">
        <v>331</v>
      </c>
      <c r="BE12" s="177" t="s">
        <v>332</v>
      </c>
      <c r="BF12" s="199" t="s">
        <v>333</v>
      </c>
      <c r="BG12" s="188" t="s">
        <v>223</v>
      </c>
      <c r="BH12" s="309" t="s">
        <v>334</v>
      </c>
      <c r="BI12" s="310" t="s">
        <v>335</v>
      </c>
      <c r="BJ12" s="311" t="s">
        <v>336</v>
      </c>
      <c r="BK12" s="311" t="s">
        <v>337</v>
      </c>
      <c r="BL12" s="188"/>
      <c r="BM12" s="133" t="s">
        <v>338</v>
      </c>
      <c r="BN12" s="347" t="s">
        <v>339</v>
      </c>
      <c r="BO12" s="340" t="s">
        <v>340</v>
      </c>
      <c r="BP12" s="341" t="s">
        <v>341</v>
      </c>
      <c r="BQ12" s="133"/>
      <c r="BR12" s="133" t="s">
        <v>342</v>
      </c>
      <c r="BS12" s="170"/>
      <c r="BT12" s="170"/>
      <c r="BU12" s="170"/>
      <c r="BV12" s="273" t="s">
        <v>841</v>
      </c>
      <c r="BW12" s="259" t="s">
        <v>843</v>
      </c>
      <c r="BX12" s="170"/>
      <c r="BY12" s="293" t="s">
        <v>320</v>
      </c>
      <c r="BZ12" s="288" t="s">
        <v>343</v>
      </c>
      <c r="CA12" s="289" t="s">
        <v>344</v>
      </c>
      <c r="CB12" s="289" t="s">
        <v>345</v>
      </c>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row>
    <row r="13" spans="1:106" ht="16.5" customHeight="1" x14ac:dyDescent="0.3">
      <c r="A13" s="445"/>
      <c r="B13" s="460"/>
      <c r="C13" s="460"/>
      <c r="D13" s="460"/>
      <c r="E13" s="460"/>
      <c r="F13" s="460"/>
      <c r="G13" s="460"/>
      <c r="H13" s="460"/>
      <c r="I13" s="460"/>
      <c r="J13" s="445"/>
      <c r="K13" s="473"/>
      <c r="L13" s="470"/>
      <c r="M13" s="460"/>
      <c r="N13" s="460"/>
      <c r="O13" s="460"/>
      <c r="P13" s="470"/>
      <c r="Q13" s="471"/>
      <c r="R13" s="176">
        <v>3</v>
      </c>
      <c r="S13" s="181"/>
      <c r="T13" s="169" t="str">
        <f t="shared" si="0"/>
        <v/>
      </c>
      <c r="U13" s="187"/>
      <c r="V13" s="187"/>
      <c r="W13" s="187"/>
      <c r="X13" s="187"/>
      <c r="Y13" s="197"/>
      <c r="Z13" s="195"/>
      <c r="AA13" s="97" t="str">
        <f t="shared" si="1"/>
        <v/>
      </c>
      <c r="AB13" s="197"/>
      <c r="AC13" s="197"/>
      <c r="AD13" s="197"/>
      <c r="AE13" s="142" t="str">
        <f>IFERROR(IF(AND(T12="Probabilidad",T13="Probabilidad"),(AG12-(+AG12*AA13)),IF(AND(T12="Impacto",T13="Probabilidad"),(AG11-(+AG11*AA13)),IF(T13="Impacto",AG12,""))),"")</f>
        <v/>
      </c>
      <c r="AF13" s="130" t="str">
        <f t="shared" si="4"/>
        <v/>
      </c>
      <c r="AG13" s="97" t="str">
        <f t="shared" si="2"/>
        <v/>
      </c>
      <c r="AH13" s="130" t="str">
        <f t="shared" si="5"/>
        <v/>
      </c>
      <c r="AI13" s="97" t="str">
        <f>IFERROR(IF(AND(T12="Impacto",T13="Impacto"),(AI12-(+AI12*AA13)),IF(AND(T12="Probabilidad",T13="Impacto"),(AI11-(+AI11*AA13)),IF(T13="Probabilidad",AI12,""))),"")</f>
        <v/>
      </c>
      <c r="AJ13" s="98" t="str">
        <f t="shared" si="3"/>
        <v/>
      </c>
      <c r="AK13" s="460"/>
      <c r="AL13" s="177"/>
      <c r="AM13" s="187"/>
      <c r="AN13" s="186"/>
      <c r="AO13" s="188"/>
      <c r="AP13" s="185"/>
      <c r="AQ13" s="188"/>
      <c r="AR13" s="185"/>
      <c r="AS13" s="188"/>
      <c r="AT13" s="185"/>
      <c r="AU13" s="99"/>
      <c r="AV13" s="170"/>
      <c r="AW13" s="131"/>
      <c r="AX13" s="185"/>
      <c r="AY13" s="185"/>
      <c r="AZ13" s="176"/>
      <c r="BA13" s="188"/>
      <c r="BB13" s="188"/>
      <c r="BC13" s="185"/>
      <c r="BD13" s="185"/>
      <c r="BE13" s="176"/>
      <c r="BF13" s="188"/>
      <c r="BG13" s="188"/>
      <c r="BH13" s="185"/>
      <c r="BI13" s="185"/>
      <c r="BJ13" s="176"/>
      <c r="BK13" s="188"/>
      <c r="BL13" s="188"/>
      <c r="BM13" s="170"/>
      <c r="BN13" s="170"/>
      <c r="BO13" s="131"/>
      <c r="BP13" s="99"/>
      <c r="BQ13" s="99"/>
      <c r="BR13" s="133"/>
      <c r="BS13" s="170"/>
      <c r="BT13" s="170"/>
      <c r="BU13" s="170"/>
      <c r="BV13" s="99"/>
      <c r="BW13" s="170"/>
      <c r="BX13" s="170"/>
      <c r="BY13" s="295"/>
      <c r="BZ13" s="289"/>
      <c r="CA13" s="290"/>
      <c r="CB13" s="289"/>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row>
    <row r="14" spans="1:106" ht="16.5" customHeight="1" x14ac:dyDescent="0.3">
      <c r="A14" s="445"/>
      <c r="B14" s="460"/>
      <c r="C14" s="460"/>
      <c r="D14" s="460"/>
      <c r="E14" s="460"/>
      <c r="F14" s="460"/>
      <c r="G14" s="460"/>
      <c r="H14" s="460"/>
      <c r="I14" s="460"/>
      <c r="J14" s="445"/>
      <c r="K14" s="473"/>
      <c r="L14" s="470"/>
      <c r="M14" s="460"/>
      <c r="N14" s="460"/>
      <c r="O14" s="460"/>
      <c r="P14" s="470"/>
      <c r="Q14" s="471"/>
      <c r="R14" s="176">
        <v>4</v>
      </c>
      <c r="S14" s="196"/>
      <c r="T14" s="169" t="str">
        <f t="shared" si="0"/>
        <v/>
      </c>
      <c r="U14" s="187"/>
      <c r="V14" s="187"/>
      <c r="W14" s="187"/>
      <c r="X14" s="187"/>
      <c r="Y14" s="197"/>
      <c r="Z14" s="195"/>
      <c r="AA14" s="97" t="str">
        <f t="shared" si="1"/>
        <v/>
      </c>
      <c r="AB14" s="197"/>
      <c r="AC14" s="197"/>
      <c r="AD14" s="197"/>
      <c r="AE14" s="142" t="str">
        <f>IFERROR(IF(AND(T13="Probabilidad",T14="Probabilidad"),(AG13-(+AG13*AA14)),IF(AND(T13="Impacto",T14="Probabilidad"),(AG12-(+AG12*AA14)),IF(T14="Impacto",AG13,""))),"")</f>
        <v/>
      </c>
      <c r="AF14" s="130" t="str">
        <f t="shared" si="4"/>
        <v/>
      </c>
      <c r="AG14" s="97" t="str">
        <f t="shared" si="2"/>
        <v/>
      </c>
      <c r="AH14" s="130" t="str">
        <f t="shared" si="5"/>
        <v/>
      </c>
      <c r="AI14" s="97" t="str">
        <f>IFERROR(IF(AND(T13="Impacto",T14="Impacto"),(AI13-(+AI13*AA14)),IF(AND(T13="Probabilidad",T14="Impacto"),(AI12-(+AI12*AA14)),IF(T14="Probabilidad",AI13,""))),"")</f>
        <v/>
      </c>
      <c r="AJ14" s="98" t="str">
        <f t="shared" si="3"/>
        <v/>
      </c>
      <c r="AK14" s="460"/>
      <c r="AL14" s="177"/>
      <c r="AM14" s="187"/>
      <c r="AN14" s="186"/>
      <c r="AO14" s="188"/>
      <c r="AP14" s="185"/>
      <c r="AQ14" s="188"/>
      <c r="AR14" s="185"/>
      <c r="AS14" s="188"/>
      <c r="AT14" s="185"/>
      <c r="AU14" s="99"/>
      <c r="AV14" s="170"/>
      <c r="AW14" s="131"/>
      <c r="AX14" s="185"/>
      <c r="AY14" s="185"/>
      <c r="AZ14" s="176"/>
      <c r="BA14" s="188"/>
      <c r="BB14" s="188"/>
      <c r="BC14" s="185"/>
      <c r="BD14" s="185"/>
      <c r="BE14" s="176"/>
      <c r="BF14" s="188"/>
      <c r="BG14" s="188"/>
      <c r="BH14" s="185"/>
      <c r="BI14" s="185"/>
      <c r="BJ14" s="176"/>
      <c r="BK14" s="188"/>
      <c r="BL14" s="188"/>
      <c r="BM14" s="170"/>
      <c r="BN14" s="170"/>
      <c r="BO14" s="131"/>
      <c r="BP14" s="99"/>
      <c r="BQ14" s="99"/>
      <c r="BR14" s="133"/>
      <c r="BS14" s="170"/>
      <c r="BT14" s="170"/>
      <c r="BU14" s="170"/>
      <c r="BV14" s="99"/>
      <c r="BW14" s="170"/>
      <c r="BX14" s="170"/>
      <c r="BY14" s="295"/>
      <c r="BZ14" s="289"/>
      <c r="CA14" s="290"/>
      <c r="CB14" s="289"/>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row>
    <row r="15" spans="1:106" ht="16.5" customHeight="1" x14ac:dyDescent="0.3">
      <c r="A15" s="445"/>
      <c r="B15" s="460"/>
      <c r="C15" s="460"/>
      <c r="D15" s="460"/>
      <c r="E15" s="460"/>
      <c r="F15" s="460"/>
      <c r="G15" s="460"/>
      <c r="H15" s="460"/>
      <c r="I15" s="460"/>
      <c r="J15" s="445"/>
      <c r="K15" s="473"/>
      <c r="L15" s="470"/>
      <c r="M15" s="460"/>
      <c r="N15" s="460"/>
      <c r="O15" s="460"/>
      <c r="P15" s="470"/>
      <c r="Q15" s="471"/>
      <c r="R15" s="176">
        <v>5</v>
      </c>
      <c r="S15" s="196"/>
      <c r="T15" s="169" t="str">
        <f t="shared" si="0"/>
        <v/>
      </c>
      <c r="U15" s="187"/>
      <c r="V15" s="187"/>
      <c r="W15" s="187"/>
      <c r="X15" s="187"/>
      <c r="Y15" s="197"/>
      <c r="Z15" s="195"/>
      <c r="AA15" s="97" t="str">
        <f t="shared" si="1"/>
        <v/>
      </c>
      <c r="AB15" s="197"/>
      <c r="AC15" s="197"/>
      <c r="AD15" s="197"/>
      <c r="AE15" s="142" t="str">
        <f>IFERROR(IF(AND(T14="Probabilidad",T15="Probabilidad"),(AG14-(+AG14*AA15)),IF(AND(T14="Impacto",T15="Probabilidad"),(AG13-(+AG13*AA15)),IF(T15="Impacto",AG14,""))),"")</f>
        <v/>
      </c>
      <c r="AF15" s="130" t="str">
        <f t="shared" si="4"/>
        <v/>
      </c>
      <c r="AG15" s="97" t="str">
        <f t="shared" si="2"/>
        <v/>
      </c>
      <c r="AH15" s="130" t="str">
        <f t="shared" si="5"/>
        <v/>
      </c>
      <c r="AI15" s="97" t="str">
        <f>IFERROR(IF(AND(T14="Impacto",T15="Impacto"),(AI14-(+AI14*AA15)),IF(AND(T14="Probabilidad",T15="Impacto"),(AI13-(+AI13*AA15)),IF(T15="Probabilidad",AI14,""))),"")</f>
        <v/>
      </c>
      <c r="AJ15" s="98" t="str">
        <f t="shared" si="3"/>
        <v/>
      </c>
      <c r="AK15" s="460"/>
      <c r="AL15" s="177"/>
      <c r="AM15" s="187"/>
      <c r="AN15" s="186"/>
      <c r="AO15" s="188"/>
      <c r="AP15" s="185"/>
      <c r="AQ15" s="188"/>
      <c r="AR15" s="185"/>
      <c r="AS15" s="188"/>
      <c r="AT15" s="185"/>
      <c r="AU15" s="99"/>
      <c r="AV15" s="170"/>
      <c r="AW15" s="131"/>
      <c r="AX15" s="185"/>
      <c r="AY15" s="185"/>
      <c r="AZ15" s="176"/>
      <c r="BA15" s="188"/>
      <c r="BB15" s="188"/>
      <c r="BC15" s="185"/>
      <c r="BD15" s="185"/>
      <c r="BE15" s="176"/>
      <c r="BF15" s="188"/>
      <c r="BG15" s="188"/>
      <c r="BH15" s="185"/>
      <c r="BI15" s="185"/>
      <c r="BJ15" s="176"/>
      <c r="BK15" s="188"/>
      <c r="BL15" s="188"/>
      <c r="BM15" s="170"/>
      <c r="BN15" s="170"/>
      <c r="BO15" s="131"/>
      <c r="BP15" s="99"/>
      <c r="BQ15" s="99"/>
      <c r="BR15" s="133"/>
      <c r="BS15" s="170"/>
      <c r="BT15" s="170"/>
      <c r="BU15" s="170"/>
      <c r="BV15" s="99"/>
      <c r="BW15" s="170"/>
      <c r="BX15" s="170"/>
      <c r="BY15" s="295"/>
      <c r="BZ15" s="289"/>
      <c r="CA15" s="290"/>
      <c r="CB15" s="289"/>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row>
    <row r="16" spans="1:106" ht="16.5" customHeight="1" x14ac:dyDescent="0.3">
      <c r="A16" s="445"/>
      <c r="B16" s="461"/>
      <c r="C16" s="461"/>
      <c r="D16" s="461"/>
      <c r="E16" s="461"/>
      <c r="F16" s="461"/>
      <c r="G16" s="461"/>
      <c r="H16" s="461"/>
      <c r="I16" s="461"/>
      <c r="J16" s="445"/>
      <c r="K16" s="473"/>
      <c r="L16" s="470"/>
      <c r="M16" s="461"/>
      <c r="N16" s="461"/>
      <c r="O16" s="461"/>
      <c r="P16" s="470"/>
      <c r="Q16" s="471"/>
      <c r="R16" s="176">
        <v>6</v>
      </c>
      <c r="S16" s="196"/>
      <c r="T16" s="169" t="str">
        <f t="shared" si="0"/>
        <v/>
      </c>
      <c r="U16" s="187"/>
      <c r="V16" s="187"/>
      <c r="W16" s="187"/>
      <c r="X16" s="187"/>
      <c r="Y16" s="197"/>
      <c r="Z16" s="195"/>
      <c r="AA16" s="97" t="str">
        <f t="shared" si="1"/>
        <v/>
      </c>
      <c r="AB16" s="197"/>
      <c r="AC16" s="197"/>
      <c r="AD16" s="197"/>
      <c r="AE16" s="142" t="str">
        <f>IFERROR(IF(AND(T15="Probabilidad",T16="Probabilidad"),(AG15-(+AG15*AA16)),IF(AND(T15="Impacto",T16="Probabilidad"),(AG14-(+AG14*AA16)),IF(T16="Impacto",AG15,""))),"")</f>
        <v/>
      </c>
      <c r="AF16" s="130" t="str">
        <f t="shared" si="4"/>
        <v/>
      </c>
      <c r="AG16" s="97" t="str">
        <f t="shared" si="2"/>
        <v/>
      </c>
      <c r="AH16" s="130" t="str">
        <f t="shared" si="5"/>
        <v/>
      </c>
      <c r="AI16" s="97" t="str">
        <f>IFERROR(IF(AND(T15="Impacto",T16="Impacto"),(AI15-(+AI15*AA16)),IF(AND(T15="Probabilidad",T16="Impacto"),(AI14-(+AI14*AA16)),IF(T16="Probabilidad",AI15,""))),"")</f>
        <v/>
      </c>
      <c r="AJ16" s="98" t="str">
        <f t="shared" si="3"/>
        <v/>
      </c>
      <c r="AK16" s="461"/>
      <c r="AL16" s="177"/>
      <c r="AM16" s="187"/>
      <c r="AN16" s="186"/>
      <c r="AO16" s="188"/>
      <c r="AP16" s="185"/>
      <c r="AQ16" s="188"/>
      <c r="AR16" s="185"/>
      <c r="AS16" s="188"/>
      <c r="AT16" s="185"/>
      <c r="AU16" s="99"/>
      <c r="AV16" s="170"/>
      <c r="AW16" s="131"/>
      <c r="AX16" s="185"/>
      <c r="AY16" s="185"/>
      <c r="AZ16" s="176"/>
      <c r="BA16" s="188"/>
      <c r="BB16" s="188"/>
      <c r="BC16" s="185"/>
      <c r="BD16" s="185"/>
      <c r="BE16" s="176"/>
      <c r="BF16" s="188"/>
      <c r="BG16" s="188"/>
      <c r="BH16" s="185"/>
      <c r="BI16" s="185"/>
      <c r="BJ16" s="176"/>
      <c r="BK16" s="188"/>
      <c r="BL16" s="188"/>
      <c r="BM16" s="170"/>
      <c r="BN16" s="170"/>
      <c r="BO16" s="131"/>
      <c r="BP16" s="99"/>
      <c r="BQ16" s="99"/>
      <c r="BR16" s="133"/>
      <c r="BS16" s="170"/>
      <c r="BT16" s="170"/>
      <c r="BU16" s="170"/>
      <c r="BV16" s="99"/>
      <c r="BW16" s="170"/>
      <c r="BX16" s="170"/>
      <c r="BY16" s="295"/>
      <c r="BZ16" s="289"/>
      <c r="CA16" s="290"/>
      <c r="CB16" s="289"/>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row>
    <row r="17" spans="1:106" ht="27" customHeight="1" x14ac:dyDescent="0.3">
      <c r="A17" s="445">
        <v>3</v>
      </c>
      <c r="B17" s="474"/>
      <c r="C17" s="474"/>
      <c r="D17" s="474"/>
      <c r="E17" s="474"/>
      <c r="F17" s="474"/>
      <c r="G17" s="474"/>
      <c r="H17" s="474"/>
      <c r="I17" s="474"/>
      <c r="J17" s="445"/>
      <c r="K17" s="473" t="str">
        <f>IF(J17&lt;=0,"",IF(J17&lt;=2,"Muy Baja",IF(J17&lt;=24,"Baja",IF(J17&lt;=500,"Media",IF(J17&lt;=5000,"Alta","Muy Alta")))))</f>
        <v/>
      </c>
      <c r="L17" s="470" t="str">
        <f>IF(K17="","",IF(K17="Muy Baja",0.2,IF(K17="Baja",0.4,IF(K17="Media",0.6,IF(K17="Alta",0.8,IF(K17="Muy Alta",1,))))))</f>
        <v/>
      </c>
      <c r="M17" s="468"/>
      <c r="N17" s="468">
        <f ca="1">IF(NOT(ISERROR(MATCH(M17,'Tabla Impacto'!$B$221:$B$223,0))),'Tabla Impacto'!$F$223&amp;"Por favor no seleccionar los criterios de impacto(Afectación Económica o presupuestal y Pérdida Reputacional)",M17)</f>
        <v>0</v>
      </c>
      <c r="O17" s="469" t="str">
        <f ca="1">IF(OR(N17='Tabla Impacto'!$C$11,N17='Tabla Impacto'!$D$11),"Leve",IF(OR(N17='Tabla Impacto'!$C$12,N17='Tabla Impacto'!$D$12),"Menor",IF(OR(N17='Tabla Impacto'!$C$13,N17='Tabla Impacto'!$D$13),"Moderado",IF(OR(N17='Tabla Impacto'!$C$14,N17='Tabla Impacto'!$D$14),"Mayor",IF(OR(N17='Tabla Impacto'!$C$15,N17='Tabla Impacto'!$D$15),"Catastrófico","")))))</f>
        <v/>
      </c>
      <c r="P17" s="470" t="str">
        <f ca="1">IF(O17="","",IF(O17="Leve",0.2,IF(O17="Menor",0.4,IF(O17="Moderado",0.6,IF(O17="Mayor",0.8,IF(O17="Catastrófico",1,))))))</f>
        <v/>
      </c>
      <c r="Q17" s="471"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76">
        <v>1</v>
      </c>
      <c r="S17" s="196"/>
      <c r="T17" s="169" t="str">
        <f t="shared" si="0"/>
        <v/>
      </c>
      <c r="U17" s="187"/>
      <c r="V17" s="187"/>
      <c r="W17" s="187"/>
      <c r="X17" s="187"/>
      <c r="Y17" s="197"/>
      <c r="Z17" s="195"/>
      <c r="AA17" s="97" t="str">
        <f t="shared" si="1"/>
        <v/>
      </c>
      <c r="AB17" s="197"/>
      <c r="AC17" s="197"/>
      <c r="AD17" s="197"/>
      <c r="AE17" s="142" t="str">
        <f>IFERROR(IF(T17="Probabilidad",(L17-(+L17*AA17)),IF(T17="Impacto",L17,"")),"")</f>
        <v/>
      </c>
      <c r="AF17" s="130" t="str">
        <f>IFERROR(IF(AE17="","",IF(AE17&lt;=0.2,"Muy Baja",IF(AE17&lt;=0.4,"Baja",IF(AE17&lt;=0.6,"Media",IF(AE17&lt;=0.8,"Alta","Muy Alta"))))),"")</f>
        <v/>
      </c>
      <c r="AG17" s="97" t="str">
        <f t="shared" si="2"/>
        <v/>
      </c>
      <c r="AH17" s="130" t="str">
        <f>IFERROR(IF(AI17="","",IF(AI17&lt;=0.2,"Leve",IF(AI17&lt;=0.4,"Menor",IF(AI17&lt;=0.6,"Moderado",IF(AI17&lt;=0.8,"Mayor","Catastrófico"))))),"")</f>
        <v/>
      </c>
      <c r="AI17" s="97" t="str">
        <f>IFERROR(IF(T17="Impacto",(P17-(+P17*AA17)),IF(T17="Probabilidad",P17,"")),"")</f>
        <v/>
      </c>
      <c r="AJ17" s="98" t="str">
        <f t="shared" si="3"/>
        <v/>
      </c>
      <c r="AK17" s="462"/>
      <c r="AL17" s="177"/>
      <c r="AM17" s="177"/>
      <c r="AN17" s="186"/>
      <c r="AO17" s="199"/>
      <c r="AP17" s="185"/>
      <c r="AQ17" s="199"/>
      <c r="AR17" s="185"/>
      <c r="AS17" s="199"/>
      <c r="AT17" s="185"/>
      <c r="AU17" s="133"/>
      <c r="AV17" s="170"/>
      <c r="AW17" s="170"/>
      <c r="AX17" s="185"/>
      <c r="AY17" s="185"/>
      <c r="AZ17" s="185"/>
      <c r="BA17" s="199"/>
      <c r="BB17" s="199"/>
      <c r="BC17" s="185"/>
      <c r="BD17" s="185"/>
      <c r="BE17" s="185"/>
      <c r="BF17" s="199"/>
      <c r="BG17" s="199"/>
      <c r="BH17" s="185"/>
      <c r="BI17" s="185"/>
      <c r="BJ17" s="185"/>
      <c r="BK17" s="199"/>
      <c r="BL17" s="199"/>
      <c r="BM17" s="170"/>
      <c r="BN17" s="170"/>
      <c r="BO17" s="170"/>
      <c r="BP17" s="133"/>
      <c r="BQ17" s="133"/>
      <c r="BR17" s="133"/>
      <c r="BS17" s="170"/>
      <c r="BT17" s="170"/>
      <c r="BU17" s="170"/>
      <c r="BV17" s="133"/>
      <c r="BW17" s="170"/>
      <c r="BX17" s="170"/>
      <c r="BY17" s="293"/>
      <c r="BZ17" s="289"/>
      <c r="CA17" s="289"/>
      <c r="CB17" s="289"/>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row>
    <row r="18" spans="1:106" ht="16.5" customHeight="1" x14ac:dyDescent="0.3">
      <c r="A18" s="445"/>
      <c r="B18" s="460"/>
      <c r="C18" s="460"/>
      <c r="D18" s="460"/>
      <c r="E18" s="460"/>
      <c r="F18" s="460"/>
      <c r="G18" s="460"/>
      <c r="H18" s="460"/>
      <c r="I18" s="460"/>
      <c r="J18" s="445"/>
      <c r="K18" s="473"/>
      <c r="L18" s="470"/>
      <c r="M18" s="460"/>
      <c r="N18" s="460"/>
      <c r="O18" s="460"/>
      <c r="P18" s="470"/>
      <c r="Q18" s="471"/>
      <c r="R18" s="176">
        <v>2</v>
      </c>
      <c r="S18" s="184"/>
      <c r="T18" s="169" t="str">
        <f t="shared" si="0"/>
        <v/>
      </c>
      <c r="U18" s="169"/>
      <c r="V18" s="169"/>
      <c r="W18" s="169"/>
      <c r="X18" s="169"/>
      <c r="Y18" s="195"/>
      <c r="Z18" s="195"/>
      <c r="AA18" s="97" t="str">
        <f t="shared" si="1"/>
        <v/>
      </c>
      <c r="AB18" s="195"/>
      <c r="AC18" s="195"/>
      <c r="AD18" s="195"/>
      <c r="AE18" s="141" t="str">
        <f>IFERROR(IF(AND(T17="Probabilidad",T18="Probabilidad"),(AG17-(+AG17*AA18)),IF(T18="Probabilidad",(L17-(+L17*AA18)),IF(T18="Impacto",AG17,""))),"")</f>
        <v/>
      </c>
      <c r="AF18" s="130" t="str">
        <f t="shared" si="4"/>
        <v/>
      </c>
      <c r="AG18" s="97" t="str">
        <f t="shared" si="2"/>
        <v/>
      </c>
      <c r="AH18" s="130" t="str">
        <f t="shared" si="5"/>
        <v/>
      </c>
      <c r="AI18" s="97" t="str">
        <f>IFERROR(IF(AND(T17="Impacto",T18="Impacto"),(AI11-(+AI11*AA18)),IF(T18="Impacto",($P$17-(+$P$17*AA18)),IF(T18="Probabilidad",AI11,""))),"")</f>
        <v/>
      </c>
      <c r="AJ18" s="98" t="str">
        <f t="shared" si="3"/>
        <v/>
      </c>
      <c r="AK18" s="463"/>
      <c r="AL18" s="185"/>
      <c r="AM18" s="185"/>
      <c r="AN18" s="199"/>
      <c r="AO18" s="199"/>
      <c r="AP18" s="185"/>
      <c r="AQ18" s="199"/>
      <c r="AR18" s="185"/>
      <c r="AS18" s="199"/>
      <c r="AT18" s="185"/>
      <c r="AU18" s="133"/>
      <c r="AV18" s="170"/>
      <c r="AW18" s="170"/>
      <c r="AX18" s="185"/>
      <c r="AY18" s="185"/>
      <c r="AZ18" s="185"/>
      <c r="BA18" s="199"/>
      <c r="BB18" s="199"/>
      <c r="BC18" s="185"/>
      <c r="BD18" s="185"/>
      <c r="BE18" s="185"/>
      <c r="BF18" s="199"/>
      <c r="BG18" s="199"/>
      <c r="BH18" s="185"/>
      <c r="BI18" s="185"/>
      <c r="BJ18" s="185"/>
      <c r="BK18" s="199"/>
      <c r="BL18" s="199"/>
      <c r="BM18" s="170"/>
      <c r="BN18" s="170"/>
      <c r="BO18" s="170"/>
      <c r="BP18" s="133"/>
      <c r="BQ18" s="133"/>
      <c r="BR18" s="133"/>
      <c r="BS18" s="170"/>
      <c r="BT18" s="170"/>
      <c r="BU18" s="170"/>
      <c r="BV18" s="133"/>
      <c r="BW18" s="170"/>
      <c r="BX18" s="170"/>
      <c r="BY18" s="293"/>
      <c r="BZ18" s="289"/>
      <c r="CA18" s="289"/>
      <c r="CB18" s="289"/>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row>
    <row r="19" spans="1:106" ht="16.5" customHeight="1" x14ac:dyDescent="0.3">
      <c r="A19" s="445"/>
      <c r="B19" s="460"/>
      <c r="C19" s="460"/>
      <c r="D19" s="460"/>
      <c r="E19" s="460"/>
      <c r="F19" s="460"/>
      <c r="G19" s="460"/>
      <c r="H19" s="460"/>
      <c r="I19" s="460"/>
      <c r="J19" s="445"/>
      <c r="K19" s="473"/>
      <c r="L19" s="470"/>
      <c r="M19" s="460"/>
      <c r="N19" s="460"/>
      <c r="O19" s="460"/>
      <c r="P19" s="470"/>
      <c r="Q19" s="471"/>
      <c r="R19" s="176">
        <v>3</v>
      </c>
      <c r="S19" s="198"/>
      <c r="T19" s="169" t="str">
        <f t="shared" si="0"/>
        <v/>
      </c>
      <c r="U19" s="169"/>
      <c r="V19" s="169"/>
      <c r="W19" s="169"/>
      <c r="X19" s="169"/>
      <c r="Y19" s="195"/>
      <c r="Z19" s="195"/>
      <c r="AA19" s="97" t="str">
        <f t="shared" si="1"/>
        <v/>
      </c>
      <c r="AB19" s="195"/>
      <c r="AC19" s="195"/>
      <c r="AD19" s="195"/>
      <c r="AE19" s="142" t="str">
        <f>IFERROR(IF(AND(T18="Probabilidad",T19="Probabilidad"),(AG18-(+AG18*AA19)),IF(AND(T18="Impacto",T19="Probabilidad"),(AG17-(+AG17*AA19)),IF(T19="Impacto",AG18,""))),"")</f>
        <v/>
      </c>
      <c r="AF19" s="130" t="str">
        <f t="shared" si="4"/>
        <v/>
      </c>
      <c r="AG19" s="97" t="str">
        <f t="shared" si="2"/>
        <v/>
      </c>
      <c r="AH19" s="130" t="str">
        <f t="shared" si="5"/>
        <v/>
      </c>
      <c r="AI19" s="97" t="str">
        <f>IFERROR(IF(AND(T18="Impacto",T19="Impacto"),(AI18-(+AI18*AA19)),IF(AND(T18="Probabilidad",T19="Impacto"),(AI17-(+AI17*AA19)),IF(T19="Probabilidad",AI18,""))),"")</f>
        <v/>
      </c>
      <c r="AJ19" s="98" t="str">
        <f t="shared" si="3"/>
        <v/>
      </c>
      <c r="AK19" s="463"/>
      <c r="AL19" s="185"/>
      <c r="AM19" s="185"/>
      <c r="AN19" s="199"/>
      <c r="AO19" s="199"/>
      <c r="AP19" s="185"/>
      <c r="AQ19" s="199"/>
      <c r="AR19" s="185"/>
      <c r="AS19" s="199"/>
      <c r="AT19" s="185"/>
      <c r="AU19" s="133"/>
      <c r="AV19" s="170"/>
      <c r="AW19" s="170"/>
      <c r="AX19" s="185"/>
      <c r="AY19" s="185"/>
      <c r="AZ19" s="185"/>
      <c r="BA19" s="199"/>
      <c r="BB19" s="199"/>
      <c r="BC19" s="185"/>
      <c r="BD19" s="185"/>
      <c r="BE19" s="185"/>
      <c r="BF19" s="199"/>
      <c r="BG19" s="199"/>
      <c r="BH19" s="185"/>
      <c r="BI19" s="185"/>
      <c r="BJ19" s="185"/>
      <c r="BK19" s="199"/>
      <c r="BL19" s="199"/>
      <c r="BM19" s="170"/>
      <c r="BN19" s="170"/>
      <c r="BO19" s="170"/>
      <c r="BP19" s="133"/>
      <c r="BQ19" s="133"/>
      <c r="BR19" s="133"/>
      <c r="BS19" s="170"/>
      <c r="BT19" s="170"/>
      <c r="BU19" s="170"/>
      <c r="BV19" s="133"/>
      <c r="BW19" s="170"/>
      <c r="BX19" s="170"/>
      <c r="BY19" s="293"/>
      <c r="BZ19" s="289"/>
      <c r="CA19" s="289"/>
      <c r="CB19" s="289"/>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row>
    <row r="20" spans="1:106" ht="16.5" customHeight="1" x14ac:dyDescent="0.3">
      <c r="A20" s="445"/>
      <c r="B20" s="460"/>
      <c r="C20" s="460"/>
      <c r="D20" s="460"/>
      <c r="E20" s="460"/>
      <c r="F20" s="460"/>
      <c r="G20" s="460"/>
      <c r="H20" s="460"/>
      <c r="I20" s="460"/>
      <c r="J20" s="445"/>
      <c r="K20" s="473"/>
      <c r="L20" s="470"/>
      <c r="M20" s="460"/>
      <c r="N20" s="460"/>
      <c r="O20" s="460"/>
      <c r="P20" s="470"/>
      <c r="Q20" s="471"/>
      <c r="R20" s="176">
        <v>4</v>
      </c>
      <c r="S20" s="184"/>
      <c r="T20" s="169" t="str">
        <f t="shared" si="0"/>
        <v/>
      </c>
      <c r="U20" s="169"/>
      <c r="V20" s="169"/>
      <c r="W20" s="169"/>
      <c r="X20" s="169"/>
      <c r="Y20" s="195"/>
      <c r="Z20" s="195"/>
      <c r="AA20" s="97" t="str">
        <f t="shared" si="1"/>
        <v/>
      </c>
      <c r="AB20" s="195"/>
      <c r="AC20" s="195"/>
      <c r="AD20" s="195"/>
      <c r="AE20" s="142" t="str">
        <f>IFERROR(IF(AND(T19="Probabilidad",T20="Probabilidad"),(AG19-(+AG19*AA20)),IF(AND(T19="Impacto",T20="Probabilidad"),(AG18-(+AG18*AA20)),IF(T20="Impacto",AG19,""))),"")</f>
        <v/>
      </c>
      <c r="AF20" s="130" t="str">
        <f t="shared" si="4"/>
        <v/>
      </c>
      <c r="AG20" s="97" t="str">
        <f t="shared" si="2"/>
        <v/>
      </c>
      <c r="AH20" s="130" t="str">
        <f t="shared" si="5"/>
        <v/>
      </c>
      <c r="AI20" s="97" t="str">
        <f>IFERROR(IF(AND(T19="Impacto",T20="Impacto"),(AI19-(+AI19*AA20)),IF(AND(T19="Probabilidad",T20="Impacto"),(AI18-(+AI18*AA20)),IF(T20="Probabilidad",AI19,""))),"")</f>
        <v/>
      </c>
      <c r="AJ20" s="98" t="str">
        <f t="shared" si="3"/>
        <v/>
      </c>
      <c r="AK20" s="463"/>
      <c r="AL20" s="185"/>
      <c r="AM20" s="185"/>
      <c r="AN20" s="199"/>
      <c r="AO20" s="199"/>
      <c r="AP20" s="185"/>
      <c r="AQ20" s="199"/>
      <c r="AR20" s="185"/>
      <c r="AS20" s="199"/>
      <c r="AT20" s="185"/>
      <c r="AU20" s="133"/>
      <c r="AV20" s="170"/>
      <c r="AW20" s="170"/>
      <c r="AX20" s="185"/>
      <c r="AY20" s="185"/>
      <c r="AZ20" s="185"/>
      <c r="BA20" s="199"/>
      <c r="BB20" s="199"/>
      <c r="BC20" s="185"/>
      <c r="BD20" s="185"/>
      <c r="BE20" s="185"/>
      <c r="BF20" s="199"/>
      <c r="BG20" s="199"/>
      <c r="BH20" s="185"/>
      <c r="BI20" s="185"/>
      <c r="BJ20" s="185"/>
      <c r="BK20" s="199"/>
      <c r="BL20" s="199"/>
      <c r="BM20" s="170"/>
      <c r="BN20" s="170"/>
      <c r="BO20" s="170"/>
      <c r="BP20" s="133"/>
      <c r="BQ20" s="133"/>
      <c r="BR20" s="133"/>
      <c r="BS20" s="170"/>
      <c r="BT20" s="170"/>
      <c r="BU20" s="170"/>
      <c r="BV20" s="133"/>
      <c r="BW20" s="170"/>
      <c r="BX20" s="170"/>
      <c r="BY20" s="293"/>
      <c r="BZ20" s="289"/>
      <c r="CA20" s="289"/>
      <c r="CB20" s="289"/>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row>
    <row r="21" spans="1:106" ht="16.5" customHeight="1" x14ac:dyDescent="0.3">
      <c r="A21" s="445"/>
      <c r="B21" s="460"/>
      <c r="C21" s="460"/>
      <c r="D21" s="460"/>
      <c r="E21" s="460"/>
      <c r="F21" s="460"/>
      <c r="G21" s="460"/>
      <c r="H21" s="460"/>
      <c r="I21" s="460"/>
      <c r="J21" s="445"/>
      <c r="K21" s="473"/>
      <c r="L21" s="470"/>
      <c r="M21" s="460"/>
      <c r="N21" s="460"/>
      <c r="O21" s="460"/>
      <c r="P21" s="470"/>
      <c r="Q21" s="471"/>
      <c r="R21" s="176">
        <v>5</v>
      </c>
      <c r="S21" s="184"/>
      <c r="T21" s="169" t="str">
        <f t="shared" si="0"/>
        <v/>
      </c>
      <c r="U21" s="169"/>
      <c r="V21" s="169"/>
      <c r="W21" s="169"/>
      <c r="X21" s="169"/>
      <c r="Y21" s="195"/>
      <c r="Z21" s="195"/>
      <c r="AA21" s="97" t="str">
        <f t="shared" si="1"/>
        <v/>
      </c>
      <c r="AB21" s="195"/>
      <c r="AC21" s="195"/>
      <c r="AD21" s="195"/>
      <c r="AE21" s="142" t="str">
        <f>IFERROR(IF(AND(T20="Probabilidad",T21="Probabilidad"),(AG20-(+AG20*AA21)),IF(AND(T20="Impacto",T21="Probabilidad"),(AG19-(+AG19*AA21)),IF(T21="Impacto",AG20,""))),"")</f>
        <v/>
      </c>
      <c r="AF21" s="130" t="str">
        <f t="shared" si="4"/>
        <v/>
      </c>
      <c r="AG21" s="97" t="str">
        <f t="shared" si="2"/>
        <v/>
      </c>
      <c r="AH21" s="130" t="str">
        <f t="shared" si="5"/>
        <v/>
      </c>
      <c r="AI21" s="97" t="str">
        <f>IFERROR(IF(AND(T20="Impacto",T21="Impacto"),(AI20-(+AI20*AA21)),IF(AND(T20="Probabilidad",T21="Impacto"),(AI19-(+AI19*AA21)),IF(T21="Probabilidad",AI20,""))),"")</f>
        <v/>
      </c>
      <c r="AJ21" s="98" t="str">
        <f t="shared" si="3"/>
        <v/>
      </c>
      <c r="AK21" s="463"/>
      <c r="AL21" s="185"/>
      <c r="AM21" s="185"/>
      <c r="AN21" s="199"/>
      <c r="AO21" s="199"/>
      <c r="AP21" s="185"/>
      <c r="AQ21" s="199"/>
      <c r="AR21" s="185"/>
      <c r="AS21" s="199"/>
      <c r="AT21" s="185"/>
      <c r="AU21" s="133"/>
      <c r="AV21" s="170"/>
      <c r="AW21" s="170"/>
      <c r="AX21" s="185"/>
      <c r="AY21" s="185"/>
      <c r="AZ21" s="185"/>
      <c r="BA21" s="199"/>
      <c r="BB21" s="199"/>
      <c r="BC21" s="185"/>
      <c r="BD21" s="185"/>
      <c r="BE21" s="185"/>
      <c r="BF21" s="199"/>
      <c r="BG21" s="199"/>
      <c r="BH21" s="185"/>
      <c r="BI21" s="185"/>
      <c r="BJ21" s="185"/>
      <c r="BK21" s="199"/>
      <c r="BL21" s="199"/>
      <c r="BM21" s="170"/>
      <c r="BN21" s="170"/>
      <c r="BO21" s="170"/>
      <c r="BP21" s="133"/>
      <c r="BQ21" s="133"/>
      <c r="BR21" s="133"/>
      <c r="BS21" s="170"/>
      <c r="BT21" s="170"/>
      <c r="BU21" s="170"/>
      <c r="BV21" s="133"/>
      <c r="BW21" s="170"/>
      <c r="BX21" s="170"/>
      <c r="BY21" s="293"/>
      <c r="BZ21" s="289"/>
      <c r="CA21" s="289"/>
      <c r="CB21" s="289"/>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row>
    <row r="22" spans="1:106" ht="16.5" customHeight="1" x14ac:dyDescent="0.3">
      <c r="A22" s="445"/>
      <c r="B22" s="461"/>
      <c r="C22" s="461"/>
      <c r="D22" s="461"/>
      <c r="E22" s="461"/>
      <c r="F22" s="461"/>
      <c r="G22" s="461"/>
      <c r="H22" s="461"/>
      <c r="I22" s="461"/>
      <c r="J22" s="445"/>
      <c r="K22" s="473"/>
      <c r="L22" s="470"/>
      <c r="M22" s="461"/>
      <c r="N22" s="461"/>
      <c r="O22" s="461"/>
      <c r="P22" s="470"/>
      <c r="Q22" s="471"/>
      <c r="R22" s="176">
        <v>6</v>
      </c>
      <c r="S22" s="184"/>
      <c r="T22" s="169" t="str">
        <f t="shared" si="0"/>
        <v/>
      </c>
      <c r="U22" s="169"/>
      <c r="V22" s="169"/>
      <c r="W22" s="169"/>
      <c r="X22" s="169"/>
      <c r="Y22" s="195"/>
      <c r="Z22" s="195"/>
      <c r="AA22" s="97" t="str">
        <f t="shared" si="1"/>
        <v/>
      </c>
      <c r="AB22" s="195"/>
      <c r="AC22" s="195"/>
      <c r="AD22" s="195"/>
      <c r="AE22" s="142" t="str">
        <f>IFERROR(IF(AND(T21="Probabilidad",T22="Probabilidad"),(AG21-(+AG21*AA22)),IF(AND(T21="Impacto",T22="Probabilidad"),(AG20-(+AG20*AA22)),IF(T22="Impacto",AG21,""))),"")</f>
        <v/>
      </c>
      <c r="AF22" s="130" t="str">
        <f t="shared" si="4"/>
        <v/>
      </c>
      <c r="AG22" s="97" t="str">
        <f t="shared" si="2"/>
        <v/>
      </c>
      <c r="AH22" s="130" t="str">
        <f t="shared" si="5"/>
        <v/>
      </c>
      <c r="AI22" s="97" t="str">
        <f>IFERROR(IF(AND(T21="Impacto",T22="Impacto"),(AI21-(+AI21*AA22)),IF(AND(T21="Probabilidad",T22="Impacto"),(AI20-(+AI20*AA22)),IF(T22="Probabilidad",AI21,""))),"")</f>
        <v/>
      </c>
      <c r="AJ22" s="98" t="str">
        <f t="shared" si="3"/>
        <v/>
      </c>
      <c r="AK22" s="464"/>
      <c r="AL22" s="185"/>
      <c r="AM22" s="185"/>
      <c r="AN22" s="199"/>
      <c r="AO22" s="199"/>
      <c r="AP22" s="185"/>
      <c r="AQ22" s="199"/>
      <c r="AR22" s="185"/>
      <c r="AS22" s="199"/>
      <c r="AT22" s="185"/>
      <c r="AU22" s="133"/>
      <c r="AV22" s="170"/>
      <c r="AW22" s="170"/>
      <c r="AX22" s="185"/>
      <c r="AY22" s="185"/>
      <c r="AZ22" s="185"/>
      <c r="BA22" s="199"/>
      <c r="BB22" s="199"/>
      <c r="BC22" s="185"/>
      <c r="BD22" s="185"/>
      <c r="BE22" s="185"/>
      <c r="BF22" s="199"/>
      <c r="BG22" s="199"/>
      <c r="BH22" s="185"/>
      <c r="BI22" s="185"/>
      <c r="BJ22" s="185"/>
      <c r="BK22" s="199"/>
      <c r="BL22" s="199"/>
      <c r="BM22" s="170"/>
      <c r="BN22" s="170"/>
      <c r="BO22" s="170"/>
      <c r="BP22" s="133"/>
      <c r="BQ22" s="133"/>
      <c r="BR22" s="133"/>
      <c r="BS22" s="170"/>
      <c r="BT22" s="170"/>
      <c r="BU22" s="170"/>
      <c r="BV22" s="133"/>
      <c r="BW22" s="170"/>
      <c r="BX22" s="170"/>
      <c r="BY22" s="293"/>
      <c r="BZ22" s="289"/>
      <c r="CA22" s="289"/>
      <c r="CB22" s="289"/>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row>
    <row r="23" spans="1:106" ht="16.5" customHeight="1" x14ac:dyDescent="0.3">
      <c r="A23" s="445">
        <v>4</v>
      </c>
      <c r="B23" s="446"/>
      <c r="C23" s="446"/>
      <c r="D23" s="446"/>
      <c r="E23" s="472"/>
      <c r="F23" s="446"/>
      <c r="G23" s="446"/>
      <c r="H23" s="446"/>
      <c r="I23" s="446"/>
      <c r="J23" s="445"/>
      <c r="K23" s="473" t="str">
        <f>IF(J23&lt;=0,"",IF(J23&lt;=2,"Muy Baja",IF(J23&lt;=24,"Baja",IF(J23&lt;=500,"Media",IF(J23&lt;=5000,"Alta","Muy Alta")))))</f>
        <v/>
      </c>
      <c r="L23" s="470" t="str">
        <f>IF(K23="","",IF(K23="Muy Baja",0.2,IF(K23="Baja",0.4,IF(K23="Media",0.6,IF(K23="Alta",0.8,IF(K23="Muy Alta",1,))))))</f>
        <v/>
      </c>
      <c r="M23" s="468"/>
      <c r="N23" s="468">
        <f ca="1">IF(NOT(ISERROR(MATCH(M23,'Tabla Impacto'!$B$221:$B$223,0))),'Tabla Impacto'!$F$223&amp;"Por favor no seleccionar los criterios de impacto(Afectación Económica o presupuestal y Pérdida Reputacional)",M23)</f>
        <v>0</v>
      </c>
      <c r="O23" s="469" t="str">
        <f ca="1">IF(OR(N23='Tabla Impacto'!$C$11,N23='Tabla Impacto'!$D$11),"Leve",IF(OR(N23='Tabla Impacto'!$C$12,N23='Tabla Impacto'!$D$12),"Menor",IF(OR(N23='Tabla Impacto'!$C$13,N23='Tabla Impacto'!$D$13),"Moderado",IF(OR(N23='Tabla Impacto'!$C$14,N23='Tabla Impacto'!$D$14),"Mayor",IF(OR(N23='Tabla Impacto'!$C$15,N23='Tabla Impacto'!$D$15),"Catastrófico","")))))</f>
        <v/>
      </c>
      <c r="P23" s="470" t="str">
        <f ca="1">IF(O23="","",IF(O23="Leve",0.2,IF(O23="Menor",0.4,IF(O23="Moderado",0.6,IF(O23="Mayor",0.8,IF(O23="Catastrófico",1,))))))</f>
        <v/>
      </c>
      <c r="Q23" s="471"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76">
        <v>1</v>
      </c>
      <c r="S23" s="184"/>
      <c r="T23" s="169" t="str">
        <f t="shared" si="0"/>
        <v/>
      </c>
      <c r="U23" s="169"/>
      <c r="V23" s="169"/>
      <c r="W23" s="169"/>
      <c r="X23" s="169"/>
      <c r="Y23" s="195"/>
      <c r="Z23" s="195"/>
      <c r="AA23" s="97" t="str">
        <f t="shared" si="1"/>
        <v/>
      </c>
      <c r="AB23" s="195"/>
      <c r="AC23" s="195"/>
      <c r="AD23" s="195"/>
      <c r="AE23" s="142" t="str">
        <f>IFERROR(IF(T23="Probabilidad",(L23-(+L23*AA23)),IF(T23="Impacto",L23,"")),"")</f>
        <v/>
      </c>
      <c r="AF23" s="130" t="str">
        <f>IFERROR(IF(AE23="","",IF(AE23&lt;=0.2,"Muy Baja",IF(AE23&lt;=0.4,"Baja",IF(AE23&lt;=0.6,"Media",IF(AE23&lt;=0.8,"Alta","Muy Alta"))))),"")</f>
        <v/>
      </c>
      <c r="AG23" s="97" t="str">
        <f t="shared" si="2"/>
        <v/>
      </c>
      <c r="AH23" s="130" t="str">
        <f>IFERROR(IF(AI23="","",IF(AI23&lt;=0.2,"Leve",IF(AI23&lt;=0.4,"Menor",IF(AI23&lt;=0.6,"Moderado",IF(AI23&lt;=0.8,"Mayor","Catastrófico"))))),"")</f>
        <v/>
      </c>
      <c r="AI23" s="97" t="str">
        <f>IFERROR(IF(T23="Impacto",(P23-(+P23*AA23)),IF(T23="Probabilidad",P23,"")),"")</f>
        <v/>
      </c>
      <c r="AJ23" s="98" t="str">
        <f t="shared" si="3"/>
        <v/>
      </c>
      <c r="AK23" s="453"/>
      <c r="AL23" s="185"/>
      <c r="AM23" s="176"/>
      <c r="AN23" s="188"/>
      <c r="AO23" s="188"/>
      <c r="AP23" s="185"/>
      <c r="AQ23" s="188"/>
      <c r="AR23" s="185"/>
      <c r="AS23" s="188"/>
      <c r="AT23" s="185"/>
      <c r="AU23" s="99"/>
      <c r="AV23" s="170"/>
      <c r="AW23" s="131"/>
      <c r="AX23" s="185"/>
      <c r="AY23" s="185"/>
      <c r="AZ23" s="176"/>
      <c r="BA23" s="188"/>
      <c r="BB23" s="188"/>
      <c r="BC23" s="185"/>
      <c r="BD23" s="185"/>
      <c r="BE23" s="176"/>
      <c r="BF23" s="188"/>
      <c r="BG23" s="188"/>
      <c r="BH23" s="185"/>
      <c r="BI23" s="185"/>
      <c r="BJ23" s="176"/>
      <c r="BK23" s="188"/>
      <c r="BL23" s="188"/>
      <c r="BM23" s="170"/>
      <c r="BN23" s="170"/>
      <c r="BO23" s="131"/>
      <c r="BP23" s="99"/>
      <c r="BQ23" s="99"/>
      <c r="BR23" s="133"/>
      <c r="BS23" s="170"/>
      <c r="BT23" s="170"/>
      <c r="BU23" s="170"/>
      <c r="BV23" s="99"/>
      <c r="BW23" s="170"/>
      <c r="BX23" s="170"/>
      <c r="BY23" s="295"/>
      <c r="BZ23" s="289"/>
      <c r="CA23" s="290"/>
      <c r="CB23" s="289"/>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row>
    <row r="24" spans="1:106" ht="16.5" customHeight="1" x14ac:dyDescent="0.3">
      <c r="A24" s="445"/>
      <c r="B24" s="446"/>
      <c r="C24" s="446"/>
      <c r="D24" s="446"/>
      <c r="E24" s="472"/>
      <c r="F24" s="446"/>
      <c r="G24" s="446"/>
      <c r="H24" s="446"/>
      <c r="I24" s="446"/>
      <c r="J24" s="445"/>
      <c r="K24" s="473"/>
      <c r="L24" s="470"/>
      <c r="M24" s="460"/>
      <c r="N24" s="460"/>
      <c r="O24" s="460"/>
      <c r="P24" s="470"/>
      <c r="Q24" s="471"/>
      <c r="R24" s="176">
        <v>2</v>
      </c>
      <c r="S24" s="184"/>
      <c r="T24" s="169" t="str">
        <f t="shared" si="0"/>
        <v/>
      </c>
      <c r="U24" s="169"/>
      <c r="V24" s="169"/>
      <c r="W24" s="169"/>
      <c r="X24" s="169"/>
      <c r="Y24" s="195"/>
      <c r="Z24" s="195"/>
      <c r="AA24" s="97" t="str">
        <f t="shared" si="1"/>
        <v/>
      </c>
      <c r="AB24" s="195"/>
      <c r="AC24" s="195"/>
      <c r="AD24" s="195"/>
      <c r="AE24" s="142" t="str">
        <f>IFERROR(IF(AND(T23="Probabilidad",T24="Probabilidad"),(AG23-(+AG23*AA24)),IF(T24="Probabilidad",(L23-(+L23*AA24)),IF(T24="Impacto",AG23,""))),"")</f>
        <v/>
      </c>
      <c r="AF24" s="130" t="str">
        <f t="shared" si="4"/>
        <v/>
      </c>
      <c r="AG24" s="97" t="str">
        <f t="shared" si="2"/>
        <v/>
      </c>
      <c r="AH24" s="130" t="str">
        <f t="shared" si="5"/>
        <v/>
      </c>
      <c r="AI24" s="97" t="str">
        <f>IFERROR(IF(AND(T23="Impacto",T24="Impacto"),(AI17-(+AI17*AA24)),IF(T24="Impacto",($P$23-(+$P$23*AA24)),IF(T24="Probabilidad",AI17,""))),"")</f>
        <v/>
      </c>
      <c r="AJ24" s="98" t="str">
        <f t="shared" si="3"/>
        <v/>
      </c>
      <c r="AK24" s="454"/>
      <c r="AL24" s="185"/>
      <c r="AM24" s="176"/>
      <c r="AN24" s="188"/>
      <c r="AO24" s="188"/>
      <c r="AP24" s="185"/>
      <c r="AQ24" s="188"/>
      <c r="AR24" s="185"/>
      <c r="AS24" s="188"/>
      <c r="AT24" s="185"/>
      <c r="AU24" s="99"/>
      <c r="AV24" s="170"/>
      <c r="AW24" s="131"/>
      <c r="AX24" s="185"/>
      <c r="AY24" s="185"/>
      <c r="AZ24" s="176"/>
      <c r="BA24" s="188"/>
      <c r="BB24" s="188"/>
      <c r="BC24" s="185"/>
      <c r="BD24" s="185"/>
      <c r="BE24" s="176"/>
      <c r="BF24" s="188"/>
      <c r="BG24" s="188"/>
      <c r="BH24" s="185"/>
      <c r="BI24" s="185"/>
      <c r="BJ24" s="176"/>
      <c r="BK24" s="188"/>
      <c r="BL24" s="188"/>
      <c r="BM24" s="170"/>
      <c r="BN24" s="170"/>
      <c r="BO24" s="131"/>
      <c r="BP24" s="99"/>
      <c r="BQ24" s="99"/>
      <c r="BR24" s="133"/>
      <c r="BS24" s="170"/>
      <c r="BT24" s="170"/>
      <c r="BU24" s="170"/>
      <c r="BV24" s="99"/>
      <c r="BW24" s="170"/>
      <c r="BX24" s="170"/>
      <c r="BY24" s="295"/>
      <c r="BZ24" s="289"/>
      <c r="CA24" s="290"/>
      <c r="CB24" s="289"/>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row>
    <row r="25" spans="1:106" ht="16.5" customHeight="1" x14ac:dyDescent="0.3">
      <c r="A25" s="445"/>
      <c r="B25" s="446"/>
      <c r="C25" s="446"/>
      <c r="D25" s="446"/>
      <c r="E25" s="472"/>
      <c r="F25" s="446"/>
      <c r="G25" s="446"/>
      <c r="H25" s="446"/>
      <c r="I25" s="446"/>
      <c r="J25" s="445"/>
      <c r="K25" s="473"/>
      <c r="L25" s="470"/>
      <c r="M25" s="460"/>
      <c r="N25" s="460"/>
      <c r="O25" s="460"/>
      <c r="P25" s="470"/>
      <c r="Q25" s="471"/>
      <c r="R25" s="176">
        <v>3</v>
      </c>
      <c r="S25" s="198"/>
      <c r="T25" s="169" t="str">
        <f t="shared" si="0"/>
        <v/>
      </c>
      <c r="U25" s="169"/>
      <c r="V25" s="169"/>
      <c r="W25" s="169"/>
      <c r="X25" s="169"/>
      <c r="Y25" s="195"/>
      <c r="Z25" s="195"/>
      <c r="AA25" s="97" t="str">
        <f t="shared" si="1"/>
        <v/>
      </c>
      <c r="AB25" s="195"/>
      <c r="AC25" s="195"/>
      <c r="AD25" s="195"/>
      <c r="AE25" s="142" t="str">
        <f>IFERROR(IF(AND(T24="Probabilidad",T25="Probabilidad"),(AG24-(+AG24*AA25)),IF(AND(T24="Impacto",T25="Probabilidad"),(AG23-(+AG23*AA25)),IF(T25="Impacto",AG24,""))),"")</f>
        <v/>
      </c>
      <c r="AF25" s="130" t="str">
        <f t="shared" si="4"/>
        <v/>
      </c>
      <c r="AG25" s="97" t="str">
        <f t="shared" si="2"/>
        <v/>
      </c>
      <c r="AH25" s="130" t="str">
        <f t="shared" si="5"/>
        <v/>
      </c>
      <c r="AI25" s="97" t="str">
        <f>IFERROR(IF(AND(T24="Impacto",T25="Impacto"),(AI24-(+AI24*AA25)),IF(AND(T24="Probabilidad",T25="Impacto"),(AI23-(+AI23*AA25)),IF(T25="Probabilidad",AI24,""))),"")</f>
        <v/>
      </c>
      <c r="AJ25" s="98" t="str">
        <f t="shared" si="3"/>
        <v/>
      </c>
      <c r="AK25" s="454"/>
      <c r="AL25" s="185"/>
      <c r="AM25" s="176"/>
      <c r="AN25" s="188"/>
      <c r="AO25" s="188"/>
      <c r="AP25" s="185"/>
      <c r="AQ25" s="188"/>
      <c r="AR25" s="185"/>
      <c r="AS25" s="188"/>
      <c r="AT25" s="185"/>
      <c r="AU25" s="99"/>
      <c r="AV25" s="170"/>
      <c r="AW25" s="131"/>
      <c r="AX25" s="185"/>
      <c r="AY25" s="185"/>
      <c r="AZ25" s="176"/>
      <c r="BA25" s="188"/>
      <c r="BB25" s="188"/>
      <c r="BC25" s="185"/>
      <c r="BD25" s="185"/>
      <c r="BE25" s="176"/>
      <c r="BF25" s="188"/>
      <c r="BG25" s="188"/>
      <c r="BH25" s="185"/>
      <c r="BI25" s="185"/>
      <c r="BJ25" s="176"/>
      <c r="BK25" s="188"/>
      <c r="BL25" s="188"/>
      <c r="BM25" s="170"/>
      <c r="BN25" s="170"/>
      <c r="BO25" s="131"/>
      <c r="BP25" s="99"/>
      <c r="BQ25" s="99"/>
      <c r="BR25" s="133"/>
      <c r="BS25" s="170"/>
      <c r="BT25" s="170"/>
      <c r="BU25" s="170"/>
      <c r="BV25" s="99"/>
      <c r="BW25" s="170"/>
      <c r="BX25" s="170"/>
      <c r="BY25" s="295"/>
      <c r="BZ25" s="289"/>
      <c r="CA25" s="290"/>
      <c r="CB25" s="289"/>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row>
    <row r="26" spans="1:106" ht="16.5" customHeight="1" x14ac:dyDescent="0.3">
      <c r="A26" s="445"/>
      <c r="B26" s="446"/>
      <c r="C26" s="446"/>
      <c r="D26" s="446"/>
      <c r="E26" s="472"/>
      <c r="F26" s="446"/>
      <c r="G26" s="446"/>
      <c r="H26" s="446"/>
      <c r="I26" s="446"/>
      <c r="J26" s="445"/>
      <c r="K26" s="473"/>
      <c r="L26" s="470"/>
      <c r="M26" s="460"/>
      <c r="N26" s="460"/>
      <c r="O26" s="460"/>
      <c r="P26" s="470"/>
      <c r="Q26" s="471"/>
      <c r="R26" s="176">
        <v>4</v>
      </c>
      <c r="S26" s="184"/>
      <c r="T26" s="169" t="str">
        <f t="shared" si="0"/>
        <v/>
      </c>
      <c r="U26" s="169"/>
      <c r="V26" s="169"/>
      <c r="W26" s="169"/>
      <c r="X26" s="169"/>
      <c r="Y26" s="195"/>
      <c r="Z26" s="195"/>
      <c r="AA26" s="97" t="str">
        <f t="shared" si="1"/>
        <v/>
      </c>
      <c r="AB26" s="195"/>
      <c r="AC26" s="195"/>
      <c r="AD26" s="195"/>
      <c r="AE26" s="142" t="str">
        <f>IFERROR(IF(AND(T25="Probabilidad",T26="Probabilidad"),(AG25-(+AG25*AA26)),IF(AND(T25="Impacto",T26="Probabilidad"),(AG24-(+AG24*AA26)),IF(T26="Impacto",AG25,""))),"")</f>
        <v/>
      </c>
      <c r="AF26" s="130" t="str">
        <f t="shared" si="4"/>
        <v/>
      </c>
      <c r="AG26" s="97" t="str">
        <f t="shared" si="2"/>
        <v/>
      </c>
      <c r="AH26" s="130" t="str">
        <f t="shared" si="5"/>
        <v/>
      </c>
      <c r="AI26" s="97" t="str">
        <f>IFERROR(IF(AND(T25="Impacto",T26="Impacto"),(AI25-(+AI25*AA26)),IF(AND(T25="Probabilidad",T26="Impacto"),(AI24-(+AI24*AA26)),IF(T26="Probabilidad",AI25,""))),"")</f>
        <v/>
      </c>
      <c r="AJ26" s="98" t="str">
        <f t="shared" si="3"/>
        <v/>
      </c>
      <c r="AK26" s="454"/>
      <c r="AL26" s="185"/>
      <c r="AM26" s="176"/>
      <c r="AN26" s="188"/>
      <c r="AO26" s="188"/>
      <c r="AP26" s="185"/>
      <c r="AQ26" s="188"/>
      <c r="AR26" s="185"/>
      <c r="AS26" s="188"/>
      <c r="AT26" s="185"/>
      <c r="AU26" s="99"/>
      <c r="AV26" s="170"/>
      <c r="AW26" s="131"/>
      <c r="AX26" s="185"/>
      <c r="AY26" s="185"/>
      <c r="AZ26" s="176"/>
      <c r="BA26" s="188"/>
      <c r="BB26" s="188"/>
      <c r="BC26" s="185"/>
      <c r="BD26" s="185"/>
      <c r="BE26" s="176"/>
      <c r="BF26" s="188"/>
      <c r="BG26" s="188"/>
      <c r="BH26" s="185"/>
      <c r="BI26" s="185"/>
      <c r="BJ26" s="176"/>
      <c r="BK26" s="188"/>
      <c r="BL26" s="188"/>
      <c r="BM26" s="170"/>
      <c r="BN26" s="170"/>
      <c r="BO26" s="131"/>
      <c r="BP26" s="99"/>
      <c r="BQ26" s="99"/>
      <c r="BR26" s="133"/>
      <c r="BS26" s="170"/>
      <c r="BT26" s="170"/>
      <c r="BU26" s="170"/>
      <c r="BV26" s="99"/>
      <c r="BW26" s="170"/>
      <c r="BX26" s="170"/>
      <c r="BY26" s="295"/>
      <c r="BZ26" s="289"/>
      <c r="CA26" s="290"/>
      <c r="CB26" s="289"/>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row>
    <row r="27" spans="1:106" ht="16.5" customHeight="1" x14ac:dyDescent="0.3">
      <c r="A27" s="445"/>
      <c r="B27" s="446"/>
      <c r="C27" s="446"/>
      <c r="D27" s="446"/>
      <c r="E27" s="472"/>
      <c r="F27" s="446"/>
      <c r="G27" s="446"/>
      <c r="H27" s="446"/>
      <c r="I27" s="446"/>
      <c r="J27" s="445"/>
      <c r="K27" s="473"/>
      <c r="L27" s="470"/>
      <c r="M27" s="460"/>
      <c r="N27" s="460"/>
      <c r="O27" s="460"/>
      <c r="P27" s="470"/>
      <c r="Q27" s="471"/>
      <c r="R27" s="176">
        <v>5</v>
      </c>
      <c r="S27" s="184"/>
      <c r="T27" s="169" t="str">
        <f t="shared" si="0"/>
        <v/>
      </c>
      <c r="U27" s="169"/>
      <c r="V27" s="169"/>
      <c r="W27" s="169"/>
      <c r="X27" s="169"/>
      <c r="Y27" s="195"/>
      <c r="Z27" s="195"/>
      <c r="AA27" s="97" t="str">
        <f t="shared" si="1"/>
        <v/>
      </c>
      <c r="AB27" s="195"/>
      <c r="AC27" s="195"/>
      <c r="AD27" s="195"/>
      <c r="AE27" s="141" t="str">
        <f>IFERROR(IF(AND(T26="Probabilidad",T27="Probabilidad"),(AG26-(+AG26*AA27)),IF(AND(T26="Impacto",T27="Probabilidad"),(AG25-(+AG25*AA27)),IF(T27="Impacto",AG26,""))),"")</f>
        <v/>
      </c>
      <c r="AF27" s="130" t="str">
        <f>IFERROR(IF(AE27="","",IF(AE27&lt;=0.2,"Muy Baja",IF(AE27&lt;=0.4,"Baja",IF(AE27&lt;=0.6,"Media",IF(AE27&lt;=0.8,"Alta","Muy Alta"))))),"")</f>
        <v/>
      </c>
      <c r="AG27" s="97" t="str">
        <f t="shared" si="2"/>
        <v/>
      </c>
      <c r="AH27" s="130" t="str">
        <f t="shared" si="5"/>
        <v/>
      </c>
      <c r="AI27" s="97" t="str">
        <f>IFERROR(IF(AND(T26="Impacto",T27="Impacto"),(AI26-(+AI26*AA27)),IF(AND(T26="Probabilidad",T27="Impacto"),(AI25-(+AI25*AA27)),IF(T27="Probabilidad",AI26,""))),"")</f>
        <v/>
      </c>
      <c r="AJ27" s="98" t="str">
        <f t="shared" si="3"/>
        <v/>
      </c>
      <c r="AK27" s="454"/>
      <c r="AL27" s="185"/>
      <c r="AM27" s="176"/>
      <c r="AN27" s="188"/>
      <c r="AO27" s="188"/>
      <c r="AP27" s="185"/>
      <c r="AQ27" s="188"/>
      <c r="AR27" s="185"/>
      <c r="AS27" s="188"/>
      <c r="AT27" s="185"/>
      <c r="AU27" s="99"/>
      <c r="AV27" s="170"/>
      <c r="AW27" s="131"/>
      <c r="AX27" s="185"/>
      <c r="AY27" s="185"/>
      <c r="AZ27" s="176"/>
      <c r="BA27" s="188"/>
      <c r="BB27" s="188"/>
      <c r="BC27" s="185"/>
      <c r="BD27" s="185"/>
      <c r="BE27" s="176"/>
      <c r="BF27" s="188"/>
      <c r="BG27" s="188"/>
      <c r="BH27" s="185"/>
      <c r="BI27" s="185"/>
      <c r="BJ27" s="176"/>
      <c r="BK27" s="188"/>
      <c r="BL27" s="188"/>
      <c r="BM27" s="170"/>
      <c r="BN27" s="170"/>
      <c r="BO27" s="131"/>
      <c r="BP27" s="99"/>
      <c r="BQ27" s="99"/>
      <c r="BR27" s="133"/>
      <c r="BS27" s="170"/>
      <c r="BT27" s="170"/>
      <c r="BU27" s="170"/>
      <c r="BV27" s="99"/>
      <c r="BW27" s="170"/>
      <c r="BX27" s="170"/>
      <c r="BY27" s="295"/>
      <c r="BZ27" s="289"/>
      <c r="CA27" s="290"/>
      <c r="CB27" s="289"/>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row>
    <row r="28" spans="1:106" ht="16.5" customHeight="1" x14ac:dyDescent="0.3">
      <c r="A28" s="445"/>
      <c r="B28" s="446"/>
      <c r="C28" s="446"/>
      <c r="D28" s="446"/>
      <c r="E28" s="472"/>
      <c r="F28" s="446"/>
      <c r="G28" s="446"/>
      <c r="H28" s="446"/>
      <c r="I28" s="446"/>
      <c r="J28" s="445"/>
      <c r="K28" s="473"/>
      <c r="L28" s="470"/>
      <c r="M28" s="461"/>
      <c r="N28" s="461"/>
      <c r="O28" s="461"/>
      <c r="P28" s="470"/>
      <c r="Q28" s="471"/>
      <c r="R28" s="176">
        <v>6</v>
      </c>
      <c r="S28" s="184"/>
      <c r="T28" s="169" t="str">
        <f t="shared" si="0"/>
        <v/>
      </c>
      <c r="U28" s="169"/>
      <c r="V28" s="169"/>
      <c r="W28" s="169"/>
      <c r="X28" s="169"/>
      <c r="Y28" s="195"/>
      <c r="Z28" s="195"/>
      <c r="AA28" s="97" t="str">
        <f t="shared" si="1"/>
        <v/>
      </c>
      <c r="AB28" s="195"/>
      <c r="AC28" s="195"/>
      <c r="AD28" s="195"/>
      <c r="AE28" s="142" t="str">
        <f>IFERROR(IF(AND(T27="Probabilidad",T28="Probabilidad"),(AG27-(+AG27*AA28)),IF(AND(T27="Impacto",T28="Probabilidad"),(AG26-(+AG26*AA28)),IF(T28="Impacto",AG27,""))),"")</f>
        <v/>
      </c>
      <c r="AF28" s="130" t="str">
        <f t="shared" si="4"/>
        <v/>
      </c>
      <c r="AG28" s="97" t="str">
        <f t="shared" si="2"/>
        <v/>
      </c>
      <c r="AH28" s="130" t="str">
        <f t="shared" si="5"/>
        <v/>
      </c>
      <c r="AI28" s="97" t="str">
        <f>IFERROR(IF(AND(T27="Impacto",T28="Impacto"),(AI27-(+AI27*AA28)),IF(AND(T27="Probabilidad",T28="Impacto"),(AI26-(+AI26*AA28)),IF(T28="Probabilidad",AI27,""))),"")</f>
        <v/>
      </c>
      <c r="AJ28" s="98" t="str">
        <f t="shared" si="3"/>
        <v/>
      </c>
      <c r="AK28" s="455"/>
      <c r="AL28" s="185"/>
      <c r="AM28" s="176"/>
      <c r="AN28" s="188"/>
      <c r="AO28" s="188"/>
      <c r="AP28" s="185"/>
      <c r="AQ28" s="188"/>
      <c r="AR28" s="185"/>
      <c r="AS28" s="188"/>
      <c r="AT28" s="185"/>
      <c r="AU28" s="99"/>
      <c r="AV28" s="170"/>
      <c r="AW28" s="131"/>
      <c r="AX28" s="185"/>
      <c r="AY28" s="185"/>
      <c r="AZ28" s="176"/>
      <c r="BA28" s="188"/>
      <c r="BB28" s="188"/>
      <c r="BC28" s="185"/>
      <c r="BD28" s="185"/>
      <c r="BE28" s="176"/>
      <c r="BF28" s="188"/>
      <c r="BG28" s="188"/>
      <c r="BH28" s="185"/>
      <c r="BI28" s="185"/>
      <c r="BJ28" s="176"/>
      <c r="BK28" s="188"/>
      <c r="BL28" s="188"/>
      <c r="BM28" s="170"/>
      <c r="BN28" s="170"/>
      <c r="BO28" s="131"/>
      <c r="BP28" s="99"/>
      <c r="BQ28" s="99"/>
      <c r="BR28" s="133"/>
      <c r="BS28" s="170"/>
      <c r="BT28" s="170"/>
      <c r="BU28" s="170"/>
      <c r="BV28" s="99"/>
      <c r="BW28" s="170"/>
      <c r="BX28" s="170"/>
      <c r="BY28" s="295"/>
      <c r="BZ28" s="289"/>
      <c r="CA28" s="290"/>
      <c r="CB28" s="289"/>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row>
    <row r="29" spans="1:106" ht="16.5" customHeight="1" x14ac:dyDescent="0.3">
      <c r="A29" s="445">
        <v>5</v>
      </c>
      <c r="B29" s="446"/>
      <c r="C29" s="446"/>
      <c r="D29" s="446"/>
      <c r="E29" s="472"/>
      <c r="F29" s="446"/>
      <c r="G29" s="446"/>
      <c r="H29" s="446"/>
      <c r="I29" s="446"/>
      <c r="J29" s="445"/>
      <c r="K29" s="473" t="str">
        <f>IF(J29&lt;=0,"",IF(J29&lt;=2,"Muy Baja",IF(J29&lt;=24,"Baja",IF(J29&lt;=500,"Media",IF(J29&lt;=5000,"Alta","Muy Alta")))))</f>
        <v/>
      </c>
      <c r="L29" s="470" t="str">
        <f>IF(K29="","",IF(K29="Muy Baja",0.2,IF(K29="Baja",0.4,IF(K29="Media",0.6,IF(K29="Alta",0.8,IF(K29="Muy Alta",1,))))))</f>
        <v/>
      </c>
      <c r="M29" s="468"/>
      <c r="N29" s="468">
        <f ca="1">IF(NOT(ISERROR(MATCH(M29,'Tabla Impacto'!$B$221:$B$223,0))),'Tabla Impacto'!$F$223&amp;"Por favor no seleccionar los criterios de impacto(Afectación Económica o presupuestal y Pérdida Reputacional)",M29)</f>
        <v>0</v>
      </c>
      <c r="O29" s="469" t="str">
        <f ca="1">IF(OR(N29='Tabla Impacto'!$C$11,N29='Tabla Impacto'!$D$11),"Leve",IF(OR(N29='Tabla Impacto'!$C$12,N29='Tabla Impacto'!$D$12),"Menor",IF(OR(N29='Tabla Impacto'!$C$13,N29='Tabla Impacto'!$D$13),"Moderado",IF(OR(N29='Tabla Impacto'!$C$14,N29='Tabla Impacto'!$D$14),"Mayor",IF(OR(N29='Tabla Impacto'!$C$15,N29='Tabla Impacto'!$D$15),"Catastrófico","")))))</f>
        <v/>
      </c>
      <c r="P29" s="470" t="str">
        <f ca="1">IF(O29="","",IF(O29="Leve",0.2,IF(O29="Menor",0.4,IF(O29="Moderado",0.6,IF(O29="Mayor",0.8,IF(O29="Catastrófico",1,))))))</f>
        <v/>
      </c>
      <c r="Q29" s="471"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76">
        <v>1</v>
      </c>
      <c r="S29" s="184"/>
      <c r="T29" s="169" t="str">
        <f t="shared" si="0"/>
        <v/>
      </c>
      <c r="U29" s="169"/>
      <c r="V29" s="169"/>
      <c r="W29" s="169"/>
      <c r="X29" s="169"/>
      <c r="Y29" s="195"/>
      <c r="Z29" s="195"/>
      <c r="AA29" s="97" t="str">
        <f t="shared" si="1"/>
        <v/>
      </c>
      <c r="AB29" s="195"/>
      <c r="AC29" s="195"/>
      <c r="AD29" s="195"/>
      <c r="AE29" s="142" t="str">
        <f>IFERROR(IF(T29="Probabilidad",(L29-(+L29*AA29)),IF(T29="Impacto",L29,"")),"")</f>
        <v/>
      </c>
      <c r="AF29" s="130" t="str">
        <f>IFERROR(IF(AE29="","",IF(AE29&lt;=0.2,"Muy Baja",IF(AE29&lt;=0.4,"Baja",IF(AE29&lt;=0.6,"Media",IF(AE29&lt;=0.8,"Alta","Muy Alta"))))),"")</f>
        <v/>
      </c>
      <c r="AG29" s="97" t="str">
        <f t="shared" si="2"/>
        <v/>
      </c>
      <c r="AH29" s="130" t="str">
        <f>IFERROR(IF(AI29="","",IF(AI29&lt;=0.2,"Leve",IF(AI29&lt;=0.4,"Menor",IF(AI29&lt;=0.6,"Moderado",IF(AI29&lt;=0.8,"Mayor","Catastrófico"))))),"")</f>
        <v/>
      </c>
      <c r="AI29" s="97" t="str">
        <f>IFERROR(IF(T29="Impacto",(P29-(+P29*AA29)),IF(T29="Probabilidad",P29,"")),"")</f>
        <v/>
      </c>
      <c r="AJ29" s="98" t="str">
        <f t="shared" si="3"/>
        <v/>
      </c>
      <c r="AK29" s="453"/>
      <c r="AL29" s="185"/>
      <c r="AM29" s="176"/>
      <c r="AN29" s="188"/>
      <c r="AO29" s="188"/>
      <c r="AP29" s="185"/>
      <c r="AQ29" s="188"/>
      <c r="AR29" s="185"/>
      <c r="AS29" s="188"/>
      <c r="AT29" s="185"/>
      <c r="AU29" s="99"/>
      <c r="AV29" s="170"/>
      <c r="AW29" s="131"/>
      <c r="AX29" s="185"/>
      <c r="AY29" s="185"/>
      <c r="AZ29" s="176"/>
      <c r="BA29" s="188"/>
      <c r="BB29" s="188"/>
      <c r="BC29" s="185"/>
      <c r="BD29" s="185"/>
      <c r="BE29" s="176"/>
      <c r="BF29" s="188"/>
      <c r="BG29" s="188"/>
      <c r="BH29" s="185"/>
      <c r="BI29" s="185"/>
      <c r="BJ29" s="176"/>
      <c r="BK29" s="188"/>
      <c r="BL29" s="188"/>
      <c r="BM29" s="170"/>
      <c r="BN29" s="170"/>
      <c r="BO29" s="131"/>
      <c r="BP29" s="99"/>
      <c r="BQ29" s="99"/>
      <c r="BR29" s="133"/>
      <c r="BS29" s="170"/>
      <c r="BT29" s="170"/>
      <c r="BU29" s="170"/>
      <c r="BV29" s="99"/>
      <c r="BW29" s="170"/>
      <c r="BX29" s="170"/>
      <c r="BY29" s="295"/>
      <c r="BZ29" s="289"/>
      <c r="CA29" s="290"/>
      <c r="CB29" s="289"/>
      <c r="CC29" s="134"/>
      <c r="CD29" s="134"/>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row>
    <row r="30" spans="1:106" ht="16.5" customHeight="1" x14ac:dyDescent="0.3">
      <c r="A30" s="445"/>
      <c r="B30" s="446"/>
      <c r="C30" s="446"/>
      <c r="D30" s="446"/>
      <c r="E30" s="472"/>
      <c r="F30" s="446"/>
      <c r="G30" s="446"/>
      <c r="H30" s="446"/>
      <c r="I30" s="446"/>
      <c r="J30" s="445"/>
      <c r="K30" s="473"/>
      <c r="L30" s="470"/>
      <c r="M30" s="460"/>
      <c r="N30" s="460"/>
      <c r="O30" s="460"/>
      <c r="P30" s="470"/>
      <c r="Q30" s="471"/>
      <c r="R30" s="176">
        <v>2</v>
      </c>
      <c r="S30" s="184"/>
      <c r="T30" s="169" t="str">
        <f t="shared" si="0"/>
        <v/>
      </c>
      <c r="U30" s="169"/>
      <c r="V30" s="169"/>
      <c r="W30" s="169"/>
      <c r="X30" s="169"/>
      <c r="Y30" s="195"/>
      <c r="Z30" s="195"/>
      <c r="AA30" s="97" t="str">
        <f t="shared" si="1"/>
        <v/>
      </c>
      <c r="AB30" s="195"/>
      <c r="AC30" s="195"/>
      <c r="AD30" s="195"/>
      <c r="AE30" s="142" t="str">
        <f>IFERROR(IF(AND(T29="Probabilidad",T30="Probabilidad"),(AG29-(+AG29*AA30)),IF(T30="Probabilidad",(L29-(+L29*AA30)),IF(T30="Impacto",AG29,""))),"")</f>
        <v/>
      </c>
      <c r="AF30" s="130" t="str">
        <f t="shared" si="4"/>
        <v/>
      </c>
      <c r="AG30" s="97" t="str">
        <f t="shared" si="2"/>
        <v/>
      </c>
      <c r="AH30" s="130" t="str">
        <f t="shared" si="5"/>
        <v/>
      </c>
      <c r="AI30" s="97" t="str">
        <f>IFERROR(IF(AND(T29="Impacto",T30="Impacto"),(AI23-(+AI23*AA30)),IF(T30="Impacto",($P$29-(+$P$29*AA30)),IF(T30="Probabilidad",AI23,""))),"")</f>
        <v/>
      </c>
      <c r="AJ30" s="98" t="str">
        <f t="shared" si="3"/>
        <v/>
      </c>
      <c r="AK30" s="454"/>
      <c r="AL30" s="185"/>
      <c r="AM30" s="176"/>
      <c r="AN30" s="188"/>
      <c r="AO30" s="188"/>
      <c r="AP30" s="185"/>
      <c r="AQ30" s="188"/>
      <c r="AR30" s="185"/>
      <c r="AS30" s="188"/>
      <c r="AT30" s="185"/>
      <c r="AU30" s="99"/>
      <c r="AV30" s="170"/>
      <c r="AW30" s="131"/>
      <c r="AX30" s="185"/>
      <c r="AY30" s="185"/>
      <c r="AZ30" s="176"/>
      <c r="BA30" s="188"/>
      <c r="BB30" s="188"/>
      <c r="BC30" s="185"/>
      <c r="BD30" s="185"/>
      <c r="BE30" s="176"/>
      <c r="BF30" s="188"/>
      <c r="BG30" s="188"/>
      <c r="BH30" s="185"/>
      <c r="BI30" s="185"/>
      <c r="BJ30" s="176"/>
      <c r="BK30" s="188"/>
      <c r="BL30" s="188"/>
      <c r="BM30" s="170"/>
      <c r="BN30" s="170"/>
      <c r="BO30" s="131"/>
      <c r="BP30" s="99"/>
      <c r="BQ30" s="99"/>
      <c r="BR30" s="133"/>
      <c r="BS30" s="170"/>
      <c r="BT30" s="170"/>
      <c r="BU30" s="170"/>
      <c r="BV30" s="99"/>
      <c r="BW30" s="170"/>
      <c r="BX30" s="170"/>
      <c r="BY30" s="295"/>
      <c r="BZ30" s="289"/>
      <c r="CA30" s="290"/>
      <c r="CB30" s="289"/>
      <c r="CC30" s="134"/>
      <c r="CD30" s="134"/>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row>
    <row r="31" spans="1:106" ht="16.5" customHeight="1" x14ac:dyDescent="0.3">
      <c r="A31" s="445"/>
      <c r="B31" s="446"/>
      <c r="C31" s="446"/>
      <c r="D31" s="446"/>
      <c r="E31" s="472"/>
      <c r="F31" s="446"/>
      <c r="G31" s="446"/>
      <c r="H31" s="446"/>
      <c r="I31" s="446"/>
      <c r="J31" s="445"/>
      <c r="K31" s="473"/>
      <c r="L31" s="470"/>
      <c r="M31" s="460"/>
      <c r="N31" s="460"/>
      <c r="O31" s="460"/>
      <c r="P31" s="470"/>
      <c r="Q31" s="471"/>
      <c r="R31" s="176">
        <v>3</v>
      </c>
      <c r="S31" s="198"/>
      <c r="T31" s="169" t="str">
        <f t="shared" si="0"/>
        <v/>
      </c>
      <c r="U31" s="169"/>
      <c r="V31" s="169"/>
      <c r="W31" s="169"/>
      <c r="X31" s="169"/>
      <c r="Y31" s="195"/>
      <c r="Z31" s="195"/>
      <c r="AA31" s="97" t="str">
        <f t="shared" si="1"/>
        <v/>
      </c>
      <c r="AB31" s="195"/>
      <c r="AC31" s="195"/>
      <c r="AD31" s="195"/>
      <c r="AE31" s="142" t="str">
        <f>IFERROR(IF(AND(T30="Probabilidad",T31="Probabilidad"),(AG30-(+AG30*AA31)),IF(AND(T30="Impacto",T31="Probabilidad"),(AG29-(+AG29*AA31)),IF(T31="Impacto",AG30,""))),"")</f>
        <v/>
      </c>
      <c r="AF31" s="130" t="str">
        <f t="shared" si="4"/>
        <v/>
      </c>
      <c r="AG31" s="97" t="str">
        <f t="shared" si="2"/>
        <v/>
      </c>
      <c r="AH31" s="130" t="str">
        <f t="shared" si="5"/>
        <v/>
      </c>
      <c r="AI31" s="97" t="str">
        <f>IFERROR(IF(AND(T30="Impacto",T31="Impacto"),(AI30-(+AI30*AA31)),IF(AND(T30="Probabilidad",T31="Impacto"),(AI29-(+AI29*AA31)),IF(T31="Probabilidad",AI30,""))),"")</f>
        <v/>
      </c>
      <c r="AJ31" s="98" t="str">
        <f t="shared" si="3"/>
        <v/>
      </c>
      <c r="AK31" s="454"/>
      <c r="AL31" s="185"/>
      <c r="AM31" s="176"/>
      <c r="AN31" s="188"/>
      <c r="AO31" s="188"/>
      <c r="AP31" s="185"/>
      <c r="AQ31" s="188"/>
      <c r="AR31" s="185"/>
      <c r="AS31" s="188"/>
      <c r="AT31" s="185"/>
      <c r="AU31" s="99"/>
      <c r="AV31" s="170"/>
      <c r="AW31" s="131"/>
      <c r="AX31" s="185"/>
      <c r="AY31" s="185"/>
      <c r="AZ31" s="176"/>
      <c r="BA31" s="188"/>
      <c r="BB31" s="188"/>
      <c r="BC31" s="185"/>
      <c r="BD31" s="185"/>
      <c r="BE31" s="176"/>
      <c r="BF31" s="188"/>
      <c r="BG31" s="188"/>
      <c r="BH31" s="185"/>
      <c r="BI31" s="185"/>
      <c r="BJ31" s="176"/>
      <c r="BK31" s="188"/>
      <c r="BL31" s="188"/>
      <c r="BM31" s="170"/>
      <c r="BN31" s="170"/>
      <c r="BO31" s="131"/>
      <c r="BP31" s="99"/>
      <c r="BQ31" s="99"/>
      <c r="BR31" s="133"/>
      <c r="BS31" s="170"/>
      <c r="BT31" s="170"/>
      <c r="BU31" s="170"/>
      <c r="BV31" s="99"/>
      <c r="BW31" s="170"/>
      <c r="BX31" s="170"/>
      <c r="BY31" s="295"/>
      <c r="BZ31" s="289"/>
      <c r="CA31" s="290"/>
      <c r="CB31" s="289"/>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row>
    <row r="32" spans="1:106" ht="16.5" customHeight="1" x14ac:dyDescent="0.3">
      <c r="A32" s="445"/>
      <c r="B32" s="446"/>
      <c r="C32" s="446"/>
      <c r="D32" s="446"/>
      <c r="E32" s="472"/>
      <c r="F32" s="446"/>
      <c r="G32" s="446"/>
      <c r="H32" s="446"/>
      <c r="I32" s="446"/>
      <c r="J32" s="445"/>
      <c r="K32" s="473"/>
      <c r="L32" s="470"/>
      <c r="M32" s="460"/>
      <c r="N32" s="460"/>
      <c r="O32" s="460"/>
      <c r="P32" s="470"/>
      <c r="Q32" s="471"/>
      <c r="R32" s="176">
        <v>4</v>
      </c>
      <c r="S32" s="184"/>
      <c r="T32" s="169" t="str">
        <f t="shared" si="0"/>
        <v/>
      </c>
      <c r="U32" s="169"/>
      <c r="V32" s="169"/>
      <c r="W32" s="169"/>
      <c r="X32" s="169"/>
      <c r="Y32" s="195"/>
      <c r="Z32" s="195"/>
      <c r="AA32" s="97" t="str">
        <f t="shared" si="1"/>
        <v/>
      </c>
      <c r="AB32" s="195"/>
      <c r="AC32" s="195"/>
      <c r="AD32" s="195"/>
      <c r="AE32" s="142" t="str">
        <f>IFERROR(IF(AND(T31="Probabilidad",T32="Probabilidad"),(AG31-(+AG31*AA32)),IF(AND(T31="Impacto",T32="Probabilidad"),(AG30-(+AG30*AA32)),IF(T32="Impacto",AG31,""))),"")</f>
        <v/>
      </c>
      <c r="AF32" s="130" t="str">
        <f t="shared" si="4"/>
        <v/>
      </c>
      <c r="AG32" s="97" t="str">
        <f t="shared" si="2"/>
        <v/>
      </c>
      <c r="AH32" s="130" t="str">
        <f t="shared" si="5"/>
        <v/>
      </c>
      <c r="AI32" s="97" t="str">
        <f>IFERROR(IF(AND(T31="Impacto",T32="Impacto"),(AI31-(+AI31*AA32)),IF(AND(T31="Probabilidad",T32="Impacto"),(AI30-(+AI30*AA32)),IF(T32="Probabilidad",AI31,""))),"")</f>
        <v/>
      </c>
      <c r="AJ32" s="98" t="str">
        <f t="shared" si="3"/>
        <v/>
      </c>
      <c r="AK32" s="454"/>
      <c r="AL32" s="185"/>
      <c r="AM32" s="176"/>
      <c r="AN32" s="188"/>
      <c r="AO32" s="188"/>
      <c r="AP32" s="185"/>
      <c r="AQ32" s="188"/>
      <c r="AR32" s="185"/>
      <c r="AS32" s="188"/>
      <c r="AT32" s="185"/>
      <c r="AU32" s="99"/>
      <c r="AV32" s="170"/>
      <c r="AW32" s="131"/>
      <c r="AX32" s="185"/>
      <c r="AY32" s="185"/>
      <c r="AZ32" s="176"/>
      <c r="BA32" s="188"/>
      <c r="BB32" s="188"/>
      <c r="BC32" s="185"/>
      <c r="BD32" s="185"/>
      <c r="BE32" s="176"/>
      <c r="BF32" s="188"/>
      <c r="BG32" s="188"/>
      <c r="BH32" s="185"/>
      <c r="BI32" s="185"/>
      <c r="BJ32" s="176"/>
      <c r="BK32" s="188"/>
      <c r="BL32" s="188"/>
      <c r="BM32" s="170"/>
      <c r="BN32" s="170"/>
      <c r="BO32" s="131"/>
      <c r="BP32" s="99"/>
      <c r="BQ32" s="99"/>
      <c r="BR32" s="133"/>
      <c r="BS32" s="170"/>
      <c r="BT32" s="170"/>
      <c r="BU32" s="170"/>
      <c r="BV32" s="99"/>
      <c r="BW32" s="170"/>
      <c r="BX32" s="170"/>
      <c r="BY32" s="295"/>
      <c r="BZ32" s="289"/>
      <c r="CA32" s="290"/>
      <c r="CB32" s="289"/>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row>
    <row r="33" spans="1:106" ht="16.5" customHeight="1" x14ac:dyDescent="0.3">
      <c r="A33" s="445"/>
      <c r="B33" s="446"/>
      <c r="C33" s="446"/>
      <c r="D33" s="446"/>
      <c r="E33" s="472"/>
      <c r="F33" s="446"/>
      <c r="G33" s="446"/>
      <c r="H33" s="446"/>
      <c r="I33" s="446"/>
      <c r="J33" s="445"/>
      <c r="K33" s="473"/>
      <c r="L33" s="470"/>
      <c r="M33" s="460"/>
      <c r="N33" s="460"/>
      <c r="O33" s="460"/>
      <c r="P33" s="470"/>
      <c r="Q33" s="471"/>
      <c r="R33" s="176">
        <v>5</v>
      </c>
      <c r="S33" s="184"/>
      <c r="T33" s="169" t="str">
        <f t="shared" si="0"/>
        <v/>
      </c>
      <c r="U33" s="169"/>
      <c r="V33" s="169"/>
      <c r="W33" s="169"/>
      <c r="X33" s="169"/>
      <c r="Y33" s="195"/>
      <c r="Z33" s="195"/>
      <c r="AA33" s="97" t="str">
        <f t="shared" si="1"/>
        <v/>
      </c>
      <c r="AB33" s="195"/>
      <c r="AC33" s="195"/>
      <c r="AD33" s="195"/>
      <c r="AE33" s="142" t="str">
        <f>IFERROR(IF(AND(T32="Probabilidad",T33="Probabilidad"),(AG32-(+AG32*AA33)),IF(AND(T32="Impacto",T33="Probabilidad"),(AG31-(+AG31*AA33)),IF(T33="Impacto",AG32,""))),"")</f>
        <v/>
      </c>
      <c r="AF33" s="130" t="str">
        <f t="shared" si="4"/>
        <v/>
      </c>
      <c r="AG33" s="97" t="str">
        <f t="shared" si="2"/>
        <v/>
      </c>
      <c r="AH33" s="130" t="str">
        <f t="shared" si="5"/>
        <v/>
      </c>
      <c r="AI33" s="97" t="str">
        <f>IFERROR(IF(AND(T32="Impacto",T33="Impacto"),(AI32-(+AI32*AA33)),IF(AND(T32="Probabilidad",T33="Impacto"),(AI31-(+AI31*AA33)),IF(T33="Probabilidad",AI32,""))),"")</f>
        <v/>
      </c>
      <c r="AJ33" s="98" t="str">
        <f t="shared" si="3"/>
        <v/>
      </c>
      <c r="AK33" s="454"/>
      <c r="AL33" s="185"/>
      <c r="AM33" s="176"/>
      <c r="AN33" s="188"/>
      <c r="AO33" s="188"/>
      <c r="AP33" s="185"/>
      <c r="AQ33" s="188"/>
      <c r="AR33" s="185"/>
      <c r="AS33" s="188"/>
      <c r="AT33" s="185"/>
      <c r="AU33" s="99"/>
      <c r="AV33" s="170"/>
      <c r="AW33" s="131"/>
      <c r="AX33" s="185"/>
      <c r="AY33" s="185"/>
      <c r="AZ33" s="176"/>
      <c r="BA33" s="188"/>
      <c r="BB33" s="188"/>
      <c r="BC33" s="185"/>
      <c r="BD33" s="185"/>
      <c r="BE33" s="176"/>
      <c r="BF33" s="188"/>
      <c r="BG33" s="188"/>
      <c r="BH33" s="185"/>
      <c r="BI33" s="185"/>
      <c r="BJ33" s="176"/>
      <c r="BK33" s="188"/>
      <c r="BL33" s="188"/>
      <c r="BM33" s="170"/>
      <c r="BN33" s="170"/>
      <c r="BO33" s="131"/>
      <c r="BP33" s="99"/>
      <c r="BQ33" s="99"/>
      <c r="BR33" s="133"/>
      <c r="BS33" s="170"/>
      <c r="BT33" s="170"/>
      <c r="BU33" s="170"/>
      <c r="BV33" s="99"/>
      <c r="BW33" s="170"/>
      <c r="BX33" s="170"/>
      <c r="BY33" s="295"/>
      <c r="BZ33" s="289"/>
      <c r="CA33" s="290"/>
      <c r="CB33" s="289"/>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row>
    <row r="34" spans="1:106" ht="16.5" customHeight="1" x14ac:dyDescent="0.3">
      <c r="A34" s="445"/>
      <c r="B34" s="446"/>
      <c r="C34" s="446"/>
      <c r="D34" s="446"/>
      <c r="E34" s="472"/>
      <c r="F34" s="446"/>
      <c r="G34" s="446"/>
      <c r="H34" s="446"/>
      <c r="I34" s="446"/>
      <c r="J34" s="445"/>
      <c r="K34" s="473"/>
      <c r="L34" s="470"/>
      <c r="M34" s="461"/>
      <c r="N34" s="461"/>
      <c r="O34" s="461"/>
      <c r="P34" s="470"/>
      <c r="Q34" s="471"/>
      <c r="R34" s="176">
        <v>6</v>
      </c>
      <c r="S34" s="184"/>
      <c r="T34" s="169" t="str">
        <f t="shared" si="0"/>
        <v/>
      </c>
      <c r="U34" s="169"/>
      <c r="V34" s="169"/>
      <c r="W34" s="169"/>
      <c r="X34" s="169"/>
      <c r="Y34" s="195"/>
      <c r="Z34" s="195"/>
      <c r="AA34" s="97" t="str">
        <f t="shared" si="1"/>
        <v/>
      </c>
      <c r="AB34" s="195"/>
      <c r="AC34" s="195"/>
      <c r="AD34" s="195"/>
      <c r="AE34" s="142" t="str">
        <f>IFERROR(IF(AND(T33="Probabilidad",T34="Probabilidad"),(AG33-(+AG33*AA34)),IF(AND(T33="Impacto",T34="Probabilidad"),(AG32-(+AG32*AA34)),IF(T34="Impacto",AG33,""))),"")</f>
        <v/>
      </c>
      <c r="AF34" s="130" t="str">
        <f t="shared" si="4"/>
        <v/>
      </c>
      <c r="AG34" s="97" t="str">
        <f t="shared" si="2"/>
        <v/>
      </c>
      <c r="AH34" s="130" t="str">
        <f t="shared" si="5"/>
        <v/>
      </c>
      <c r="AI34" s="97" t="str">
        <f>IFERROR(IF(AND(T33="Impacto",T34="Impacto"),(AI33-(+AI33*AA34)),IF(AND(T33="Probabilidad",T34="Impacto"),(AI32-(+AI32*AA34)),IF(T34="Probabilidad",AI33,""))),"")</f>
        <v/>
      </c>
      <c r="AJ34" s="98" t="str">
        <f t="shared" si="3"/>
        <v/>
      </c>
      <c r="AK34" s="455"/>
      <c r="AL34" s="185"/>
      <c r="AM34" s="176"/>
      <c r="AN34" s="188"/>
      <c r="AO34" s="188"/>
      <c r="AP34" s="185"/>
      <c r="AQ34" s="188"/>
      <c r="AR34" s="185"/>
      <c r="AS34" s="188"/>
      <c r="AT34" s="185"/>
      <c r="AU34" s="99"/>
      <c r="AV34" s="170"/>
      <c r="AW34" s="131"/>
      <c r="AX34" s="185"/>
      <c r="AY34" s="185"/>
      <c r="AZ34" s="176"/>
      <c r="BA34" s="188"/>
      <c r="BB34" s="188"/>
      <c r="BC34" s="185"/>
      <c r="BD34" s="185"/>
      <c r="BE34" s="176"/>
      <c r="BF34" s="188"/>
      <c r="BG34" s="188"/>
      <c r="BH34" s="185"/>
      <c r="BI34" s="185"/>
      <c r="BJ34" s="176"/>
      <c r="BK34" s="188"/>
      <c r="BL34" s="188"/>
      <c r="BM34" s="170"/>
      <c r="BN34" s="170"/>
      <c r="BO34" s="131"/>
      <c r="BP34" s="99"/>
      <c r="BQ34" s="99"/>
      <c r="BR34" s="133"/>
      <c r="BS34" s="170"/>
      <c r="BT34" s="170"/>
      <c r="BU34" s="170"/>
      <c r="BV34" s="99"/>
      <c r="BW34" s="170"/>
      <c r="BX34" s="170"/>
      <c r="BY34" s="295"/>
      <c r="BZ34" s="289"/>
      <c r="CA34" s="290"/>
      <c r="CB34" s="289"/>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row>
    <row r="35" spans="1:106" ht="16.5" customHeight="1" x14ac:dyDescent="0.3">
      <c r="A35" s="445">
        <v>6</v>
      </c>
      <c r="B35" s="446"/>
      <c r="C35" s="446"/>
      <c r="D35" s="446"/>
      <c r="E35" s="472"/>
      <c r="F35" s="446"/>
      <c r="G35" s="446"/>
      <c r="H35" s="446"/>
      <c r="I35" s="446"/>
      <c r="J35" s="445"/>
      <c r="K35" s="473" t="str">
        <f>IF(J35&lt;=0,"",IF(J35&lt;=2,"Muy Baja",IF(J35&lt;=24,"Baja",IF(J35&lt;=500,"Media",IF(J35&lt;=5000,"Alta","Muy Alta")))))</f>
        <v/>
      </c>
      <c r="L35" s="470" t="str">
        <f>IF(K35="","",IF(K35="Muy Baja",0.2,IF(K35="Baja",0.4,IF(K35="Media",0.6,IF(K35="Alta",0.8,IF(K35="Muy Alta",1,))))))</f>
        <v/>
      </c>
      <c r="M35" s="468"/>
      <c r="N35" s="468">
        <f ca="1">IF(NOT(ISERROR(MATCH(M35,'Tabla Impacto'!$B$221:$B$223,0))),'Tabla Impacto'!$F$223&amp;"Por favor no seleccionar los criterios de impacto(Afectación Económica o presupuestal y Pérdida Reputacional)",M35)</f>
        <v>0</v>
      </c>
      <c r="O35" s="469" t="str">
        <f ca="1">IF(OR(N35='Tabla Impacto'!$C$11,N35='Tabla Impacto'!$D$11),"Leve",IF(OR(N35='Tabla Impacto'!$C$12,N35='Tabla Impacto'!$D$12),"Menor",IF(OR(N35='Tabla Impacto'!$C$13,N35='Tabla Impacto'!$D$13),"Moderado",IF(OR(N35='Tabla Impacto'!$C$14,N35='Tabla Impacto'!$D$14),"Mayor",IF(OR(N35='Tabla Impacto'!$C$15,N35='Tabla Impacto'!$D$15),"Catastrófico","")))))</f>
        <v/>
      </c>
      <c r="P35" s="470" t="str">
        <f ca="1">IF(O35="","",IF(O35="Leve",0.2,IF(O35="Menor",0.4,IF(O35="Moderado",0.6,IF(O35="Mayor",0.8,IF(O35="Catastrófico",1,))))))</f>
        <v/>
      </c>
      <c r="Q35" s="471"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76">
        <v>1</v>
      </c>
      <c r="S35" s="184"/>
      <c r="T35" s="169" t="str">
        <f t="shared" si="0"/>
        <v/>
      </c>
      <c r="U35" s="169"/>
      <c r="V35" s="169"/>
      <c r="W35" s="169"/>
      <c r="X35" s="169"/>
      <c r="Y35" s="195"/>
      <c r="Z35" s="195"/>
      <c r="AA35" s="97" t="str">
        <f t="shared" si="1"/>
        <v/>
      </c>
      <c r="AB35" s="195"/>
      <c r="AC35" s="195"/>
      <c r="AD35" s="195"/>
      <c r="AE35" s="142" t="str">
        <f>IFERROR(IF(T35="Probabilidad",(L35-(+L35*AA35)),IF(T35="Impacto",L35,"")),"")</f>
        <v/>
      </c>
      <c r="AF35" s="130" t="str">
        <f>IFERROR(IF(AE35="","",IF(AE35&lt;=0.2,"Muy Baja",IF(AE35&lt;=0.4,"Baja",IF(AE35&lt;=0.6,"Media",IF(AE35&lt;=0.8,"Alta","Muy Alta"))))),"")</f>
        <v/>
      </c>
      <c r="AG35" s="97" t="str">
        <f t="shared" si="2"/>
        <v/>
      </c>
      <c r="AH35" s="130" t="str">
        <f>IFERROR(IF(AI35="","",IF(AI35&lt;=0.2,"Leve",IF(AI35&lt;=0.4,"Menor",IF(AI35&lt;=0.6,"Moderado",IF(AI35&lt;=0.8,"Mayor","Catastrófico"))))),"")</f>
        <v/>
      </c>
      <c r="AI35" s="97" t="str">
        <f>IFERROR(IF(T35="Impacto",(P35-(+P35*AA35)),IF(T35="Probabilidad",P35,"")),"")</f>
        <v/>
      </c>
      <c r="AJ35" s="98" t="str">
        <f t="shared" si="3"/>
        <v/>
      </c>
      <c r="AK35" s="453"/>
      <c r="AL35" s="185"/>
      <c r="AM35" s="176"/>
      <c r="AN35" s="188"/>
      <c r="AO35" s="188"/>
      <c r="AP35" s="185"/>
      <c r="AQ35" s="188"/>
      <c r="AR35" s="185"/>
      <c r="AS35" s="188"/>
      <c r="AT35" s="185"/>
      <c r="AU35" s="99"/>
      <c r="AV35" s="170"/>
      <c r="AW35" s="131"/>
      <c r="AX35" s="185"/>
      <c r="AY35" s="185"/>
      <c r="AZ35" s="176"/>
      <c r="BA35" s="188"/>
      <c r="BB35" s="188"/>
      <c r="BC35" s="185"/>
      <c r="BD35" s="185"/>
      <c r="BE35" s="176"/>
      <c r="BF35" s="188"/>
      <c r="BG35" s="188"/>
      <c r="BH35" s="185"/>
      <c r="BI35" s="185"/>
      <c r="BJ35" s="176"/>
      <c r="BK35" s="188"/>
      <c r="BL35" s="188"/>
      <c r="BM35" s="170"/>
      <c r="BN35" s="170"/>
      <c r="BO35" s="131"/>
      <c r="BP35" s="99"/>
      <c r="BQ35" s="99"/>
      <c r="BR35" s="133"/>
      <c r="BS35" s="170"/>
      <c r="BT35" s="170"/>
      <c r="BU35" s="170"/>
      <c r="BV35" s="99"/>
      <c r="BW35" s="170"/>
      <c r="BX35" s="170"/>
      <c r="BY35" s="295"/>
      <c r="BZ35" s="289"/>
      <c r="CA35" s="290"/>
      <c r="CB35" s="289"/>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row>
    <row r="36" spans="1:106" ht="16.5" customHeight="1" x14ac:dyDescent="0.3">
      <c r="A36" s="445"/>
      <c r="B36" s="446"/>
      <c r="C36" s="446"/>
      <c r="D36" s="446"/>
      <c r="E36" s="472"/>
      <c r="F36" s="446"/>
      <c r="G36" s="446"/>
      <c r="H36" s="446"/>
      <c r="I36" s="446"/>
      <c r="J36" s="445"/>
      <c r="K36" s="473"/>
      <c r="L36" s="470"/>
      <c r="M36" s="460"/>
      <c r="N36" s="460"/>
      <c r="O36" s="460"/>
      <c r="P36" s="470"/>
      <c r="Q36" s="471"/>
      <c r="R36" s="176">
        <v>2</v>
      </c>
      <c r="S36" s="184"/>
      <c r="T36" s="169" t="str">
        <f t="shared" si="0"/>
        <v/>
      </c>
      <c r="U36" s="169"/>
      <c r="V36" s="169"/>
      <c r="W36" s="169"/>
      <c r="X36" s="169"/>
      <c r="Y36" s="195"/>
      <c r="Z36" s="195"/>
      <c r="AA36" s="97" t="str">
        <f t="shared" si="1"/>
        <v/>
      </c>
      <c r="AB36" s="195"/>
      <c r="AC36" s="195"/>
      <c r="AD36" s="195"/>
      <c r="AE36" s="142" t="str">
        <f>IFERROR(IF(AND(T35="Probabilidad",T36="Probabilidad"),(AG35-(+AG35*AA36)),IF(T36="Probabilidad",(L35-(+L35*AA36)),IF(T36="Impacto",AG35,""))),"")</f>
        <v/>
      </c>
      <c r="AF36" s="130" t="str">
        <f t="shared" si="4"/>
        <v/>
      </c>
      <c r="AG36" s="97" t="str">
        <f t="shared" si="2"/>
        <v/>
      </c>
      <c r="AH36" s="130" t="str">
        <f t="shared" si="5"/>
        <v/>
      </c>
      <c r="AI36" s="97" t="str">
        <f>IFERROR(IF(AND(T35="Impacto",T36="Impacto"),(AI29-(+AI29*AA36)),IF(T36="Impacto",($P$35-(+$P$35*AA36)),IF(T36="Probabilidad",AI29,""))),"")</f>
        <v/>
      </c>
      <c r="AJ36" s="98" t="str">
        <f t="shared" si="3"/>
        <v/>
      </c>
      <c r="AK36" s="454"/>
      <c r="AL36" s="185"/>
      <c r="AM36" s="176"/>
      <c r="AN36" s="188"/>
      <c r="AO36" s="188"/>
      <c r="AP36" s="185"/>
      <c r="AQ36" s="188"/>
      <c r="AR36" s="185"/>
      <c r="AS36" s="188"/>
      <c r="AT36" s="185"/>
      <c r="AU36" s="99"/>
      <c r="AV36" s="170"/>
      <c r="AW36" s="131"/>
      <c r="AX36" s="185"/>
      <c r="AY36" s="185"/>
      <c r="AZ36" s="176"/>
      <c r="BA36" s="188"/>
      <c r="BB36" s="188"/>
      <c r="BC36" s="185"/>
      <c r="BD36" s="185"/>
      <c r="BE36" s="176"/>
      <c r="BF36" s="188"/>
      <c r="BG36" s="188"/>
      <c r="BH36" s="185"/>
      <c r="BI36" s="185"/>
      <c r="BJ36" s="176"/>
      <c r="BK36" s="188"/>
      <c r="BL36" s="188"/>
      <c r="BM36" s="170"/>
      <c r="BN36" s="170"/>
      <c r="BO36" s="131"/>
      <c r="BP36" s="99"/>
      <c r="BQ36" s="99"/>
      <c r="BR36" s="133"/>
      <c r="BS36" s="170"/>
      <c r="BT36" s="170"/>
      <c r="BU36" s="170"/>
      <c r="BV36" s="99"/>
      <c r="BW36" s="170"/>
      <c r="BX36" s="170"/>
      <c r="BY36" s="295"/>
      <c r="BZ36" s="289"/>
      <c r="CA36" s="290"/>
      <c r="CB36" s="289"/>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row>
    <row r="37" spans="1:106" ht="16.5" customHeight="1" x14ac:dyDescent="0.3">
      <c r="A37" s="445"/>
      <c r="B37" s="446"/>
      <c r="C37" s="446"/>
      <c r="D37" s="446"/>
      <c r="E37" s="472"/>
      <c r="F37" s="446"/>
      <c r="G37" s="446"/>
      <c r="H37" s="446"/>
      <c r="I37" s="446"/>
      <c r="J37" s="445"/>
      <c r="K37" s="473"/>
      <c r="L37" s="470"/>
      <c r="M37" s="460"/>
      <c r="N37" s="460"/>
      <c r="O37" s="460"/>
      <c r="P37" s="470"/>
      <c r="Q37" s="471"/>
      <c r="R37" s="176">
        <v>3</v>
      </c>
      <c r="S37" s="198"/>
      <c r="T37" s="169" t="str">
        <f t="shared" si="0"/>
        <v/>
      </c>
      <c r="U37" s="169"/>
      <c r="V37" s="169"/>
      <c r="W37" s="169"/>
      <c r="X37" s="169"/>
      <c r="Y37" s="195"/>
      <c r="Z37" s="195"/>
      <c r="AA37" s="97" t="str">
        <f t="shared" ref="AA37:AA64" si="11">IF(AND(Y37="Preventivo",Z37="Automático"),"50%",IF(AND(Y37="Preventivo",Z37="Manual"),"40%",IF(AND(Y37="Detectivo",Z37="Automático"),"40%",IF(AND(Y37="Detectivo",Z37="Manual"),"30%",IF(AND(Y37="Correctivo",Z37="Automático"),"35%",IF(AND(Y37="Correctivo",Z37="Manual"),"25%",""))))))</f>
        <v/>
      </c>
      <c r="AB37" s="195"/>
      <c r="AC37" s="195"/>
      <c r="AD37" s="195"/>
      <c r="AE37" s="142" t="str">
        <f>IFERROR(IF(AND(T36="Probabilidad",T37="Probabilidad"),(AG36-(+AG36*AA37)),IF(AND(T36="Impacto",T37="Probabilidad"),(AG35-(+AG35*AA37)),IF(T37="Impacto",AG36,""))),"")</f>
        <v/>
      </c>
      <c r="AF37" s="130" t="str">
        <f t="shared" si="4"/>
        <v/>
      </c>
      <c r="AG37" s="97" t="str">
        <f t="shared" ref="AG37:AG64" si="12">+AE37</f>
        <v/>
      </c>
      <c r="AH37" s="130" t="str">
        <f t="shared" si="5"/>
        <v/>
      </c>
      <c r="AI37" s="97" t="str">
        <f>IFERROR(IF(AND(T36="Impacto",T37="Impacto"),(AI36-(+AI36*AA37)),IF(AND(T36="Probabilidad",T37="Impacto"),(AI35-(+AI35*AA37)),IF(T37="Probabilidad",AI36,""))),"")</f>
        <v/>
      </c>
      <c r="AJ37" s="98"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454"/>
      <c r="AL37" s="185"/>
      <c r="AM37" s="176"/>
      <c r="AN37" s="188"/>
      <c r="AO37" s="188"/>
      <c r="AP37" s="185"/>
      <c r="AQ37" s="188"/>
      <c r="AR37" s="185"/>
      <c r="AS37" s="188"/>
      <c r="AT37" s="185"/>
      <c r="AU37" s="99"/>
      <c r="AV37" s="170"/>
      <c r="AW37" s="131"/>
      <c r="AX37" s="185"/>
      <c r="AY37" s="185"/>
      <c r="AZ37" s="176"/>
      <c r="BA37" s="188"/>
      <c r="BB37" s="188"/>
      <c r="BC37" s="185"/>
      <c r="BD37" s="185"/>
      <c r="BE37" s="176"/>
      <c r="BF37" s="188"/>
      <c r="BG37" s="188"/>
      <c r="BH37" s="185"/>
      <c r="BI37" s="185"/>
      <c r="BJ37" s="176"/>
      <c r="BK37" s="188"/>
      <c r="BL37" s="188"/>
      <c r="BM37" s="170"/>
      <c r="BN37" s="170"/>
      <c r="BO37" s="131"/>
      <c r="BP37" s="99"/>
      <c r="BQ37" s="99"/>
      <c r="BR37" s="133"/>
      <c r="BS37" s="170"/>
      <c r="BT37" s="170"/>
      <c r="BU37" s="170"/>
      <c r="BV37" s="99"/>
      <c r="BW37" s="170"/>
      <c r="BX37" s="170"/>
      <c r="BY37" s="295"/>
      <c r="BZ37" s="289"/>
      <c r="CA37" s="290"/>
      <c r="CB37" s="289"/>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row>
    <row r="38" spans="1:106" ht="16.5" customHeight="1" x14ac:dyDescent="0.3">
      <c r="A38" s="445"/>
      <c r="B38" s="446"/>
      <c r="C38" s="446"/>
      <c r="D38" s="446"/>
      <c r="E38" s="472"/>
      <c r="F38" s="446"/>
      <c r="G38" s="446"/>
      <c r="H38" s="446"/>
      <c r="I38" s="446"/>
      <c r="J38" s="445"/>
      <c r="K38" s="473"/>
      <c r="L38" s="470"/>
      <c r="M38" s="460"/>
      <c r="N38" s="460"/>
      <c r="O38" s="460"/>
      <c r="P38" s="470"/>
      <c r="Q38" s="471"/>
      <c r="R38" s="176">
        <v>4</v>
      </c>
      <c r="S38" s="184"/>
      <c r="T38" s="169" t="str">
        <f t="shared" ref="T38:T64" si="14">IF(OR(Y38="Preventivo",Y38="Detectivo"),"Probabilidad",IF(Y38="Correctivo","Impacto",""))</f>
        <v/>
      </c>
      <c r="U38" s="169"/>
      <c r="V38" s="169"/>
      <c r="W38" s="169"/>
      <c r="X38" s="169"/>
      <c r="Y38" s="195"/>
      <c r="Z38" s="195"/>
      <c r="AA38" s="97" t="str">
        <f t="shared" si="11"/>
        <v/>
      </c>
      <c r="AB38" s="195"/>
      <c r="AC38" s="195"/>
      <c r="AD38" s="195"/>
      <c r="AE38" s="142" t="str">
        <f>IFERROR(IF(AND(T37="Probabilidad",T38="Probabilidad"),(AG37-(+AG37*AA38)),IF(AND(T37="Impacto",T38="Probabilidad"),(AG36-(+AG36*AA38)),IF(T38="Impacto",AG37,""))),"")</f>
        <v/>
      </c>
      <c r="AF38" s="130" t="str">
        <f t="shared" si="4"/>
        <v/>
      </c>
      <c r="AG38" s="97" t="str">
        <f t="shared" si="12"/>
        <v/>
      </c>
      <c r="AH38" s="130" t="str">
        <f t="shared" si="5"/>
        <v/>
      </c>
      <c r="AI38" s="97" t="str">
        <f>IFERROR(IF(AND(T37="Impacto",T38="Impacto"),(AI37-(+AI37*AA38)),IF(AND(T37="Probabilidad",T38="Impacto"),(AI36-(+AI36*AA38)),IF(T38="Probabilidad",AI37,""))),"")</f>
        <v/>
      </c>
      <c r="AJ38" s="98" t="str">
        <f t="shared" si="13"/>
        <v/>
      </c>
      <c r="AK38" s="454"/>
      <c r="AL38" s="185"/>
      <c r="AM38" s="176"/>
      <c r="AN38" s="188"/>
      <c r="AO38" s="188"/>
      <c r="AP38" s="185"/>
      <c r="AQ38" s="188"/>
      <c r="AR38" s="185"/>
      <c r="AS38" s="188"/>
      <c r="AT38" s="185"/>
      <c r="AU38" s="99"/>
      <c r="AV38" s="170"/>
      <c r="AW38" s="131"/>
      <c r="AX38" s="185"/>
      <c r="AY38" s="185"/>
      <c r="AZ38" s="176"/>
      <c r="BA38" s="188"/>
      <c r="BB38" s="188"/>
      <c r="BC38" s="185"/>
      <c r="BD38" s="185"/>
      <c r="BE38" s="176"/>
      <c r="BF38" s="188"/>
      <c r="BG38" s="188"/>
      <c r="BH38" s="185"/>
      <c r="BI38" s="185"/>
      <c r="BJ38" s="176"/>
      <c r="BK38" s="188"/>
      <c r="BL38" s="188"/>
      <c r="BM38" s="170"/>
      <c r="BN38" s="170"/>
      <c r="BO38" s="131"/>
      <c r="BP38" s="99"/>
      <c r="BQ38" s="99"/>
      <c r="BR38" s="133"/>
      <c r="BS38" s="170"/>
      <c r="BT38" s="170"/>
      <c r="BU38" s="170"/>
      <c r="BV38" s="99"/>
      <c r="BW38" s="170"/>
      <c r="BX38" s="170"/>
      <c r="BY38" s="295"/>
      <c r="BZ38" s="289"/>
      <c r="CA38" s="290"/>
      <c r="CB38" s="289"/>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row>
    <row r="39" spans="1:106" ht="16.5" customHeight="1" x14ac:dyDescent="0.3">
      <c r="A39" s="445"/>
      <c r="B39" s="446"/>
      <c r="C39" s="446"/>
      <c r="D39" s="446"/>
      <c r="E39" s="472"/>
      <c r="F39" s="446"/>
      <c r="G39" s="446"/>
      <c r="H39" s="446"/>
      <c r="I39" s="446"/>
      <c r="J39" s="445"/>
      <c r="K39" s="473"/>
      <c r="L39" s="470"/>
      <c r="M39" s="460"/>
      <c r="N39" s="460"/>
      <c r="O39" s="460"/>
      <c r="P39" s="470"/>
      <c r="Q39" s="471"/>
      <c r="R39" s="176">
        <v>5</v>
      </c>
      <c r="S39" s="184"/>
      <c r="T39" s="169" t="str">
        <f t="shared" si="14"/>
        <v/>
      </c>
      <c r="U39" s="169"/>
      <c r="V39" s="169"/>
      <c r="W39" s="169"/>
      <c r="X39" s="169"/>
      <c r="Y39" s="195"/>
      <c r="Z39" s="195"/>
      <c r="AA39" s="97" t="str">
        <f t="shared" si="11"/>
        <v/>
      </c>
      <c r="AB39" s="195"/>
      <c r="AC39" s="195"/>
      <c r="AD39" s="195"/>
      <c r="AE39" s="142" t="str">
        <f>IFERROR(IF(AND(T38="Probabilidad",T39="Probabilidad"),(AG38-(+AG38*AA39)),IF(AND(T38="Impacto",T39="Probabilidad"),(AG37-(+AG37*AA39)),IF(T39="Impacto",AG38,""))),"")</f>
        <v/>
      </c>
      <c r="AF39" s="130" t="str">
        <f t="shared" si="4"/>
        <v/>
      </c>
      <c r="AG39" s="97" t="str">
        <f t="shared" si="12"/>
        <v/>
      </c>
      <c r="AH39" s="130" t="str">
        <f t="shared" si="5"/>
        <v/>
      </c>
      <c r="AI39" s="97" t="str">
        <f>IFERROR(IF(AND(T38="Impacto",T39="Impacto"),(AI38-(+AI38*AA39)),IF(AND(T38="Probabilidad",T39="Impacto"),(AI37-(+AI37*AA39)),IF(T39="Probabilidad",AI38,""))),"")</f>
        <v/>
      </c>
      <c r="AJ39" s="98" t="str">
        <f t="shared" si="13"/>
        <v/>
      </c>
      <c r="AK39" s="454"/>
      <c r="AL39" s="185"/>
      <c r="AM39" s="176"/>
      <c r="AN39" s="188"/>
      <c r="AO39" s="188"/>
      <c r="AP39" s="185"/>
      <c r="AQ39" s="188"/>
      <c r="AR39" s="185"/>
      <c r="AS39" s="188"/>
      <c r="AT39" s="185"/>
      <c r="AU39" s="99"/>
      <c r="AV39" s="170"/>
      <c r="AW39" s="131"/>
      <c r="AX39" s="185"/>
      <c r="AY39" s="185"/>
      <c r="AZ39" s="176"/>
      <c r="BA39" s="188"/>
      <c r="BB39" s="188"/>
      <c r="BC39" s="185"/>
      <c r="BD39" s="185"/>
      <c r="BE39" s="176"/>
      <c r="BF39" s="188"/>
      <c r="BG39" s="188"/>
      <c r="BH39" s="185"/>
      <c r="BI39" s="185"/>
      <c r="BJ39" s="176"/>
      <c r="BK39" s="188"/>
      <c r="BL39" s="188"/>
      <c r="BM39" s="170"/>
      <c r="BN39" s="170"/>
      <c r="BO39" s="131"/>
      <c r="BP39" s="99"/>
      <c r="BQ39" s="99"/>
      <c r="BR39" s="133"/>
      <c r="BS39" s="170"/>
      <c r="BT39" s="170"/>
      <c r="BU39" s="170"/>
      <c r="BV39" s="99"/>
      <c r="BW39" s="170"/>
      <c r="BX39" s="170"/>
      <c r="BY39" s="295"/>
      <c r="BZ39" s="289"/>
      <c r="CA39" s="290"/>
      <c r="CB39" s="289"/>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row>
    <row r="40" spans="1:106" ht="16.5" customHeight="1" x14ac:dyDescent="0.3">
      <c r="A40" s="445"/>
      <c r="B40" s="446"/>
      <c r="C40" s="446"/>
      <c r="D40" s="446"/>
      <c r="E40" s="472"/>
      <c r="F40" s="446"/>
      <c r="G40" s="446"/>
      <c r="H40" s="446"/>
      <c r="I40" s="446"/>
      <c r="J40" s="445"/>
      <c r="K40" s="473"/>
      <c r="L40" s="470"/>
      <c r="M40" s="461"/>
      <c r="N40" s="461"/>
      <c r="O40" s="461"/>
      <c r="P40" s="470"/>
      <c r="Q40" s="471"/>
      <c r="R40" s="176">
        <v>6</v>
      </c>
      <c r="S40" s="184"/>
      <c r="T40" s="169" t="str">
        <f t="shared" si="14"/>
        <v/>
      </c>
      <c r="U40" s="169"/>
      <c r="V40" s="169"/>
      <c r="W40" s="169"/>
      <c r="X40" s="169"/>
      <c r="Y40" s="195"/>
      <c r="Z40" s="195"/>
      <c r="AA40" s="97" t="str">
        <f t="shared" si="11"/>
        <v/>
      </c>
      <c r="AB40" s="195"/>
      <c r="AC40" s="195"/>
      <c r="AD40" s="195"/>
      <c r="AE40" s="142" t="str">
        <f>IFERROR(IF(AND(T39="Probabilidad",T40="Probabilidad"),(AG39-(+AG39*AA40)),IF(AND(T39="Impacto",T40="Probabilidad"),(AG38-(+AG38*AA40)),IF(T40="Impacto",AG39,""))),"")</f>
        <v/>
      </c>
      <c r="AF40" s="130" t="str">
        <f t="shared" si="4"/>
        <v/>
      </c>
      <c r="AG40" s="97" t="str">
        <f t="shared" si="12"/>
        <v/>
      </c>
      <c r="AH40" s="130" t="str">
        <f>IFERROR(IF(AI40="","",IF(AI40&lt;=0.2,"Leve",IF(AI40&lt;=0.4,"Menor",IF(AI40&lt;=0.6,"Moderado",IF(AI40&lt;=0.8,"Mayor","Catastrófico"))))),"")</f>
        <v/>
      </c>
      <c r="AI40" s="97" t="str">
        <f>IFERROR(IF(AND(T39="Impacto",T40="Impacto"),(AI39-(+AI39*AA40)),IF(AND(T39="Probabilidad",T40="Impacto"),(AI38-(+AI38*AA40)),IF(T40="Probabilidad",AI39,""))),"")</f>
        <v/>
      </c>
      <c r="AJ40" s="98" t="str">
        <f t="shared" si="13"/>
        <v/>
      </c>
      <c r="AK40" s="455"/>
      <c r="AL40" s="185"/>
      <c r="AM40" s="176"/>
      <c r="AN40" s="188"/>
      <c r="AO40" s="188"/>
      <c r="AP40" s="185"/>
      <c r="AQ40" s="188"/>
      <c r="AR40" s="185"/>
      <c r="AS40" s="188"/>
      <c r="AT40" s="185"/>
      <c r="AU40" s="99"/>
      <c r="AV40" s="170"/>
      <c r="AW40" s="131"/>
      <c r="AX40" s="185"/>
      <c r="AY40" s="185"/>
      <c r="AZ40" s="176"/>
      <c r="BA40" s="188"/>
      <c r="BB40" s="188"/>
      <c r="BC40" s="185"/>
      <c r="BD40" s="185"/>
      <c r="BE40" s="176"/>
      <c r="BF40" s="188"/>
      <c r="BG40" s="188"/>
      <c r="BH40" s="185"/>
      <c r="BI40" s="185"/>
      <c r="BJ40" s="176"/>
      <c r="BK40" s="188"/>
      <c r="BL40" s="188"/>
      <c r="BM40" s="170"/>
      <c r="BN40" s="170"/>
      <c r="BO40" s="131"/>
      <c r="BP40" s="99"/>
      <c r="BQ40" s="99"/>
      <c r="BR40" s="133"/>
      <c r="BS40" s="170"/>
      <c r="BT40" s="170"/>
      <c r="BU40" s="170"/>
      <c r="BV40" s="99"/>
      <c r="BW40" s="170"/>
      <c r="BX40" s="170"/>
      <c r="BY40" s="295"/>
      <c r="BZ40" s="289"/>
      <c r="CA40" s="290"/>
      <c r="CB40" s="289"/>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row>
    <row r="41" spans="1:106" ht="16.5" customHeight="1" x14ac:dyDescent="0.3">
      <c r="A41" s="445">
        <v>7</v>
      </c>
      <c r="B41" s="446"/>
      <c r="C41" s="446"/>
      <c r="D41" s="446"/>
      <c r="E41" s="472"/>
      <c r="F41" s="446"/>
      <c r="G41" s="446"/>
      <c r="H41" s="446"/>
      <c r="I41" s="446"/>
      <c r="J41" s="445"/>
      <c r="K41" s="473" t="str">
        <f>IF(J41&lt;=0,"",IF(J41&lt;=2,"Muy Baja",IF(J41&lt;=24,"Baja",IF(J41&lt;=500,"Media",IF(J41&lt;=5000,"Alta","Muy Alta")))))</f>
        <v/>
      </c>
      <c r="L41" s="470" t="str">
        <f>IF(K41="","",IF(K41="Muy Baja",0.2,IF(K41="Baja",0.4,IF(K41="Media",0.6,IF(K41="Alta",0.8,IF(K41="Muy Alta",1,))))))</f>
        <v/>
      </c>
      <c r="M41" s="468"/>
      <c r="N41" s="468">
        <f ca="1">IF(NOT(ISERROR(MATCH(M41,'Tabla Impacto'!$B$221:$B$223,0))),'Tabla Impacto'!$F$223&amp;"Por favor no seleccionar los criterios de impacto(Afectación Económica o presupuestal y Pérdida Reputacional)",M41)</f>
        <v>0</v>
      </c>
      <c r="O41" s="469" t="str">
        <f ca="1">IF(OR(N41='Tabla Impacto'!$C$11,N41='Tabla Impacto'!$D$11),"Leve",IF(OR(N41='Tabla Impacto'!$C$12,N41='Tabla Impacto'!$D$12),"Menor",IF(OR(N41='Tabla Impacto'!$C$13,N41='Tabla Impacto'!$D$13),"Moderado",IF(OR(N41='Tabla Impacto'!$C$14,N41='Tabla Impacto'!$D$14),"Mayor",IF(OR(N41='Tabla Impacto'!$C$15,N41='Tabla Impacto'!$D$15),"Catastrófico","")))))</f>
        <v/>
      </c>
      <c r="P41" s="470" t="str">
        <f ca="1">IF(O41="","",IF(O41="Leve",0.2,IF(O41="Menor",0.4,IF(O41="Moderado",0.6,IF(O41="Mayor",0.8,IF(O41="Catastrófico",1,))))))</f>
        <v/>
      </c>
      <c r="Q41" s="471"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76">
        <v>1</v>
      </c>
      <c r="S41" s="184"/>
      <c r="T41" s="169" t="str">
        <f t="shared" si="14"/>
        <v/>
      </c>
      <c r="U41" s="169"/>
      <c r="V41" s="169"/>
      <c r="W41" s="169"/>
      <c r="X41" s="169"/>
      <c r="Y41" s="195"/>
      <c r="Z41" s="195"/>
      <c r="AA41" s="97" t="str">
        <f t="shared" si="11"/>
        <v/>
      </c>
      <c r="AB41" s="195"/>
      <c r="AC41" s="195"/>
      <c r="AD41" s="195"/>
      <c r="AE41" s="142" t="str">
        <f>IFERROR(IF(T41="Probabilidad",(L41-(+L41*AA41)),IF(T41="Impacto",L41,"")),"")</f>
        <v/>
      </c>
      <c r="AF41" s="130" t="str">
        <f>IFERROR(IF(AE41="","",IF(AE41&lt;=0.2,"Muy Baja",IF(AE41&lt;=0.4,"Baja",IF(AE41&lt;=0.6,"Media",IF(AE41&lt;=0.8,"Alta","Muy Alta"))))),"")</f>
        <v/>
      </c>
      <c r="AG41" s="97" t="str">
        <f t="shared" si="12"/>
        <v/>
      </c>
      <c r="AH41" s="130" t="str">
        <f>IFERROR(IF(AI41="","",IF(AI41&lt;=0.2,"Leve",IF(AI41&lt;=0.4,"Menor",IF(AI41&lt;=0.6,"Moderado",IF(AI41&lt;=0.8,"Mayor","Catastrófico"))))),"")</f>
        <v/>
      </c>
      <c r="AI41" s="97" t="str">
        <f>IFERROR(IF(T41="Impacto",(P41-(+P41*AA41)),IF(T41="Probabilidad",P41,"")),"")</f>
        <v/>
      </c>
      <c r="AJ41" s="98" t="str">
        <f t="shared" si="13"/>
        <v/>
      </c>
      <c r="AK41" s="453"/>
      <c r="AL41" s="185"/>
      <c r="AM41" s="176"/>
      <c r="AN41" s="188"/>
      <c r="AO41" s="188"/>
      <c r="AP41" s="185"/>
      <c r="AQ41" s="188"/>
      <c r="AR41" s="185"/>
      <c r="AS41" s="188"/>
      <c r="AT41" s="185"/>
      <c r="AU41" s="99"/>
      <c r="AV41" s="170"/>
      <c r="AW41" s="131"/>
      <c r="AX41" s="185"/>
      <c r="AY41" s="185"/>
      <c r="AZ41" s="176"/>
      <c r="BA41" s="188"/>
      <c r="BB41" s="188"/>
      <c r="BC41" s="185"/>
      <c r="BD41" s="185"/>
      <c r="BE41" s="176"/>
      <c r="BF41" s="188"/>
      <c r="BG41" s="188"/>
      <c r="BH41" s="185"/>
      <c r="BI41" s="185"/>
      <c r="BJ41" s="176"/>
      <c r="BK41" s="188"/>
      <c r="BL41" s="188"/>
      <c r="BM41" s="170"/>
      <c r="BN41" s="170"/>
      <c r="BO41" s="131"/>
      <c r="BP41" s="99"/>
      <c r="BQ41" s="99"/>
      <c r="BR41" s="133"/>
      <c r="BS41" s="170"/>
      <c r="BT41" s="170"/>
      <c r="BU41" s="170"/>
      <c r="BV41" s="99"/>
      <c r="BW41" s="170"/>
      <c r="BX41" s="170"/>
      <c r="BY41" s="295"/>
      <c r="BZ41" s="289"/>
      <c r="CA41" s="290"/>
      <c r="CB41" s="289"/>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row>
    <row r="42" spans="1:106" ht="16.5" customHeight="1" x14ac:dyDescent="0.3">
      <c r="A42" s="445"/>
      <c r="B42" s="446"/>
      <c r="C42" s="446"/>
      <c r="D42" s="446"/>
      <c r="E42" s="472"/>
      <c r="F42" s="446"/>
      <c r="G42" s="446"/>
      <c r="H42" s="446"/>
      <c r="I42" s="446"/>
      <c r="J42" s="445"/>
      <c r="K42" s="473"/>
      <c r="L42" s="470"/>
      <c r="M42" s="460"/>
      <c r="N42" s="460"/>
      <c r="O42" s="460"/>
      <c r="P42" s="470"/>
      <c r="Q42" s="471"/>
      <c r="R42" s="176">
        <v>2</v>
      </c>
      <c r="S42" s="184"/>
      <c r="T42" s="169" t="str">
        <f t="shared" si="14"/>
        <v/>
      </c>
      <c r="U42" s="169"/>
      <c r="V42" s="169"/>
      <c r="W42" s="169"/>
      <c r="X42" s="169"/>
      <c r="Y42" s="195"/>
      <c r="Z42" s="195"/>
      <c r="AA42" s="97" t="str">
        <f t="shared" si="11"/>
        <v/>
      </c>
      <c r="AB42" s="195"/>
      <c r="AC42" s="195"/>
      <c r="AD42" s="195"/>
      <c r="AE42" s="142" t="str">
        <f>IFERROR(IF(AND(T41="Probabilidad",T42="Probabilidad"),(AG41-(+AG41*AA42)),IF(T42="Probabilidad",(L41-(+L41*AA42)),IF(T42="Impacto",AG41,""))),"")</f>
        <v/>
      </c>
      <c r="AF42" s="130" t="str">
        <f t="shared" si="4"/>
        <v/>
      </c>
      <c r="AG42" s="97" t="str">
        <f t="shared" si="12"/>
        <v/>
      </c>
      <c r="AH42" s="130" t="str">
        <f t="shared" si="5"/>
        <v/>
      </c>
      <c r="AI42" s="97" t="str">
        <f>IFERROR(IF(AND(T41="Impacto",T42="Impacto"),(AI35-(+AI35*AA42)),IF(T42="Impacto",($P$41-(+$P$41*AA42)),IF(T42="Probabilidad",AI35,""))),"")</f>
        <v/>
      </c>
      <c r="AJ42" s="98" t="str">
        <f t="shared" si="13"/>
        <v/>
      </c>
      <c r="AK42" s="454"/>
      <c r="AL42" s="185"/>
      <c r="AM42" s="176"/>
      <c r="AN42" s="188"/>
      <c r="AO42" s="188"/>
      <c r="AP42" s="185"/>
      <c r="AQ42" s="188"/>
      <c r="AR42" s="185"/>
      <c r="AS42" s="188"/>
      <c r="AT42" s="185"/>
      <c r="AU42" s="99"/>
      <c r="AV42" s="170"/>
      <c r="AW42" s="131"/>
      <c r="AX42" s="185"/>
      <c r="AY42" s="185"/>
      <c r="AZ42" s="176"/>
      <c r="BA42" s="188"/>
      <c r="BB42" s="188"/>
      <c r="BC42" s="185"/>
      <c r="BD42" s="185"/>
      <c r="BE42" s="176"/>
      <c r="BF42" s="188"/>
      <c r="BG42" s="188"/>
      <c r="BH42" s="185"/>
      <c r="BI42" s="185"/>
      <c r="BJ42" s="176"/>
      <c r="BK42" s="188"/>
      <c r="BL42" s="188"/>
      <c r="BM42" s="170"/>
      <c r="BN42" s="170"/>
      <c r="BO42" s="131"/>
      <c r="BP42" s="99"/>
      <c r="BQ42" s="99"/>
      <c r="BR42" s="133"/>
      <c r="BS42" s="170"/>
      <c r="BT42" s="170"/>
      <c r="BU42" s="170"/>
      <c r="BV42" s="99"/>
      <c r="BW42" s="170"/>
      <c r="BX42" s="170"/>
      <c r="BY42" s="295"/>
      <c r="BZ42" s="289"/>
      <c r="CA42" s="290"/>
      <c r="CB42" s="289"/>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row>
    <row r="43" spans="1:106" ht="16.5" customHeight="1" x14ac:dyDescent="0.3">
      <c r="A43" s="445"/>
      <c r="B43" s="446"/>
      <c r="C43" s="446"/>
      <c r="D43" s="446"/>
      <c r="E43" s="472"/>
      <c r="F43" s="446"/>
      <c r="G43" s="446"/>
      <c r="H43" s="446"/>
      <c r="I43" s="446"/>
      <c r="J43" s="445"/>
      <c r="K43" s="473"/>
      <c r="L43" s="470"/>
      <c r="M43" s="460"/>
      <c r="N43" s="460"/>
      <c r="O43" s="460"/>
      <c r="P43" s="470"/>
      <c r="Q43" s="471"/>
      <c r="R43" s="176">
        <v>3</v>
      </c>
      <c r="S43" s="198"/>
      <c r="T43" s="169" t="str">
        <f t="shared" si="14"/>
        <v/>
      </c>
      <c r="U43" s="169"/>
      <c r="V43" s="169"/>
      <c r="W43" s="169"/>
      <c r="X43" s="169"/>
      <c r="Y43" s="195"/>
      <c r="Z43" s="195"/>
      <c r="AA43" s="97" t="str">
        <f t="shared" si="11"/>
        <v/>
      </c>
      <c r="AB43" s="195"/>
      <c r="AC43" s="195"/>
      <c r="AD43" s="195"/>
      <c r="AE43" s="142" t="str">
        <f>IFERROR(IF(AND(T42="Probabilidad",T43="Probabilidad"),(AG42-(+AG42*AA43)),IF(AND(T42="Impacto",T43="Probabilidad"),(AG41-(+AG41*AA43)),IF(T43="Impacto",AG42,""))),"")</f>
        <v/>
      </c>
      <c r="AF43" s="130" t="str">
        <f t="shared" si="4"/>
        <v/>
      </c>
      <c r="AG43" s="97" t="str">
        <f t="shared" si="12"/>
        <v/>
      </c>
      <c r="AH43" s="130" t="str">
        <f t="shared" si="5"/>
        <v/>
      </c>
      <c r="AI43" s="97" t="str">
        <f>IFERROR(IF(AND(T42="Impacto",T43="Impacto"),(AI42-(+AI42*AA43)),IF(AND(T42="Probabilidad",T43="Impacto"),(AI41-(+AI41*AA43)),IF(T43="Probabilidad",AI42,""))),"")</f>
        <v/>
      </c>
      <c r="AJ43" s="98" t="str">
        <f t="shared" si="13"/>
        <v/>
      </c>
      <c r="AK43" s="454"/>
      <c r="AL43" s="185"/>
      <c r="AM43" s="176"/>
      <c r="AN43" s="188"/>
      <c r="AO43" s="188"/>
      <c r="AP43" s="185"/>
      <c r="AQ43" s="188"/>
      <c r="AR43" s="185"/>
      <c r="AS43" s="188"/>
      <c r="AT43" s="185"/>
      <c r="AU43" s="99"/>
      <c r="AV43" s="170"/>
      <c r="AW43" s="131"/>
      <c r="AX43" s="185"/>
      <c r="AY43" s="185"/>
      <c r="AZ43" s="176"/>
      <c r="BA43" s="188"/>
      <c r="BB43" s="188"/>
      <c r="BC43" s="185"/>
      <c r="BD43" s="185"/>
      <c r="BE43" s="176"/>
      <c r="BF43" s="188"/>
      <c r="BG43" s="188"/>
      <c r="BH43" s="185"/>
      <c r="BI43" s="185"/>
      <c r="BJ43" s="176"/>
      <c r="BK43" s="188"/>
      <c r="BL43" s="188"/>
      <c r="BM43" s="170"/>
      <c r="BN43" s="170"/>
      <c r="BO43" s="131"/>
      <c r="BP43" s="99"/>
      <c r="BQ43" s="99"/>
      <c r="BR43" s="133"/>
      <c r="BS43" s="170"/>
      <c r="BT43" s="170"/>
      <c r="BU43" s="170"/>
      <c r="BV43" s="99"/>
      <c r="BW43" s="170"/>
      <c r="BX43" s="170"/>
      <c r="BY43" s="295"/>
      <c r="BZ43" s="289"/>
      <c r="CA43" s="290"/>
      <c r="CB43" s="289"/>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row>
    <row r="44" spans="1:106" ht="16.5" customHeight="1" x14ac:dyDescent="0.3">
      <c r="A44" s="445"/>
      <c r="B44" s="446"/>
      <c r="C44" s="446"/>
      <c r="D44" s="446"/>
      <c r="E44" s="472"/>
      <c r="F44" s="446"/>
      <c r="G44" s="446"/>
      <c r="H44" s="446"/>
      <c r="I44" s="446"/>
      <c r="J44" s="445"/>
      <c r="K44" s="473"/>
      <c r="L44" s="470"/>
      <c r="M44" s="460"/>
      <c r="N44" s="460"/>
      <c r="O44" s="460"/>
      <c r="P44" s="470"/>
      <c r="Q44" s="471"/>
      <c r="R44" s="176">
        <v>4</v>
      </c>
      <c r="S44" s="184"/>
      <c r="T44" s="169" t="str">
        <f t="shared" si="14"/>
        <v/>
      </c>
      <c r="U44" s="169"/>
      <c r="V44" s="169"/>
      <c r="W44" s="169"/>
      <c r="X44" s="169"/>
      <c r="Y44" s="195"/>
      <c r="Z44" s="195"/>
      <c r="AA44" s="97" t="str">
        <f t="shared" si="11"/>
        <v/>
      </c>
      <c r="AB44" s="195"/>
      <c r="AC44" s="195"/>
      <c r="AD44" s="195"/>
      <c r="AE44" s="142" t="str">
        <f>IFERROR(IF(AND(T43="Probabilidad",T44="Probabilidad"),(AG43-(+AG43*AA44)),IF(AND(T43="Impacto",T44="Probabilidad"),(AG42-(+AG42*AA44)),IF(T44="Impacto",AG43,""))),"")</f>
        <v/>
      </c>
      <c r="AF44" s="130" t="str">
        <f t="shared" si="4"/>
        <v/>
      </c>
      <c r="AG44" s="97" t="str">
        <f t="shared" si="12"/>
        <v/>
      </c>
      <c r="AH44" s="130" t="str">
        <f t="shared" si="5"/>
        <v/>
      </c>
      <c r="AI44" s="97" t="str">
        <f>IFERROR(IF(AND(T43="Impacto",T44="Impacto"),(AI43-(+AI43*AA44)),IF(AND(T43="Probabilidad",T44="Impacto"),(AI42-(+AI42*AA44)),IF(T44="Probabilidad",AI43,""))),"")</f>
        <v/>
      </c>
      <c r="AJ44" s="98" t="str">
        <f t="shared" si="13"/>
        <v/>
      </c>
      <c r="AK44" s="454"/>
      <c r="AL44" s="185"/>
      <c r="AM44" s="176"/>
      <c r="AN44" s="188"/>
      <c r="AO44" s="188"/>
      <c r="AP44" s="185"/>
      <c r="AQ44" s="188"/>
      <c r="AR44" s="185"/>
      <c r="AS44" s="188"/>
      <c r="AT44" s="185"/>
      <c r="AU44" s="99"/>
      <c r="AV44" s="170"/>
      <c r="AW44" s="131"/>
      <c r="AX44" s="185"/>
      <c r="AY44" s="185"/>
      <c r="AZ44" s="176"/>
      <c r="BA44" s="188"/>
      <c r="BB44" s="188"/>
      <c r="BC44" s="185"/>
      <c r="BD44" s="185"/>
      <c r="BE44" s="176"/>
      <c r="BF44" s="188"/>
      <c r="BG44" s="188"/>
      <c r="BH44" s="185"/>
      <c r="BI44" s="185"/>
      <c r="BJ44" s="176"/>
      <c r="BK44" s="188"/>
      <c r="BL44" s="188"/>
      <c r="BM44" s="170"/>
      <c r="BN44" s="170"/>
      <c r="BO44" s="131"/>
      <c r="BP44" s="99"/>
      <c r="BQ44" s="99"/>
      <c r="BR44" s="133"/>
      <c r="BS44" s="170"/>
      <c r="BT44" s="170"/>
      <c r="BU44" s="170"/>
      <c r="BV44" s="99"/>
      <c r="BW44" s="170"/>
      <c r="BX44" s="170"/>
      <c r="BY44" s="295"/>
      <c r="BZ44" s="289"/>
      <c r="CA44" s="290"/>
      <c r="CB44" s="289"/>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row>
    <row r="45" spans="1:106" ht="16.5" customHeight="1" x14ac:dyDescent="0.3">
      <c r="A45" s="445"/>
      <c r="B45" s="446"/>
      <c r="C45" s="446"/>
      <c r="D45" s="446"/>
      <c r="E45" s="472"/>
      <c r="F45" s="446"/>
      <c r="G45" s="446"/>
      <c r="H45" s="446"/>
      <c r="I45" s="446"/>
      <c r="J45" s="445"/>
      <c r="K45" s="473"/>
      <c r="L45" s="470"/>
      <c r="M45" s="460"/>
      <c r="N45" s="460"/>
      <c r="O45" s="460"/>
      <c r="P45" s="470"/>
      <c r="Q45" s="471"/>
      <c r="R45" s="176">
        <v>5</v>
      </c>
      <c r="S45" s="184"/>
      <c r="T45" s="169" t="str">
        <f t="shared" si="14"/>
        <v/>
      </c>
      <c r="U45" s="169"/>
      <c r="V45" s="169"/>
      <c r="W45" s="169"/>
      <c r="X45" s="169"/>
      <c r="Y45" s="195"/>
      <c r="Z45" s="195"/>
      <c r="AA45" s="97" t="str">
        <f t="shared" si="11"/>
        <v/>
      </c>
      <c r="AB45" s="195"/>
      <c r="AC45" s="195"/>
      <c r="AD45" s="195"/>
      <c r="AE45" s="142" t="str">
        <f>IFERROR(IF(AND(T44="Probabilidad",T45="Probabilidad"),(AG44-(+AG44*AA45)),IF(AND(T44="Impacto",T45="Probabilidad"),(AG43-(+AG43*AA45)),IF(T45="Impacto",AG44,""))),"")</f>
        <v/>
      </c>
      <c r="AF45" s="130" t="str">
        <f t="shared" si="4"/>
        <v/>
      </c>
      <c r="AG45" s="97" t="str">
        <f t="shared" si="12"/>
        <v/>
      </c>
      <c r="AH45" s="130" t="str">
        <f t="shared" si="5"/>
        <v/>
      </c>
      <c r="AI45" s="97" t="str">
        <f>IFERROR(IF(AND(T44="Impacto",T45="Impacto"),(AI44-(+AI44*AA45)),IF(AND(T44="Probabilidad",T45="Impacto"),(AI43-(+AI43*AA45)),IF(T45="Probabilidad",AI44,""))),"")</f>
        <v/>
      </c>
      <c r="AJ45" s="98" t="str">
        <f t="shared" si="13"/>
        <v/>
      </c>
      <c r="AK45" s="454"/>
      <c r="AL45" s="185"/>
      <c r="AM45" s="176"/>
      <c r="AN45" s="188"/>
      <c r="AO45" s="188"/>
      <c r="AP45" s="185"/>
      <c r="AQ45" s="188"/>
      <c r="AR45" s="185"/>
      <c r="AS45" s="188"/>
      <c r="AT45" s="185"/>
      <c r="AU45" s="99"/>
      <c r="AV45" s="170"/>
      <c r="AW45" s="131"/>
      <c r="AX45" s="185"/>
      <c r="AY45" s="185"/>
      <c r="AZ45" s="176"/>
      <c r="BA45" s="188"/>
      <c r="BB45" s="188"/>
      <c r="BC45" s="185"/>
      <c r="BD45" s="185"/>
      <c r="BE45" s="176"/>
      <c r="BF45" s="188"/>
      <c r="BG45" s="188"/>
      <c r="BH45" s="185"/>
      <c r="BI45" s="185"/>
      <c r="BJ45" s="176"/>
      <c r="BK45" s="188"/>
      <c r="BL45" s="188"/>
      <c r="BM45" s="170"/>
      <c r="BN45" s="170"/>
      <c r="BO45" s="131"/>
      <c r="BP45" s="99"/>
      <c r="BQ45" s="99"/>
      <c r="BR45" s="133"/>
      <c r="BS45" s="170"/>
      <c r="BT45" s="170"/>
      <c r="BU45" s="170"/>
      <c r="BV45" s="99"/>
      <c r="BW45" s="170"/>
      <c r="BX45" s="170"/>
      <c r="BY45" s="295"/>
      <c r="BZ45" s="289"/>
      <c r="CA45" s="290"/>
      <c r="CB45" s="289"/>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row>
    <row r="46" spans="1:106" ht="16.5" customHeight="1" x14ac:dyDescent="0.3">
      <c r="A46" s="445"/>
      <c r="B46" s="446"/>
      <c r="C46" s="446"/>
      <c r="D46" s="446"/>
      <c r="E46" s="472"/>
      <c r="F46" s="446"/>
      <c r="G46" s="446"/>
      <c r="H46" s="446"/>
      <c r="I46" s="446"/>
      <c r="J46" s="445"/>
      <c r="K46" s="473"/>
      <c r="L46" s="470"/>
      <c r="M46" s="461"/>
      <c r="N46" s="461"/>
      <c r="O46" s="461"/>
      <c r="P46" s="470"/>
      <c r="Q46" s="471"/>
      <c r="R46" s="176">
        <v>6</v>
      </c>
      <c r="S46" s="184"/>
      <c r="T46" s="169" t="str">
        <f t="shared" si="14"/>
        <v/>
      </c>
      <c r="U46" s="169"/>
      <c r="V46" s="169"/>
      <c r="W46" s="169"/>
      <c r="X46" s="169"/>
      <c r="Y46" s="195"/>
      <c r="Z46" s="195"/>
      <c r="AA46" s="97" t="str">
        <f t="shared" si="11"/>
        <v/>
      </c>
      <c r="AB46" s="195"/>
      <c r="AC46" s="195"/>
      <c r="AD46" s="195"/>
      <c r="AE46" s="142" t="str">
        <f>IFERROR(IF(AND(T45="Probabilidad",T46="Probabilidad"),(AG45-(+AG45*AA46)),IF(AND(T45="Impacto",T46="Probabilidad"),(AG44-(+AG44*AA46)),IF(T46="Impacto",AG45,""))),"")</f>
        <v/>
      </c>
      <c r="AF46" s="130" t="str">
        <f t="shared" si="4"/>
        <v/>
      </c>
      <c r="AG46" s="97" t="str">
        <f t="shared" si="12"/>
        <v/>
      </c>
      <c r="AH46" s="130" t="str">
        <f t="shared" si="5"/>
        <v/>
      </c>
      <c r="AI46" s="97" t="str">
        <f>IFERROR(IF(AND(T45="Impacto",T46="Impacto"),(AI45-(+AI45*AA46)),IF(AND(T45="Probabilidad",T46="Impacto"),(AI44-(+AI44*AA46)),IF(T46="Probabilidad",AI45,""))),"")</f>
        <v/>
      </c>
      <c r="AJ46" s="98" t="str">
        <f t="shared" si="13"/>
        <v/>
      </c>
      <c r="AK46" s="455"/>
      <c r="AL46" s="185"/>
      <c r="AM46" s="176"/>
      <c r="AN46" s="188"/>
      <c r="AO46" s="188"/>
      <c r="AP46" s="185"/>
      <c r="AQ46" s="188"/>
      <c r="AR46" s="185"/>
      <c r="AS46" s="188"/>
      <c r="AT46" s="185"/>
      <c r="AU46" s="99"/>
      <c r="AV46" s="170"/>
      <c r="AW46" s="131"/>
      <c r="AX46" s="185"/>
      <c r="AY46" s="185"/>
      <c r="AZ46" s="176"/>
      <c r="BA46" s="188"/>
      <c r="BB46" s="188"/>
      <c r="BC46" s="185"/>
      <c r="BD46" s="185"/>
      <c r="BE46" s="176"/>
      <c r="BF46" s="188"/>
      <c r="BG46" s="188"/>
      <c r="BH46" s="185"/>
      <c r="BI46" s="185"/>
      <c r="BJ46" s="176"/>
      <c r="BK46" s="188"/>
      <c r="BL46" s="188"/>
      <c r="BM46" s="170"/>
      <c r="BN46" s="170"/>
      <c r="BO46" s="131"/>
      <c r="BP46" s="99"/>
      <c r="BQ46" s="99"/>
      <c r="BR46" s="133"/>
      <c r="BS46" s="170"/>
      <c r="BT46" s="170"/>
      <c r="BU46" s="170"/>
      <c r="BV46" s="99"/>
      <c r="BW46" s="170"/>
      <c r="BX46" s="170"/>
      <c r="BY46" s="295"/>
      <c r="BZ46" s="289"/>
      <c r="CA46" s="290"/>
      <c r="CB46" s="289"/>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row>
    <row r="47" spans="1:106" ht="16.5" customHeight="1" x14ac:dyDescent="0.3">
      <c r="A47" s="445">
        <v>8</v>
      </c>
      <c r="B47" s="446"/>
      <c r="C47" s="446"/>
      <c r="D47" s="446"/>
      <c r="E47" s="472"/>
      <c r="F47" s="446"/>
      <c r="G47" s="446"/>
      <c r="H47" s="446"/>
      <c r="I47" s="446"/>
      <c r="J47" s="445"/>
      <c r="K47" s="473" t="str">
        <f>IF(J47&lt;=0,"",IF(J47&lt;=2,"Muy Baja",IF(J47&lt;=24,"Baja",IF(J47&lt;=500,"Media",IF(J47&lt;=5000,"Alta","Muy Alta")))))</f>
        <v/>
      </c>
      <c r="L47" s="470" t="str">
        <f>IF(K47="","",IF(K47="Muy Baja",0.2,IF(K47="Baja",0.4,IF(K47="Media",0.6,IF(K47="Alta",0.8,IF(K47="Muy Alta",1,))))))</f>
        <v/>
      </c>
      <c r="M47" s="468"/>
      <c r="N47" s="468">
        <f ca="1">IF(NOT(ISERROR(MATCH(M47,'Tabla Impacto'!$B$221:$B$223,0))),'Tabla Impacto'!$F$223&amp;"Por favor no seleccionar los criterios de impacto(Afectación Económica o presupuestal y Pérdida Reputacional)",M47)</f>
        <v>0</v>
      </c>
      <c r="O47" s="469" t="str">
        <f ca="1">IF(OR(N47='Tabla Impacto'!$C$11,N47='Tabla Impacto'!$D$11),"Leve",IF(OR(N47='Tabla Impacto'!$C$12,N47='Tabla Impacto'!$D$12),"Menor",IF(OR(N47='Tabla Impacto'!$C$13,N47='Tabla Impacto'!$D$13),"Moderado",IF(OR(N47='Tabla Impacto'!$C$14,N47='Tabla Impacto'!$D$14),"Mayor",IF(OR(N47='Tabla Impacto'!$C$15,N47='Tabla Impacto'!$D$15),"Catastrófico","")))))</f>
        <v/>
      </c>
      <c r="P47" s="470" t="str">
        <f ca="1">IF(O47="","",IF(O47="Leve",0.2,IF(O47="Menor",0.4,IF(O47="Moderado",0.6,IF(O47="Mayor",0.8,IF(O47="Catastrófico",1,))))))</f>
        <v/>
      </c>
      <c r="Q47" s="471"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76">
        <v>1</v>
      </c>
      <c r="S47" s="184"/>
      <c r="T47" s="169" t="str">
        <f t="shared" si="14"/>
        <v/>
      </c>
      <c r="U47" s="169"/>
      <c r="V47" s="169"/>
      <c r="W47" s="169"/>
      <c r="X47" s="169"/>
      <c r="Y47" s="195"/>
      <c r="Z47" s="195"/>
      <c r="AA47" s="97" t="str">
        <f t="shared" si="11"/>
        <v/>
      </c>
      <c r="AB47" s="195"/>
      <c r="AC47" s="195"/>
      <c r="AD47" s="195"/>
      <c r="AE47" s="142" t="str">
        <f>IFERROR(IF(T47="Probabilidad",(L47-(+L47*AA47)),IF(T47="Impacto",L47,"")),"")</f>
        <v/>
      </c>
      <c r="AF47" s="130" t="str">
        <f>IFERROR(IF(AE47="","",IF(AE47&lt;=0.2,"Muy Baja",IF(AE47&lt;=0.4,"Baja",IF(AE47&lt;=0.6,"Media",IF(AE47&lt;=0.8,"Alta","Muy Alta"))))),"")</f>
        <v/>
      </c>
      <c r="AG47" s="97" t="str">
        <f t="shared" si="12"/>
        <v/>
      </c>
      <c r="AH47" s="130" t="str">
        <f>IFERROR(IF(AI47="","",IF(AI47&lt;=0.2,"Leve",IF(AI47&lt;=0.4,"Menor",IF(AI47&lt;=0.6,"Moderado",IF(AI47&lt;=0.8,"Mayor","Catastrófico"))))),"")</f>
        <v/>
      </c>
      <c r="AI47" s="97" t="str">
        <f>IFERROR(IF(T47="Impacto",(P47-(+P47*AA47)),IF(T47="Probabilidad",P47,"")),"")</f>
        <v/>
      </c>
      <c r="AJ47" s="98" t="str">
        <f t="shared" si="13"/>
        <v/>
      </c>
      <c r="AK47" s="453"/>
      <c r="AL47" s="185"/>
      <c r="AM47" s="176"/>
      <c r="AN47" s="188"/>
      <c r="AO47" s="188"/>
      <c r="AP47" s="185"/>
      <c r="AQ47" s="188"/>
      <c r="AR47" s="185"/>
      <c r="AS47" s="188"/>
      <c r="AT47" s="185"/>
      <c r="AU47" s="99"/>
      <c r="AV47" s="170"/>
      <c r="AW47" s="131"/>
      <c r="AX47" s="185"/>
      <c r="AY47" s="185"/>
      <c r="AZ47" s="176"/>
      <c r="BA47" s="188"/>
      <c r="BB47" s="188"/>
      <c r="BC47" s="185"/>
      <c r="BD47" s="185"/>
      <c r="BE47" s="176"/>
      <c r="BF47" s="188"/>
      <c r="BG47" s="188"/>
      <c r="BH47" s="185"/>
      <c r="BI47" s="185"/>
      <c r="BJ47" s="176"/>
      <c r="BK47" s="188"/>
      <c r="BL47" s="188"/>
      <c r="BM47" s="170"/>
      <c r="BN47" s="170"/>
      <c r="BO47" s="131"/>
      <c r="BP47" s="99"/>
      <c r="BQ47" s="99"/>
      <c r="BR47" s="133"/>
      <c r="BS47" s="170"/>
      <c r="BT47" s="170"/>
      <c r="BU47" s="170"/>
      <c r="BV47" s="99"/>
      <c r="BW47" s="170"/>
      <c r="BX47" s="170"/>
      <c r="BY47" s="295"/>
      <c r="BZ47" s="289"/>
      <c r="CA47" s="290"/>
      <c r="CB47" s="289"/>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row>
    <row r="48" spans="1:106" ht="16.5" customHeight="1" x14ac:dyDescent="0.3">
      <c r="A48" s="445"/>
      <c r="B48" s="446"/>
      <c r="C48" s="446"/>
      <c r="D48" s="446"/>
      <c r="E48" s="472"/>
      <c r="F48" s="446"/>
      <c r="G48" s="446"/>
      <c r="H48" s="446"/>
      <c r="I48" s="446"/>
      <c r="J48" s="445"/>
      <c r="K48" s="473"/>
      <c r="L48" s="470"/>
      <c r="M48" s="460"/>
      <c r="N48" s="460"/>
      <c r="O48" s="460"/>
      <c r="P48" s="470"/>
      <c r="Q48" s="471"/>
      <c r="R48" s="176">
        <v>2</v>
      </c>
      <c r="S48" s="184"/>
      <c r="T48" s="169" t="str">
        <f t="shared" si="14"/>
        <v/>
      </c>
      <c r="U48" s="169"/>
      <c r="V48" s="169"/>
      <c r="W48" s="169"/>
      <c r="X48" s="169"/>
      <c r="Y48" s="195"/>
      <c r="Z48" s="195"/>
      <c r="AA48" s="97" t="str">
        <f t="shared" si="11"/>
        <v/>
      </c>
      <c r="AB48" s="195"/>
      <c r="AC48" s="195"/>
      <c r="AD48" s="195"/>
      <c r="AE48" s="142" t="str">
        <f>IFERROR(IF(AND(T47="Probabilidad",T48="Probabilidad"),(AG47-(+AG47*AA48)),IF(T48="Probabilidad",(L47-(+L47*AA48)),IF(T48="Impacto",AG47,""))),"")</f>
        <v/>
      </c>
      <c r="AF48" s="130" t="str">
        <f t="shared" si="4"/>
        <v/>
      </c>
      <c r="AG48" s="97" t="str">
        <f t="shared" si="12"/>
        <v/>
      </c>
      <c r="AH48" s="130" t="str">
        <f t="shared" si="5"/>
        <v/>
      </c>
      <c r="AI48" s="97" t="str">
        <f>IFERROR(IF(AND(T47="Impacto",T48="Impacto"),(AI41-(+AI41*AA48)),IF(T48="Impacto",($P$47-(+$P$47*AA48)),IF(T48="Probabilidad",AI41,""))),"")</f>
        <v/>
      </c>
      <c r="AJ48" s="98" t="str">
        <f t="shared" si="13"/>
        <v/>
      </c>
      <c r="AK48" s="454"/>
      <c r="AL48" s="185"/>
      <c r="AM48" s="176"/>
      <c r="AN48" s="188"/>
      <c r="AO48" s="188"/>
      <c r="AP48" s="185"/>
      <c r="AQ48" s="188"/>
      <c r="AR48" s="185"/>
      <c r="AS48" s="188"/>
      <c r="AT48" s="185"/>
      <c r="AU48" s="99"/>
      <c r="AV48" s="170"/>
      <c r="AW48" s="131"/>
      <c r="AX48" s="185"/>
      <c r="AY48" s="185"/>
      <c r="AZ48" s="176"/>
      <c r="BA48" s="188"/>
      <c r="BB48" s="188"/>
      <c r="BC48" s="185"/>
      <c r="BD48" s="185"/>
      <c r="BE48" s="176"/>
      <c r="BF48" s="188"/>
      <c r="BG48" s="188"/>
      <c r="BH48" s="185"/>
      <c r="BI48" s="185"/>
      <c r="BJ48" s="176"/>
      <c r="BK48" s="188"/>
      <c r="BL48" s="188"/>
      <c r="BM48" s="170"/>
      <c r="BN48" s="170"/>
      <c r="BO48" s="131"/>
      <c r="BP48" s="99"/>
      <c r="BQ48" s="99"/>
      <c r="BR48" s="133"/>
      <c r="BS48" s="170"/>
      <c r="BT48" s="170"/>
      <c r="BU48" s="170"/>
      <c r="BV48" s="99"/>
      <c r="BW48" s="170"/>
      <c r="BX48" s="170"/>
      <c r="BY48" s="295"/>
      <c r="BZ48" s="289"/>
      <c r="CA48" s="290"/>
      <c r="CB48" s="289"/>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row>
    <row r="49" spans="1:106" ht="16.5" customHeight="1" x14ac:dyDescent="0.3">
      <c r="A49" s="445"/>
      <c r="B49" s="446"/>
      <c r="C49" s="446"/>
      <c r="D49" s="446"/>
      <c r="E49" s="472"/>
      <c r="F49" s="446"/>
      <c r="G49" s="446"/>
      <c r="H49" s="446"/>
      <c r="I49" s="446"/>
      <c r="J49" s="445"/>
      <c r="K49" s="473"/>
      <c r="L49" s="470"/>
      <c r="M49" s="460"/>
      <c r="N49" s="460"/>
      <c r="O49" s="460"/>
      <c r="P49" s="470"/>
      <c r="Q49" s="471"/>
      <c r="R49" s="176">
        <v>3</v>
      </c>
      <c r="S49" s="198"/>
      <c r="T49" s="169" t="str">
        <f t="shared" si="14"/>
        <v/>
      </c>
      <c r="U49" s="169"/>
      <c r="V49" s="169"/>
      <c r="W49" s="169"/>
      <c r="X49" s="169"/>
      <c r="Y49" s="195"/>
      <c r="Z49" s="195"/>
      <c r="AA49" s="97" t="str">
        <f t="shared" si="11"/>
        <v/>
      </c>
      <c r="AB49" s="195"/>
      <c r="AC49" s="195"/>
      <c r="AD49" s="195"/>
      <c r="AE49" s="142" t="str">
        <f>IFERROR(IF(AND(T48="Probabilidad",T49="Probabilidad"),(AG48-(+AG48*AA49)),IF(AND(T48="Impacto",T49="Probabilidad"),(AG47-(+AG47*AA49)),IF(T49="Impacto",AG48,""))),"")</f>
        <v/>
      </c>
      <c r="AF49" s="130" t="str">
        <f t="shared" si="4"/>
        <v/>
      </c>
      <c r="AG49" s="97" t="str">
        <f t="shared" si="12"/>
        <v/>
      </c>
      <c r="AH49" s="130" t="str">
        <f t="shared" si="5"/>
        <v/>
      </c>
      <c r="AI49" s="97" t="str">
        <f>IFERROR(IF(AND(T48="Impacto",T49="Impacto"),(AI48-(+AI48*AA49)),IF(AND(T48="Probabilidad",T49="Impacto"),(AI47-(+AI47*AA49)),IF(T49="Probabilidad",AI48,""))),"")</f>
        <v/>
      </c>
      <c r="AJ49" s="98" t="str">
        <f t="shared" si="13"/>
        <v/>
      </c>
      <c r="AK49" s="454"/>
      <c r="AL49" s="185"/>
      <c r="AM49" s="176"/>
      <c r="AN49" s="188"/>
      <c r="AO49" s="188"/>
      <c r="AP49" s="185"/>
      <c r="AQ49" s="188"/>
      <c r="AR49" s="185"/>
      <c r="AS49" s="188"/>
      <c r="AT49" s="185"/>
      <c r="AU49" s="99"/>
      <c r="AV49" s="170"/>
      <c r="AW49" s="131"/>
      <c r="AX49" s="185"/>
      <c r="AY49" s="185"/>
      <c r="AZ49" s="176"/>
      <c r="BA49" s="188"/>
      <c r="BB49" s="188"/>
      <c r="BC49" s="185"/>
      <c r="BD49" s="185"/>
      <c r="BE49" s="176"/>
      <c r="BF49" s="188"/>
      <c r="BG49" s="188"/>
      <c r="BH49" s="185"/>
      <c r="BI49" s="185"/>
      <c r="BJ49" s="176"/>
      <c r="BK49" s="188"/>
      <c r="BL49" s="188"/>
      <c r="BM49" s="170"/>
      <c r="BN49" s="170"/>
      <c r="BO49" s="131"/>
      <c r="BP49" s="99"/>
      <c r="BQ49" s="99"/>
      <c r="BR49" s="133"/>
      <c r="BS49" s="170"/>
      <c r="BT49" s="170"/>
      <c r="BU49" s="170"/>
      <c r="BV49" s="99"/>
      <c r="BW49" s="170"/>
      <c r="BX49" s="170"/>
      <c r="BY49" s="295"/>
      <c r="BZ49" s="289"/>
      <c r="CA49" s="290"/>
      <c r="CB49" s="289"/>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row>
    <row r="50" spans="1:106" ht="16.5" customHeight="1" x14ac:dyDescent="0.3">
      <c r="A50" s="445"/>
      <c r="B50" s="446"/>
      <c r="C50" s="446"/>
      <c r="D50" s="446"/>
      <c r="E50" s="472"/>
      <c r="F50" s="446"/>
      <c r="G50" s="446"/>
      <c r="H50" s="446"/>
      <c r="I50" s="446"/>
      <c r="J50" s="445"/>
      <c r="K50" s="473"/>
      <c r="L50" s="470"/>
      <c r="M50" s="460"/>
      <c r="N50" s="460"/>
      <c r="O50" s="460"/>
      <c r="P50" s="470"/>
      <c r="Q50" s="471"/>
      <c r="R50" s="176">
        <v>4</v>
      </c>
      <c r="S50" s="184"/>
      <c r="T50" s="169" t="str">
        <f t="shared" si="14"/>
        <v/>
      </c>
      <c r="U50" s="169"/>
      <c r="V50" s="169"/>
      <c r="W50" s="169"/>
      <c r="X50" s="169"/>
      <c r="Y50" s="195"/>
      <c r="Z50" s="195"/>
      <c r="AA50" s="97" t="str">
        <f t="shared" si="11"/>
        <v/>
      </c>
      <c r="AB50" s="195"/>
      <c r="AC50" s="195"/>
      <c r="AD50" s="195"/>
      <c r="AE50" s="142" t="str">
        <f>IFERROR(IF(AND(T49="Probabilidad",T50="Probabilidad"),(AG49-(+AG49*AA50)),IF(AND(T49="Impacto",T50="Probabilidad"),(AG48-(+AG48*AA50)),IF(T50="Impacto",AG49,""))),"")</f>
        <v/>
      </c>
      <c r="AF50" s="130" t="str">
        <f t="shared" si="4"/>
        <v/>
      </c>
      <c r="AG50" s="97" t="str">
        <f t="shared" si="12"/>
        <v/>
      </c>
      <c r="AH50" s="130" t="str">
        <f t="shared" si="5"/>
        <v/>
      </c>
      <c r="AI50" s="97" t="str">
        <f>IFERROR(IF(AND(T49="Impacto",T50="Impacto"),(AI49-(+AI49*AA50)),IF(AND(T49="Probabilidad",T50="Impacto"),(AI48-(+AI48*AA50)),IF(T50="Probabilidad",AI49,""))),"")</f>
        <v/>
      </c>
      <c r="AJ50" s="98" t="str">
        <f t="shared" si="13"/>
        <v/>
      </c>
      <c r="AK50" s="454"/>
      <c r="AL50" s="185"/>
      <c r="AM50" s="176"/>
      <c r="AN50" s="188"/>
      <c r="AO50" s="188"/>
      <c r="AP50" s="185"/>
      <c r="AQ50" s="188"/>
      <c r="AR50" s="185"/>
      <c r="AS50" s="188"/>
      <c r="AT50" s="185"/>
      <c r="AU50" s="99"/>
      <c r="AV50" s="170"/>
      <c r="AW50" s="131"/>
      <c r="AX50" s="185"/>
      <c r="AY50" s="185"/>
      <c r="AZ50" s="176"/>
      <c r="BA50" s="188"/>
      <c r="BB50" s="188"/>
      <c r="BC50" s="185"/>
      <c r="BD50" s="185"/>
      <c r="BE50" s="176"/>
      <c r="BF50" s="188"/>
      <c r="BG50" s="188"/>
      <c r="BH50" s="185"/>
      <c r="BI50" s="185"/>
      <c r="BJ50" s="176"/>
      <c r="BK50" s="188"/>
      <c r="BL50" s="188"/>
      <c r="BM50" s="170"/>
      <c r="BN50" s="170"/>
      <c r="BO50" s="131"/>
      <c r="BP50" s="99"/>
      <c r="BQ50" s="99"/>
      <c r="BR50" s="133"/>
      <c r="BS50" s="170"/>
      <c r="BT50" s="170"/>
      <c r="BU50" s="170"/>
      <c r="BV50" s="99"/>
      <c r="BW50" s="170"/>
      <c r="BX50" s="170"/>
      <c r="BY50" s="295"/>
      <c r="BZ50" s="289"/>
      <c r="CA50" s="290"/>
      <c r="CB50" s="289"/>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row>
    <row r="51" spans="1:106" ht="16.5" customHeight="1" x14ac:dyDescent="0.3">
      <c r="A51" s="445"/>
      <c r="B51" s="446"/>
      <c r="C51" s="446"/>
      <c r="D51" s="446"/>
      <c r="E51" s="472"/>
      <c r="F51" s="446"/>
      <c r="G51" s="446"/>
      <c r="H51" s="446"/>
      <c r="I51" s="446"/>
      <c r="J51" s="445"/>
      <c r="K51" s="473"/>
      <c r="L51" s="470"/>
      <c r="M51" s="460"/>
      <c r="N51" s="460"/>
      <c r="O51" s="460"/>
      <c r="P51" s="470"/>
      <c r="Q51" s="471"/>
      <c r="R51" s="176">
        <v>5</v>
      </c>
      <c r="S51" s="184"/>
      <c r="T51" s="169" t="str">
        <f t="shared" si="14"/>
        <v/>
      </c>
      <c r="U51" s="169"/>
      <c r="V51" s="169"/>
      <c r="W51" s="169"/>
      <c r="X51" s="169"/>
      <c r="Y51" s="195"/>
      <c r="Z51" s="195"/>
      <c r="AA51" s="97" t="str">
        <f t="shared" si="11"/>
        <v/>
      </c>
      <c r="AB51" s="195"/>
      <c r="AC51" s="195"/>
      <c r="AD51" s="195"/>
      <c r="AE51" s="142" t="str">
        <f>IFERROR(IF(AND(T50="Probabilidad",T51="Probabilidad"),(AG50-(+AG50*AA51)),IF(AND(T50="Impacto",T51="Probabilidad"),(AG49-(+AG49*AA51)),IF(T51="Impacto",AG50,""))),"")</f>
        <v/>
      </c>
      <c r="AF51" s="130" t="str">
        <f t="shared" si="4"/>
        <v/>
      </c>
      <c r="AG51" s="97" t="str">
        <f t="shared" si="12"/>
        <v/>
      </c>
      <c r="AH51" s="130" t="str">
        <f t="shared" si="5"/>
        <v/>
      </c>
      <c r="AI51" s="97" t="str">
        <f>IFERROR(IF(AND(T50="Impacto",T51="Impacto"),(AI50-(+AI50*AA51)),IF(AND(T50="Probabilidad",T51="Impacto"),(AI49-(+AI49*AA51)),IF(T51="Probabilidad",AI50,""))),"")</f>
        <v/>
      </c>
      <c r="AJ51" s="98" t="str">
        <f t="shared" si="13"/>
        <v/>
      </c>
      <c r="AK51" s="454"/>
      <c r="AL51" s="185"/>
      <c r="AM51" s="176"/>
      <c r="AN51" s="188"/>
      <c r="AO51" s="99"/>
      <c r="AP51" s="170"/>
      <c r="AQ51" s="188"/>
      <c r="AR51" s="185"/>
      <c r="AS51" s="188"/>
      <c r="AT51" s="185"/>
      <c r="AU51" s="99"/>
      <c r="AV51" s="170"/>
      <c r="AW51" s="131"/>
      <c r="AX51" s="185"/>
      <c r="AY51" s="185"/>
      <c r="AZ51" s="176"/>
      <c r="BA51" s="188"/>
      <c r="BB51" s="188"/>
      <c r="BC51" s="185"/>
      <c r="BD51" s="185"/>
      <c r="BE51" s="176"/>
      <c r="BF51" s="188"/>
      <c r="BG51" s="188"/>
      <c r="BH51" s="185"/>
      <c r="BI51" s="185"/>
      <c r="BJ51" s="176"/>
      <c r="BK51" s="188"/>
      <c r="BL51" s="188"/>
      <c r="BM51" s="170"/>
      <c r="BN51" s="170"/>
      <c r="BO51" s="131"/>
      <c r="BP51" s="99"/>
      <c r="BQ51" s="99"/>
      <c r="BR51" s="133"/>
      <c r="BS51" s="170"/>
      <c r="BT51" s="170"/>
      <c r="BU51" s="170"/>
      <c r="BV51" s="99"/>
      <c r="BW51" s="170"/>
      <c r="BX51" s="170"/>
      <c r="BY51" s="295"/>
      <c r="BZ51" s="289"/>
      <c r="CA51" s="290"/>
      <c r="CB51" s="289"/>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row>
    <row r="52" spans="1:106" ht="16.5" customHeight="1" x14ac:dyDescent="0.3">
      <c r="A52" s="445"/>
      <c r="B52" s="446"/>
      <c r="C52" s="446"/>
      <c r="D52" s="446"/>
      <c r="E52" s="472"/>
      <c r="F52" s="446"/>
      <c r="G52" s="446"/>
      <c r="H52" s="446"/>
      <c r="I52" s="446"/>
      <c r="J52" s="445"/>
      <c r="K52" s="473"/>
      <c r="L52" s="470"/>
      <c r="M52" s="461"/>
      <c r="N52" s="461"/>
      <c r="O52" s="461"/>
      <c r="P52" s="470"/>
      <c r="Q52" s="471"/>
      <c r="R52" s="176">
        <v>6</v>
      </c>
      <c r="S52" s="184"/>
      <c r="T52" s="169" t="str">
        <f t="shared" si="14"/>
        <v/>
      </c>
      <c r="U52" s="169"/>
      <c r="V52" s="169"/>
      <c r="W52" s="169"/>
      <c r="X52" s="169"/>
      <c r="Y52" s="195"/>
      <c r="Z52" s="195"/>
      <c r="AA52" s="97" t="str">
        <f t="shared" si="11"/>
        <v/>
      </c>
      <c r="AB52" s="195"/>
      <c r="AC52" s="195"/>
      <c r="AD52" s="195"/>
      <c r="AE52" s="142" t="str">
        <f>IFERROR(IF(AND(T51="Probabilidad",T52="Probabilidad"),(AG51-(+AG51*AA52)),IF(AND(T51="Impacto",T52="Probabilidad"),(AG50-(+AG50*AA52)),IF(T52="Impacto",AG51,""))),"")</f>
        <v/>
      </c>
      <c r="AF52" s="130" t="str">
        <f t="shared" si="4"/>
        <v/>
      </c>
      <c r="AG52" s="97" t="str">
        <f t="shared" si="12"/>
        <v/>
      </c>
      <c r="AH52" s="130" t="str">
        <f t="shared" si="5"/>
        <v/>
      </c>
      <c r="AI52" s="97" t="str">
        <f>IFERROR(IF(AND(T51="Impacto",T52="Impacto"),(AI51-(+AI51*AA52)),IF(AND(T51="Probabilidad",T52="Impacto"),(AI50-(+AI50*AA52)),IF(T52="Probabilidad",AI51,""))),"")</f>
        <v/>
      </c>
      <c r="AJ52" s="98" t="str">
        <f t="shared" si="13"/>
        <v/>
      </c>
      <c r="AK52" s="455"/>
      <c r="AL52" s="185"/>
      <c r="AM52" s="176"/>
      <c r="AN52" s="188"/>
      <c r="AO52" s="99"/>
      <c r="AP52" s="170"/>
      <c r="AQ52" s="188"/>
      <c r="AR52" s="185"/>
      <c r="AS52" s="188"/>
      <c r="AT52" s="185"/>
      <c r="AU52" s="99"/>
      <c r="AV52" s="170"/>
      <c r="AW52" s="131"/>
      <c r="AX52" s="185"/>
      <c r="AY52" s="185"/>
      <c r="AZ52" s="176"/>
      <c r="BA52" s="188"/>
      <c r="BB52" s="188"/>
      <c r="BC52" s="185"/>
      <c r="BD52" s="185"/>
      <c r="BE52" s="176"/>
      <c r="BF52" s="188"/>
      <c r="BG52" s="188"/>
      <c r="BH52" s="185"/>
      <c r="BI52" s="185"/>
      <c r="BJ52" s="176"/>
      <c r="BK52" s="188"/>
      <c r="BL52" s="188"/>
      <c r="BM52" s="170"/>
      <c r="BN52" s="170"/>
      <c r="BO52" s="131"/>
      <c r="BP52" s="99"/>
      <c r="BQ52" s="99"/>
      <c r="BR52" s="133"/>
      <c r="BS52" s="170"/>
      <c r="BT52" s="170"/>
      <c r="BU52" s="170"/>
      <c r="BV52" s="99"/>
      <c r="BW52" s="170"/>
      <c r="BX52" s="170"/>
      <c r="BY52" s="295"/>
      <c r="BZ52" s="289"/>
      <c r="CA52" s="290"/>
      <c r="CB52" s="289"/>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row>
    <row r="53" spans="1:106" ht="16.5" customHeight="1" x14ac:dyDescent="0.3">
      <c r="A53" s="445">
        <v>9</v>
      </c>
      <c r="B53" s="446"/>
      <c r="C53" s="446"/>
      <c r="D53" s="446"/>
      <c r="E53" s="472"/>
      <c r="F53" s="446"/>
      <c r="G53" s="446"/>
      <c r="H53" s="446"/>
      <c r="I53" s="446"/>
      <c r="J53" s="445"/>
      <c r="K53" s="473" t="str">
        <f>IF(J53&lt;=0,"",IF(J53&lt;=2,"Muy Baja",IF(J53&lt;=24,"Baja",IF(J53&lt;=500,"Media",IF(J53&lt;=5000,"Alta","Muy Alta")))))</f>
        <v/>
      </c>
      <c r="L53" s="470" t="str">
        <f>IF(K53="","",IF(K53="Muy Baja",0.2,IF(K53="Baja",0.4,IF(K53="Media",0.6,IF(K53="Alta",0.8,IF(K53="Muy Alta",1,))))))</f>
        <v/>
      </c>
      <c r="M53" s="468"/>
      <c r="N53" s="468">
        <f ca="1">IF(NOT(ISERROR(MATCH(M53,'Tabla Impacto'!$B$221:$B$223,0))),'Tabla Impacto'!$F$223&amp;"Por favor no seleccionar los criterios de impacto(Afectación Económica o presupuestal y Pérdida Reputacional)",M53)</f>
        <v>0</v>
      </c>
      <c r="O53" s="469" t="str">
        <f ca="1">IF(OR(N53='Tabla Impacto'!$C$11,N53='Tabla Impacto'!$D$11),"Leve",IF(OR(N53='Tabla Impacto'!$C$12,N53='Tabla Impacto'!$D$12),"Menor",IF(OR(N53='Tabla Impacto'!$C$13,N53='Tabla Impacto'!$D$13),"Moderado",IF(OR(N53='Tabla Impacto'!$C$14,N53='Tabla Impacto'!$D$14),"Mayor",IF(OR(N53='Tabla Impacto'!$C$15,N53='Tabla Impacto'!$D$15),"Catastrófico","")))))</f>
        <v/>
      </c>
      <c r="P53" s="470" t="str">
        <f ca="1">IF(O53="","",IF(O53="Leve",0.2,IF(O53="Menor",0.4,IF(O53="Moderado",0.6,IF(O53="Mayor",0.8,IF(O53="Catastrófico",1,))))))</f>
        <v/>
      </c>
      <c r="Q53" s="471"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76">
        <v>1</v>
      </c>
      <c r="S53" s="184"/>
      <c r="T53" s="169" t="str">
        <f t="shared" si="14"/>
        <v/>
      </c>
      <c r="U53" s="169"/>
      <c r="V53" s="169"/>
      <c r="W53" s="169"/>
      <c r="X53" s="169"/>
      <c r="Y53" s="195"/>
      <c r="Z53" s="195"/>
      <c r="AA53" s="97" t="str">
        <f t="shared" si="11"/>
        <v/>
      </c>
      <c r="AB53" s="195"/>
      <c r="AC53" s="195"/>
      <c r="AD53" s="195"/>
      <c r="AE53" s="142" t="str">
        <f>IFERROR(IF(T53="Probabilidad",(L53-(+L53*AA53)),IF(T53="Impacto",L53,"")),"")</f>
        <v/>
      </c>
      <c r="AF53" s="130" t="str">
        <f>IFERROR(IF(AE53="","",IF(AE53&lt;=0.2,"Muy Baja",IF(AE53&lt;=0.4,"Baja",IF(AE53&lt;=0.6,"Media",IF(AE53&lt;=0.8,"Alta","Muy Alta"))))),"")</f>
        <v/>
      </c>
      <c r="AG53" s="97" t="str">
        <f t="shared" si="12"/>
        <v/>
      </c>
      <c r="AH53" s="130" t="str">
        <f>IFERROR(IF(AI53="","",IF(AI53&lt;=0.2,"Leve",IF(AI53&lt;=0.4,"Menor",IF(AI53&lt;=0.6,"Moderado",IF(AI53&lt;=0.8,"Mayor","Catastrófico"))))),"")</f>
        <v/>
      </c>
      <c r="AI53" s="97" t="str">
        <f>IFERROR(IF(T53="Impacto",(P53-(+P53*AA53)),IF(T53="Probabilidad",P53,"")),"")</f>
        <v/>
      </c>
      <c r="AJ53" s="98" t="str">
        <f t="shared" si="13"/>
        <v/>
      </c>
      <c r="AK53" s="453"/>
      <c r="AL53" s="185"/>
      <c r="AM53" s="176"/>
      <c r="AN53" s="188"/>
      <c r="AO53" s="99"/>
      <c r="AP53" s="170"/>
      <c r="AQ53" s="188"/>
      <c r="AR53" s="185"/>
      <c r="AS53" s="188"/>
      <c r="AT53" s="185"/>
      <c r="AU53" s="99"/>
      <c r="AV53" s="170"/>
      <c r="AW53" s="131"/>
      <c r="AX53" s="185"/>
      <c r="AY53" s="185"/>
      <c r="AZ53" s="176"/>
      <c r="BA53" s="188"/>
      <c r="BB53" s="188"/>
      <c r="BC53" s="185"/>
      <c r="BD53" s="185"/>
      <c r="BE53" s="176"/>
      <c r="BF53" s="188"/>
      <c r="BG53" s="188"/>
      <c r="BH53" s="185"/>
      <c r="BI53" s="185"/>
      <c r="BJ53" s="176"/>
      <c r="BK53" s="188"/>
      <c r="BL53" s="188"/>
      <c r="BM53" s="170"/>
      <c r="BN53" s="170"/>
      <c r="BO53" s="131"/>
      <c r="BP53" s="99"/>
      <c r="BQ53" s="99"/>
      <c r="BR53" s="133"/>
      <c r="BS53" s="170"/>
      <c r="BT53" s="170"/>
      <c r="BU53" s="170"/>
      <c r="BV53" s="99"/>
      <c r="BW53" s="170"/>
      <c r="BX53" s="170"/>
      <c r="BY53" s="295"/>
      <c r="BZ53" s="289"/>
      <c r="CA53" s="290"/>
      <c r="CB53" s="289"/>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row>
    <row r="54" spans="1:106" ht="16.5" customHeight="1" x14ac:dyDescent="0.3">
      <c r="A54" s="445"/>
      <c r="B54" s="446"/>
      <c r="C54" s="446"/>
      <c r="D54" s="446"/>
      <c r="E54" s="472"/>
      <c r="F54" s="446"/>
      <c r="G54" s="446"/>
      <c r="H54" s="446"/>
      <c r="I54" s="446"/>
      <c r="J54" s="445"/>
      <c r="K54" s="473"/>
      <c r="L54" s="470"/>
      <c r="M54" s="460"/>
      <c r="N54" s="460"/>
      <c r="O54" s="460"/>
      <c r="P54" s="470"/>
      <c r="Q54" s="471"/>
      <c r="R54" s="176">
        <v>2</v>
      </c>
      <c r="S54" s="184"/>
      <c r="T54" s="169" t="str">
        <f t="shared" si="14"/>
        <v/>
      </c>
      <c r="U54" s="169"/>
      <c r="V54" s="169"/>
      <c r="W54" s="169"/>
      <c r="X54" s="169"/>
      <c r="Y54" s="195"/>
      <c r="Z54" s="195"/>
      <c r="AA54" s="97" t="str">
        <f t="shared" si="11"/>
        <v/>
      </c>
      <c r="AB54" s="195"/>
      <c r="AC54" s="195"/>
      <c r="AD54" s="195"/>
      <c r="AE54" s="142" t="str">
        <f>IFERROR(IF(AND(T53="Probabilidad",T54="Probabilidad"),(AG53-(+AG53*AA54)),IF(T54="Probabilidad",(L53-(+L53*AA54)),IF(T54="Impacto",AG53,""))),"")</f>
        <v/>
      </c>
      <c r="AF54" s="130" t="str">
        <f t="shared" si="4"/>
        <v/>
      </c>
      <c r="AG54" s="97" t="str">
        <f t="shared" si="12"/>
        <v/>
      </c>
      <c r="AH54" s="130" t="str">
        <f t="shared" si="5"/>
        <v/>
      </c>
      <c r="AI54" s="97" t="str">
        <f>IFERROR(IF(AND(T53="Impacto",T54="Impacto"),(AI47-(+AI47*AA54)),IF(T54="Impacto",($P$53-(+$P$53*AA54)),IF(T54="Probabilidad",AI47,""))),"")</f>
        <v/>
      </c>
      <c r="AJ54" s="98" t="str">
        <f t="shared" si="13"/>
        <v/>
      </c>
      <c r="AK54" s="454"/>
      <c r="AL54" s="185"/>
      <c r="AM54" s="176"/>
      <c r="AN54" s="188"/>
      <c r="AO54" s="99"/>
      <c r="AP54" s="170"/>
      <c r="AQ54" s="188"/>
      <c r="AR54" s="185"/>
      <c r="AS54" s="188"/>
      <c r="AT54" s="185"/>
      <c r="AU54" s="99"/>
      <c r="AV54" s="170"/>
      <c r="AW54" s="131"/>
      <c r="AX54" s="185"/>
      <c r="AY54" s="185"/>
      <c r="AZ54" s="176"/>
      <c r="BA54" s="188"/>
      <c r="BB54" s="188"/>
      <c r="BC54" s="185"/>
      <c r="BD54" s="185"/>
      <c r="BE54" s="176"/>
      <c r="BF54" s="188"/>
      <c r="BG54" s="188"/>
      <c r="BH54" s="185"/>
      <c r="BI54" s="185"/>
      <c r="BJ54" s="176"/>
      <c r="BK54" s="188"/>
      <c r="BL54" s="188"/>
      <c r="BM54" s="170"/>
      <c r="BN54" s="170"/>
      <c r="BO54" s="131"/>
      <c r="BP54" s="99"/>
      <c r="BQ54" s="99"/>
      <c r="BR54" s="133"/>
      <c r="BS54" s="170"/>
      <c r="BT54" s="170"/>
      <c r="BU54" s="170"/>
      <c r="BV54" s="99"/>
      <c r="BW54" s="170"/>
      <c r="BX54" s="170"/>
      <c r="BY54" s="295"/>
      <c r="BZ54" s="289"/>
      <c r="CA54" s="290"/>
      <c r="CB54" s="289"/>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row>
    <row r="55" spans="1:106" ht="16.5" customHeight="1" x14ac:dyDescent="0.3">
      <c r="A55" s="445"/>
      <c r="B55" s="446"/>
      <c r="C55" s="446"/>
      <c r="D55" s="446"/>
      <c r="E55" s="472"/>
      <c r="F55" s="446"/>
      <c r="G55" s="446"/>
      <c r="H55" s="446"/>
      <c r="I55" s="446"/>
      <c r="J55" s="445"/>
      <c r="K55" s="473"/>
      <c r="L55" s="470"/>
      <c r="M55" s="460"/>
      <c r="N55" s="460"/>
      <c r="O55" s="460"/>
      <c r="P55" s="470"/>
      <c r="Q55" s="471"/>
      <c r="R55" s="176">
        <v>3</v>
      </c>
      <c r="S55" s="198"/>
      <c r="T55" s="169" t="str">
        <f t="shared" si="14"/>
        <v/>
      </c>
      <c r="U55" s="169"/>
      <c r="V55" s="169"/>
      <c r="W55" s="169"/>
      <c r="X55" s="169"/>
      <c r="Y55" s="195"/>
      <c r="Z55" s="195"/>
      <c r="AA55" s="97" t="str">
        <f t="shared" si="11"/>
        <v/>
      </c>
      <c r="AB55" s="195"/>
      <c r="AC55" s="195"/>
      <c r="AD55" s="195"/>
      <c r="AE55" s="142" t="str">
        <f>IFERROR(IF(AND(T54="Probabilidad",T55="Probabilidad"),(AG54-(+AG54*AA55)),IF(AND(T54="Impacto",T55="Probabilidad"),(AG53-(+AG53*AA55)),IF(T55="Impacto",AG54,""))),"")</f>
        <v/>
      </c>
      <c r="AF55" s="130" t="str">
        <f t="shared" si="4"/>
        <v/>
      </c>
      <c r="AG55" s="97" t="str">
        <f t="shared" si="12"/>
        <v/>
      </c>
      <c r="AH55" s="130" t="str">
        <f t="shared" si="5"/>
        <v/>
      </c>
      <c r="AI55" s="97" t="str">
        <f>IFERROR(IF(AND(T54="Impacto",T55="Impacto"),(AI54-(+AI54*AA55)),IF(AND(T54="Probabilidad",T55="Impacto"),(AI53-(+AI53*AA55)),IF(T55="Probabilidad",AI54,""))),"")</f>
        <v/>
      </c>
      <c r="AJ55" s="98" t="str">
        <f t="shared" si="13"/>
        <v/>
      </c>
      <c r="AK55" s="454"/>
      <c r="AL55" s="185"/>
      <c r="AM55" s="176"/>
      <c r="AN55" s="188"/>
      <c r="AO55" s="99"/>
      <c r="AP55" s="170"/>
      <c r="AQ55" s="188"/>
      <c r="AR55" s="185"/>
      <c r="AS55" s="188"/>
      <c r="AT55" s="185"/>
      <c r="AU55" s="99"/>
      <c r="AV55" s="170"/>
      <c r="AW55" s="131"/>
      <c r="AX55" s="185"/>
      <c r="AY55" s="185"/>
      <c r="AZ55" s="176"/>
      <c r="BA55" s="188"/>
      <c r="BB55" s="188"/>
      <c r="BC55" s="185"/>
      <c r="BD55" s="185"/>
      <c r="BE55" s="176"/>
      <c r="BF55" s="188"/>
      <c r="BG55" s="188"/>
      <c r="BH55" s="185"/>
      <c r="BI55" s="185"/>
      <c r="BJ55" s="176"/>
      <c r="BK55" s="188"/>
      <c r="BL55" s="188"/>
      <c r="BM55" s="170"/>
      <c r="BN55" s="170"/>
      <c r="BO55" s="131"/>
      <c r="BP55" s="99"/>
      <c r="BQ55" s="99"/>
      <c r="BR55" s="133"/>
      <c r="BS55" s="170"/>
      <c r="BT55" s="170"/>
      <c r="BU55" s="170"/>
      <c r="BV55" s="99"/>
      <c r="BW55" s="170"/>
      <c r="BX55" s="170"/>
      <c r="BY55" s="295"/>
      <c r="BZ55" s="289"/>
      <c r="CA55" s="290"/>
      <c r="CB55" s="289"/>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row>
    <row r="56" spans="1:106" ht="16.5" customHeight="1" x14ac:dyDescent="0.3">
      <c r="A56" s="445"/>
      <c r="B56" s="446"/>
      <c r="C56" s="446"/>
      <c r="D56" s="446"/>
      <c r="E56" s="472"/>
      <c r="F56" s="446"/>
      <c r="G56" s="446"/>
      <c r="H56" s="446"/>
      <c r="I56" s="446"/>
      <c r="J56" s="445"/>
      <c r="K56" s="473"/>
      <c r="L56" s="470"/>
      <c r="M56" s="460"/>
      <c r="N56" s="460"/>
      <c r="O56" s="460"/>
      <c r="P56" s="470"/>
      <c r="Q56" s="471"/>
      <c r="R56" s="176">
        <v>4</v>
      </c>
      <c r="S56" s="184"/>
      <c r="T56" s="169" t="str">
        <f t="shared" si="14"/>
        <v/>
      </c>
      <c r="U56" s="169"/>
      <c r="V56" s="169"/>
      <c r="W56" s="169"/>
      <c r="X56" s="169"/>
      <c r="Y56" s="195"/>
      <c r="Z56" s="195"/>
      <c r="AA56" s="97" t="str">
        <f t="shared" si="11"/>
        <v/>
      </c>
      <c r="AB56" s="195"/>
      <c r="AC56" s="195"/>
      <c r="AD56" s="195"/>
      <c r="AE56" s="142" t="str">
        <f>IFERROR(IF(AND(T55="Probabilidad",T56="Probabilidad"),(AG55-(+AG55*AA56)),IF(AND(T55="Impacto",T56="Probabilidad"),(AG54-(+AG54*AA56)),IF(T56="Impacto",AG55,""))),"")</f>
        <v/>
      </c>
      <c r="AF56" s="130" t="str">
        <f t="shared" si="4"/>
        <v/>
      </c>
      <c r="AG56" s="97" t="str">
        <f t="shared" si="12"/>
        <v/>
      </c>
      <c r="AH56" s="130" t="str">
        <f t="shared" si="5"/>
        <v/>
      </c>
      <c r="AI56" s="97" t="str">
        <f>IFERROR(IF(AND(T55="Impacto",T56="Impacto"),(AI55-(+AI55*AA56)),IF(AND(T55="Probabilidad",T56="Impacto"),(AI54-(+AI54*AA56)),IF(T56="Probabilidad",AI55,""))),"")</f>
        <v/>
      </c>
      <c r="AJ56" s="98" t="str">
        <f t="shared" si="13"/>
        <v/>
      </c>
      <c r="AK56" s="454"/>
      <c r="AL56" s="185"/>
      <c r="AM56" s="176"/>
      <c r="AN56" s="188"/>
      <c r="AO56" s="99"/>
      <c r="AP56" s="170"/>
      <c r="AQ56" s="188"/>
      <c r="AR56" s="185"/>
      <c r="AS56" s="188"/>
      <c r="AT56" s="185"/>
      <c r="AU56" s="99"/>
      <c r="AV56" s="170"/>
      <c r="AW56" s="131"/>
      <c r="AX56" s="185"/>
      <c r="AY56" s="185"/>
      <c r="AZ56" s="176"/>
      <c r="BA56" s="188"/>
      <c r="BB56" s="188"/>
      <c r="BC56" s="185"/>
      <c r="BD56" s="185"/>
      <c r="BE56" s="176"/>
      <c r="BF56" s="188"/>
      <c r="BG56" s="188"/>
      <c r="BH56" s="185"/>
      <c r="BI56" s="185"/>
      <c r="BJ56" s="176"/>
      <c r="BK56" s="188"/>
      <c r="BL56" s="188"/>
      <c r="BM56" s="170"/>
      <c r="BN56" s="170"/>
      <c r="BO56" s="131"/>
      <c r="BP56" s="99"/>
      <c r="BQ56" s="99"/>
      <c r="BR56" s="133"/>
      <c r="BS56" s="170"/>
      <c r="BT56" s="170"/>
      <c r="BU56" s="170"/>
      <c r="BV56" s="99"/>
      <c r="BW56" s="170"/>
      <c r="BX56" s="170"/>
      <c r="BY56" s="295"/>
      <c r="BZ56" s="289"/>
      <c r="CA56" s="290"/>
      <c r="CB56" s="289"/>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row>
    <row r="57" spans="1:106" ht="16.5" customHeight="1" x14ac:dyDescent="0.3">
      <c r="A57" s="445"/>
      <c r="B57" s="446"/>
      <c r="C57" s="446"/>
      <c r="D57" s="446"/>
      <c r="E57" s="472"/>
      <c r="F57" s="446"/>
      <c r="G57" s="446"/>
      <c r="H57" s="446"/>
      <c r="I57" s="446"/>
      <c r="J57" s="445"/>
      <c r="K57" s="473"/>
      <c r="L57" s="470"/>
      <c r="M57" s="460"/>
      <c r="N57" s="460"/>
      <c r="O57" s="460"/>
      <c r="P57" s="470"/>
      <c r="Q57" s="471"/>
      <c r="R57" s="176">
        <v>5</v>
      </c>
      <c r="S57" s="184"/>
      <c r="T57" s="169" t="str">
        <f t="shared" si="14"/>
        <v/>
      </c>
      <c r="U57" s="169"/>
      <c r="V57" s="169"/>
      <c r="W57" s="169"/>
      <c r="X57" s="169"/>
      <c r="Y57" s="195"/>
      <c r="Z57" s="195"/>
      <c r="AA57" s="97" t="str">
        <f t="shared" si="11"/>
        <v/>
      </c>
      <c r="AB57" s="195"/>
      <c r="AC57" s="195"/>
      <c r="AD57" s="195"/>
      <c r="AE57" s="142" t="str">
        <f>IFERROR(IF(AND(T56="Probabilidad",T57="Probabilidad"),(AG56-(+AG56*AA57)),IF(AND(T56="Impacto",T57="Probabilidad"),(AG55-(+AG55*AA57)),IF(T57="Impacto",AG56,""))),"")</f>
        <v/>
      </c>
      <c r="AF57" s="130" t="str">
        <f t="shared" si="4"/>
        <v/>
      </c>
      <c r="AG57" s="97" t="str">
        <f t="shared" si="12"/>
        <v/>
      </c>
      <c r="AH57" s="130" t="str">
        <f t="shared" si="5"/>
        <v/>
      </c>
      <c r="AI57" s="97" t="str">
        <f>IFERROR(IF(AND(T56="Impacto",T57="Impacto"),(AI56-(+AI56*AA57)),IF(AND(T56="Probabilidad",T57="Impacto"),(AI55-(+AI55*AA57)),IF(T57="Probabilidad",AI56,""))),"")</f>
        <v/>
      </c>
      <c r="AJ57" s="98" t="str">
        <f t="shared" si="13"/>
        <v/>
      </c>
      <c r="AK57" s="454"/>
      <c r="AL57" s="185"/>
      <c r="AM57" s="176"/>
      <c r="AN57" s="188"/>
      <c r="AO57" s="99"/>
      <c r="AP57" s="170"/>
      <c r="AQ57" s="188"/>
      <c r="AR57" s="185"/>
      <c r="AS57" s="188"/>
      <c r="AT57" s="185"/>
      <c r="AU57" s="99"/>
      <c r="AV57" s="170"/>
      <c r="AW57" s="131"/>
      <c r="AX57" s="185"/>
      <c r="AY57" s="185"/>
      <c r="AZ57" s="176"/>
      <c r="BA57" s="188"/>
      <c r="BB57" s="188"/>
      <c r="BC57" s="185"/>
      <c r="BD57" s="185"/>
      <c r="BE57" s="176"/>
      <c r="BF57" s="188"/>
      <c r="BG57" s="188"/>
      <c r="BH57" s="185"/>
      <c r="BI57" s="185"/>
      <c r="BJ57" s="176"/>
      <c r="BK57" s="188"/>
      <c r="BL57" s="188"/>
      <c r="BM57" s="170"/>
      <c r="BN57" s="170"/>
      <c r="BO57" s="131"/>
      <c r="BP57" s="99"/>
      <c r="BQ57" s="99"/>
      <c r="BR57" s="133"/>
      <c r="BS57" s="170"/>
      <c r="BT57" s="170"/>
      <c r="BU57" s="170"/>
      <c r="BV57" s="99"/>
      <c r="BW57" s="170"/>
      <c r="BX57" s="170"/>
      <c r="BY57" s="295"/>
      <c r="BZ57" s="170"/>
      <c r="CA57" s="131"/>
      <c r="CB57" s="170"/>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row>
    <row r="58" spans="1:106" ht="16.5" customHeight="1" x14ac:dyDescent="0.3">
      <c r="A58" s="445"/>
      <c r="B58" s="446"/>
      <c r="C58" s="446"/>
      <c r="D58" s="446"/>
      <c r="E58" s="472"/>
      <c r="F58" s="446"/>
      <c r="G58" s="446"/>
      <c r="H58" s="446"/>
      <c r="I58" s="446"/>
      <c r="J58" s="445"/>
      <c r="K58" s="473"/>
      <c r="L58" s="470"/>
      <c r="M58" s="461"/>
      <c r="N58" s="461"/>
      <c r="O58" s="461"/>
      <c r="P58" s="470"/>
      <c r="Q58" s="471"/>
      <c r="R58" s="176">
        <v>6</v>
      </c>
      <c r="S58" s="184"/>
      <c r="T58" s="169" t="str">
        <f t="shared" si="14"/>
        <v/>
      </c>
      <c r="U58" s="169"/>
      <c r="V58" s="169"/>
      <c r="W58" s="169"/>
      <c r="X58" s="169"/>
      <c r="Y58" s="195"/>
      <c r="Z58" s="195"/>
      <c r="AA58" s="97" t="str">
        <f t="shared" si="11"/>
        <v/>
      </c>
      <c r="AB58" s="195"/>
      <c r="AC58" s="195"/>
      <c r="AD58" s="195"/>
      <c r="AE58" s="142" t="str">
        <f>IFERROR(IF(AND(T57="Probabilidad",T58="Probabilidad"),(AG57-(+AG57*AA58)),IF(AND(T57="Impacto",T58="Probabilidad"),(AG56-(+AG56*AA58)),IF(T58="Impacto",AG57,""))),"")</f>
        <v/>
      </c>
      <c r="AF58" s="130" t="str">
        <f t="shared" si="4"/>
        <v/>
      </c>
      <c r="AG58" s="97" t="str">
        <f t="shared" si="12"/>
        <v/>
      </c>
      <c r="AH58" s="130" t="str">
        <f t="shared" si="5"/>
        <v/>
      </c>
      <c r="AI58" s="97" t="str">
        <f>IFERROR(IF(AND(T57="Impacto",T58="Impacto"),(AI57-(+AI57*AA58)),IF(AND(T57="Probabilidad",T58="Impacto"),(AI56-(+AI56*AA58)),IF(T58="Probabilidad",AI57,""))),"")</f>
        <v/>
      </c>
      <c r="AJ58" s="98" t="str">
        <f t="shared" si="13"/>
        <v/>
      </c>
      <c r="AK58" s="455"/>
      <c r="AL58" s="185"/>
      <c r="AM58" s="176"/>
      <c r="AN58" s="188"/>
      <c r="AO58" s="99"/>
      <c r="AP58" s="170"/>
      <c r="AQ58" s="188"/>
      <c r="AR58" s="185"/>
      <c r="AS58" s="188"/>
      <c r="AT58" s="185"/>
      <c r="AU58" s="99"/>
      <c r="AV58" s="170"/>
      <c r="AW58" s="131"/>
      <c r="AX58" s="185"/>
      <c r="AY58" s="185"/>
      <c r="AZ58" s="176"/>
      <c r="BA58" s="188"/>
      <c r="BB58" s="188"/>
      <c r="BC58" s="185"/>
      <c r="BD58" s="185"/>
      <c r="BE58" s="176"/>
      <c r="BF58" s="188"/>
      <c r="BG58" s="188"/>
      <c r="BH58" s="185"/>
      <c r="BI58" s="185"/>
      <c r="BJ58" s="176"/>
      <c r="BK58" s="188"/>
      <c r="BL58" s="188"/>
      <c r="BM58" s="170"/>
      <c r="BN58" s="170"/>
      <c r="BO58" s="131"/>
      <c r="BP58" s="99"/>
      <c r="BQ58" s="99"/>
      <c r="BR58" s="133"/>
      <c r="BS58" s="170"/>
      <c r="BT58" s="170"/>
      <c r="BU58" s="170"/>
      <c r="BV58" s="99"/>
      <c r="BW58" s="170"/>
      <c r="BX58" s="170"/>
      <c r="BY58" s="295"/>
      <c r="BZ58" s="170"/>
      <c r="CA58" s="131"/>
      <c r="CB58" s="170"/>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row>
    <row r="59" spans="1:106" ht="16.5" customHeight="1" x14ac:dyDescent="0.3">
      <c r="A59" s="445">
        <v>10</v>
      </c>
      <c r="B59" s="446"/>
      <c r="C59" s="446"/>
      <c r="D59" s="446"/>
      <c r="E59" s="472"/>
      <c r="F59" s="446"/>
      <c r="G59" s="446"/>
      <c r="H59" s="446"/>
      <c r="I59" s="446"/>
      <c r="J59" s="445"/>
      <c r="K59" s="473" t="str">
        <f>IF(J59&lt;=0,"",IF(J59&lt;=2,"Muy Baja",IF(J59&lt;=24,"Baja",IF(J59&lt;=500,"Media",IF(J59&lt;=5000,"Alta","Muy Alta")))))</f>
        <v/>
      </c>
      <c r="L59" s="470" t="str">
        <f>IF(K59="","",IF(K59="Muy Baja",0.2,IF(K59="Baja",0.4,IF(K59="Media",0.6,IF(K59="Alta",0.8,IF(K59="Muy Alta",1,))))))</f>
        <v/>
      </c>
      <c r="M59" s="468"/>
      <c r="N59" s="468">
        <f ca="1">IF(NOT(ISERROR(MATCH(M59,'Tabla Impacto'!$B$221:$B$223,0))),'Tabla Impacto'!$F$223&amp;"Por favor no seleccionar los criterios de impacto(Afectación Económica o presupuestal y Pérdida Reputacional)",M59)</f>
        <v>0</v>
      </c>
      <c r="O59" s="469" t="str">
        <f ca="1">IF(OR(N59='Tabla Impacto'!$C$11,N59='Tabla Impacto'!$D$11),"Leve",IF(OR(N59='Tabla Impacto'!$C$12,N59='Tabla Impacto'!$D$12),"Menor",IF(OR(N59='Tabla Impacto'!$C$13,N59='Tabla Impacto'!$D$13),"Moderado",IF(OR(N59='Tabla Impacto'!$C$14,N59='Tabla Impacto'!$D$14),"Mayor",IF(OR(N59='Tabla Impacto'!$C$15,N59='Tabla Impacto'!$D$15),"Catastrófico","")))))</f>
        <v/>
      </c>
      <c r="P59" s="470" t="str">
        <f ca="1">IF(O59="","",IF(O59="Leve",0.2,IF(O59="Menor",0.4,IF(O59="Moderado",0.6,IF(O59="Mayor",0.8,IF(O59="Catastrófico",1,))))))</f>
        <v/>
      </c>
      <c r="Q59" s="471"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76">
        <v>1</v>
      </c>
      <c r="S59" s="184"/>
      <c r="T59" s="169" t="str">
        <f t="shared" si="14"/>
        <v/>
      </c>
      <c r="U59" s="169"/>
      <c r="V59" s="169"/>
      <c r="W59" s="169"/>
      <c r="X59" s="169"/>
      <c r="Y59" s="195"/>
      <c r="Z59" s="195"/>
      <c r="AA59" s="97" t="str">
        <f t="shared" si="11"/>
        <v/>
      </c>
      <c r="AB59" s="195"/>
      <c r="AC59" s="195"/>
      <c r="AD59" s="195"/>
      <c r="AE59" s="142" t="str">
        <f>IFERROR(IF(T59="Probabilidad",(L59-(+L59*AA59)),IF(T59="Impacto",L59,"")),"")</f>
        <v/>
      </c>
      <c r="AF59" s="130" t="str">
        <f>IFERROR(IF(AE59="","",IF(AE59&lt;=0.2,"Muy Baja",IF(AE59&lt;=0.4,"Baja",IF(AE59&lt;=0.6,"Media",IF(AE59&lt;=0.8,"Alta","Muy Alta"))))),"")</f>
        <v/>
      </c>
      <c r="AG59" s="97" t="str">
        <f t="shared" si="12"/>
        <v/>
      </c>
      <c r="AH59" s="130" t="str">
        <f>IFERROR(IF(AI59="","",IF(AI59&lt;=0.2,"Leve",IF(AI59&lt;=0.4,"Menor",IF(AI59&lt;=0.6,"Moderado",IF(AI59&lt;=0.8,"Mayor","Catastrófico"))))),"")</f>
        <v/>
      </c>
      <c r="AI59" s="97" t="str">
        <f>IFERROR(IF(T59="Impacto",(P59-(+P59*AA59)),IF(T59="Probabilidad",P59,"")),"")</f>
        <v/>
      </c>
      <c r="AJ59" s="98" t="str">
        <f t="shared" si="13"/>
        <v/>
      </c>
      <c r="AK59" s="453"/>
      <c r="AL59" s="185"/>
      <c r="AM59" s="176"/>
      <c r="AN59" s="188"/>
      <c r="AO59" s="99"/>
      <c r="AP59" s="170"/>
      <c r="AQ59" s="99"/>
      <c r="AR59" s="170"/>
      <c r="AS59" s="188"/>
      <c r="AT59" s="185"/>
      <c r="AU59" s="99"/>
      <c r="AV59" s="170"/>
      <c r="AW59" s="131"/>
      <c r="AX59" s="170"/>
      <c r="AY59" s="170"/>
      <c r="AZ59" s="131"/>
      <c r="BA59" s="99"/>
      <c r="BB59" s="99"/>
      <c r="BC59" s="185"/>
      <c r="BD59" s="185"/>
      <c r="BE59" s="176"/>
      <c r="BF59" s="188"/>
      <c r="BG59" s="188"/>
      <c r="BH59" s="185"/>
      <c r="BI59" s="185"/>
      <c r="BJ59" s="176"/>
      <c r="BK59" s="188"/>
      <c r="BL59" s="188"/>
      <c r="BM59" s="170"/>
      <c r="BN59" s="170"/>
      <c r="BO59" s="131"/>
      <c r="BP59" s="99"/>
      <c r="BQ59" s="99"/>
      <c r="BR59" s="133"/>
      <c r="BS59" s="170"/>
      <c r="BT59" s="170"/>
      <c r="BU59" s="170"/>
      <c r="BV59" s="99"/>
      <c r="BW59" s="170"/>
      <c r="BX59" s="170"/>
      <c r="BY59" s="295"/>
      <c r="BZ59" s="170"/>
      <c r="CA59" s="131"/>
      <c r="CB59" s="170"/>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row>
    <row r="60" spans="1:106" ht="16.5" customHeight="1" x14ac:dyDescent="0.3">
      <c r="A60" s="445"/>
      <c r="B60" s="446"/>
      <c r="C60" s="446"/>
      <c r="D60" s="446"/>
      <c r="E60" s="472"/>
      <c r="F60" s="446"/>
      <c r="G60" s="446"/>
      <c r="H60" s="446"/>
      <c r="I60" s="446"/>
      <c r="J60" s="445"/>
      <c r="K60" s="473"/>
      <c r="L60" s="470"/>
      <c r="M60" s="460"/>
      <c r="N60" s="460"/>
      <c r="O60" s="460"/>
      <c r="P60" s="470"/>
      <c r="Q60" s="471"/>
      <c r="R60" s="176">
        <v>2</v>
      </c>
      <c r="S60" s="184"/>
      <c r="T60" s="169" t="str">
        <f t="shared" si="14"/>
        <v/>
      </c>
      <c r="U60" s="169"/>
      <c r="V60" s="169"/>
      <c r="W60" s="169"/>
      <c r="X60" s="169"/>
      <c r="Y60" s="195"/>
      <c r="Z60" s="195"/>
      <c r="AA60" s="97" t="str">
        <f t="shared" si="11"/>
        <v/>
      </c>
      <c r="AB60" s="195"/>
      <c r="AC60" s="195"/>
      <c r="AD60" s="195"/>
      <c r="AE60" s="142" t="str">
        <f>IFERROR(IF(AND(T59="Probabilidad",T60="Probabilidad"),(AG59-(+AG59*AA60)),IF(T60="Probabilidad",(L59-(+L59*AA60)),IF(T60="Impacto",AG59,""))),"")</f>
        <v/>
      </c>
      <c r="AF60" s="130" t="str">
        <f t="shared" si="4"/>
        <v/>
      </c>
      <c r="AG60" s="97" t="str">
        <f t="shared" si="12"/>
        <v/>
      </c>
      <c r="AH60" s="130" t="str">
        <f t="shared" si="5"/>
        <v/>
      </c>
      <c r="AI60" s="97" t="str">
        <f>IFERROR(IF(AND(T59="Impacto",T60="Impacto"),(AI53-(+AI53*AA60)),IF(T60="Impacto",($P$59-(+$P$59*AA60)),IF(T60="Probabilidad",AI53,""))),"")</f>
        <v/>
      </c>
      <c r="AJ60" s="98" t="str">
        <f t="shared" si="13"/>
        <v/>
      </c>
      <c r="AK60" s="454"/>
      <c r="AL60" s="185"/>
      <c r="AM60" s="176"/>
      <c r="AN60" s="188"/>
      <c r="AO60" s="99"/>
      <c r="AP60" s="170"/>
      <c r="AQ60" s="99"/>
      <c r="AR60" s="170"/>
      <c r="AS60" s="188"/>
      <c r="AT60" s="185"/>
      <c r="AU60" s="99"/>
      <c r="AV60" s="170"/>
      <c r="AW60" s="131"/>
      <c r="AX60" s="170"/>
      <c r="AY60" s="170"/>
      <c r="AZ60" s="131"/>
      <c r="BA60" s="99"/>
      <c r="BB60" s="99"/>
      <c r="BC60" s="185"/>
      <c r="BD60" s="185"/>
      <c r="BE60" s="176"/>
      <c r="BF60" s="188"/>
      <c r="BG60" s="188"/>
      <c r="BH60" s="185"/>
      <c r="BI60" s="185"/>
      <c r="BJ60" s="176"/>
      <c r="BK60" s="188"/>
      <c r="BL60" s="188"/>
      <c r="BM60" s="170"/>
      <c r="BN60" s="170"/>
      <c r="BO60" s="131"/>
      <c r="BP60" s="99"/>
      <c r="BQ60" s="99"/>
      <c r="BR60" s="133"/>
      <c r="BS60" s="170"/>
      <c r="BT60" s="170"/>
      <c r="BU60" s="170"/>
      <c r="BV60" s="99"/>
      <c r="BW60" s="170"/>
      <c r="BX60" s="170"/>
      <c r="BY60" s="295"/>
      <c r="BZ60" s="170"/>
      <c r="CA60" s="131"/>
      <c r="CB60" s="170"/>
    </row>
    <row r="61" spans="1:106" ht="16.5" customHeight="1" x14ac:dyDescent="0.3">
      <c r="A61" s="445"/>
      <c r="B61" s="446"/>
      <c r="C61" s="446"/>
      <c r="D61" s="446"/>
      <c r="E61" s="472"/>
      <c r="F61" s="446"/>
      <c r="G61" s="446"/>
      <c r="H61" s="446"/>
      <c r="I61" s="446"/>
      <c r="J61" s="445"/>
      <c r="K61" s="473"/>
      <c r="L61" s="470"/>
      <c r="M61" s="460"/>
      <c r="N61" s="460"/>
      <c r="O61" s="460"/>
      <c r="P61" s="470"/>
      <c r="Q61" s="471"/>
      <c r="R61" s="176">
        <v>3</v>
      </c>
      <c r="S61" s="198"/>
      <c r="T61" s="169" t="str">
        <f t="shared" si="14"/>
        <v/>
      </c>
      <c r="U61" s="169"/>
      <c r="V61" s="169"/>
      <c r="W61" s="169"/>
      <c r="X61" s="169"/>
      <c r="Y61" s="195"/>
      <c r="Z61" s="195"/>
      <c r="AA61" s="97" t="str">
        <f t="shared" si="11"/>
        <v/>
      </c>
      <c r="AB61" s="195"/>
      <c r="AC61" s="195"/>
      <c r="AD61" s="195"/>
      <c r="AE61" s="142" t="str">
        <f>IFERROR(IF(AND(T60="Probabilidad",T61="Probabilidad"),(AG60-(+AG60*AA61)),IF(AND(T60="Impacto",T61="Probabilidad"),(AG59-(+AG59*AA61)),IF(T61="Impacto",AG60,""))),"")</f>
        <v/>
      </c>
      <c r="AF61" s="130" t="str">
        <f t="shared" si="4"/>
        <v/>
      </c>
      <c r="AG61" s="97" t="str">
        <f t="shared" si="12"/>
        <v/>
      </c>
      <c r="AH61" s="130" t="str">
        <f t="shared" si="5"/>
        <v/>
      </c>
      <c r="AI61" s="97" t="str">
        <f>IFERROR(IF(AND(T60="Impacto",T61="Impacto"),(AI60-(+AI60*AA61)),IF(AND(T60="Probabilidad",T61="Impacto"),(AI59-(+AI59*AA61)),IF(T61="Probabilidad",AI60,""))),"")</f>
        <v/>
      </c>
      <c r="AJ61" s="98" t="str">
        <f t="shared" si="13"/>
        <v/>
      </c>
      <c r="AK61" s="454"/>
      <c r="AL61" s="185"/>
      <c r="AM61" s="176"/>
      <c r="AN61" s="188"/>
      <c r="AO61" s="99"/>
      <c r="AP61" s="170"/>
      <c r="AQ61" s="188"/>
      <c r="AR61" s="185"/>
      <c r="AS61" s="188"/>
      <c r="AT61" s="185"/>
      <c r="AU61" s="99"/>
      <c r="AV61" s="170"/>
      <c r="AW61" s="131"/>
      <c r="AX61" s="170"/>
      <c r="AY61" s="170"/>
      <c r="AZ61" s="131"/>
      <c r="BA61" s="99"/>
      <c r="BB61" s="99"/>
      <c r="BC61" s="185"/>
      <c r="BD61" s="185"/>
      <c r="BE61" s="176"/>
      <c r="BF61" s="188"/>
      <c r="BG61" s="188"/>
      <c r="BH61" s="185"/>
      <c r="BI61" s="185"/>
      <c r="BJ61" s="176"/>
      <c r="BK61" s="188"/>
      <c r="BL61" s="188"/>
      <c r="BM61" s="170"/>
      <c r="BN61" s="170"/>
      <c r="BO61" s="131"/>
      <c r="BP61" s="99"/>
      <c r="BQ61" s="99"/>
      <c r="BR61" s="133"/>
      <c r="BS61" s="170"/>
      <c r="BT61" s="170"/>
      <c r="BU61" s="170"/>
      <c r="BV61" s="99"/>
      <c r="BW61" s="170"/>
      <c r="BX61" s="170"/>
      <c r="BY61" s="295"/>
      <c r="BZ61" s="170"/>
      <c r="CA61" s="131"/>
      <c r="CB61" s="170"/>
    </row>
    <row r="62" spans="1:106" ht="16.5" customHeight="1" x14ac:dyDescent="0.3">
      <c r="A62" s="445"/>
      <c r="B62" s="446"/>
      <c r="C62" s="446"/>
      <c r="D62" s="446"/>
      <c r="E62" s="472"/>
      <c r="F62" s="446"/>
      <c r="G62" s="446"/>
      <c r="H62" s="446"/>
      <c r="I62" s="446"/>
      <c r="J62" s="445"/>
      <c r="K62" s="473"/>
      <c r="L62" s="470"/>
      <c r="M62" s="460"/>
      <c r="N62" s="460"/>
      <c r="O62" s="460"/>
      <c r="P62" s="470"/>
      <c r="Q62" s="471"/>
      <c r="R62" s="176">
        <v>4</v>
      </c>
      <c r="S62" s="184"/>
      <c r="T62" s="169" t="str">
        <f t="shared" si="14"/>
        <v/>
      </c>
      <c r="U62" s="169"/>
      <c r="V62" s="169"/>
      <c r="W62" s="169"/>
      <c r="X62" s="169"/>
      <c r="Y62" s="195"/>
      <c r="Z62" s="195"/>
      <c r="AA62" s="97" t="str">
        <f t="shared" si="11"/>
        <v/>
      </c>
      <c r="AB62" s="195"/>
      <c r="AC62" s="195"/>
      <c r="AD62" s="195"/>
      <c r="AE62" s="142" t="str">
        <f>IFERROR(IF(AND(T61="Probabilidad",T62="Probabilidad"),(AG61-(+AG61*AA62)),IF(AND(T61="Impacto",T62="Probabilidad"),(AG60-(+AG60*AA62)),IF(T62="Impacto",AG61,""))),"")</f>
        <v/>
      </c>
      <c r="AF62" s="130" t="str">
        <f t="shared" si="4"/>
        <v/>
      </c>
      <c r="AG62" s="97" t="str">
        <f t="shared" si="12"/>
        <v/>
      </c>
      <c r="AH62" s="130" t="str">
        <f t="shared" si="5"/>
        <v/>
      </c>
      <c r="AI62" s="97" t="str">
        <f>IFERROR(IF(AND(T61="Impacto",T62="Impacto"),(AI61-(+AI61*AA62)),IF(AND(T61="Probabilidad",T62="Impacto"),(AI60-(+AI60*AA62)),IF(T62="Probabilidad",AI61,""))),"")</f>
        <v/>
      </c>
      <c r="AJ62" s="98" t="str">
        <f t="shared" si="13"/>
        <v/>
      </c>
      <c r="AK62" s="454"/>
      <c r="AL62" s="185"/>
      <c r="AM62" s="176"/>
      <c r="AN62" s="188"/>
      <c r="AO62" s="99"/>
      <c r="AP62" s="170"/>
      <c r="AQ62" s="188"/>
      <c r="AR62" s="185"/>
      <c r="AS62" s="188"/>
      <c r="AT62" s="185"/>
      <c r="AU62" s="99"/>
      <c r="AV62" s="170"/>
      <c r="AW62" s="131"/>
      <c r="AX62" s="170"/>
      <c r="AY62" s="170"/>
      <c r="AZ62" s="131"/>
      <c r="BA62" s="99"/>
      <c r="BB62" s="99"/>
      <c r="BC62" s="185"/>
      <c r="BD62" s="185"/>
      <c r="BE62" s="176"/>
      <c r="BF62" s="188"/>
      <c r="BG62" s="188"/>
      <c r="BH62" s="185"/>
      <c r="BI62" s="185"/>
      <c r="BJ62" s="176"/>
      <c r="BK62" s="188"/>
      <c r="BL62" s="188"/>
      <c r="BM62" s="170"/>
      <c r="BN62" s="170"/>
      <c r="BO62" s="131"/>
      <c r="BP62" s="99"/>
      <c r="BQ62" s="99"/>
      <c r="BR62" s="133"/>
      <c r="BS62" s="170"/>
      <c r="BT62" s="170"/>
      <c r="BU62" s="170"/>
      <c r="BV62" s="99"/>
      <c r="BW62" s="170"/>
      <c r="BX62" s="170"/>
      <c r="BY62" s="295"/>
      <c r="BZ62" s="170"/>
      <c r="CA62" s="131"/>
      <c r="CB62" s="170"/>
    </row>
    <row r="63" spans="1:106" ht="16.5" customHeight="1" x14ac:dyDescent="0.3">
      <c r="A63" s="445"/>
      <c r="B63" s="446"/>
      <c r="C63" s="446"/>
      <c r="D63" s="446"/>
      <c r="E63" s="472"/>
      <c r="F63" s="446"/>
      <c r="G63" s="446"/>
      <c r="H63" s="446"/>
      <c r="I63" s="446"/>
      <c r="J63" s="445"/>
      <c r="K63" s="473"/>
      <c r="L63" s="470"/>
      <c r="M63" s="460"/>
      <c r="N63" s="460"/>
      <c r="O63" s="460"/>
      <c r="P63" s="470"/>
      <c r="Q63" s="471"/>
      <c r="R63" s="176">
        <v>5</v>
      </c>
      <c r="S63" s="184"/>
      <c r="T63" s="169" t="str">
        <f t="shared" si="14"/>
        <v/>
      </c>
      <c r="U63" s="169"/>
      <c r="V63" s="169"/>
      <c r="W63" s="169"/>
      <c r="X63" s="169"/>
      <c r="Y63" s="195"/>
      <c r="Z63" s="195"/>
      <c r="AA63" s="97" t="str">
        <f t="shared" si="11"/>
        <v/>
      </c>
      <c r="AB63" s="195"/>
      <c r="AC63" s="195"/>
      <c r="AD63" s="195"/>
      <c r="AE63" s="142" t="str">
        <f>IFERROR(IF(AND(T62="Probabilidad",T63="Probabilidad"),(AG62-(+AG62*AA63)),IF(AND(T62="Impacto",T63="Probabilidad"),(AG61-(+AG61*AA63)),IF(T63="Impacto",AG62,""))),"")</f>
        <v/>
      </c>
      <c r="AF63" s="130" t="str">
        <f t="shared" si="4"/>
        <v/>
      </c>
      <c r="AG63" s="97" t="str">
        <f t="shared" si="12"/>
        <v/>
      </c>
      <c r="AH63" s="130" t="str">
        <f t="shared" si="5"/>
        <v/>
      </c>
      <c r="AI63" s="97" t="str">
        <f>IFERROR(IF(AND(T62="Impacto",T63="Impacto"),(AI62-(+AI62*AA63)),IF(AND(T62="Probabilidad",T63="Impacto"),(AI61-(+AI61*AA63)),IF(T63="Probabilidad",AI62,""))),"")</f>
        <v/>
      </c>
      <c r="AJ63" s="98" t="str">
        <f t="shared" si="13"/>
        <v/>
      </c>
      <c r="AK63" s="454"/>
      <c r="AL63" s="185"/>
      <c r="AM63" s="176"/>
      <c r="AN63" s="188"/>
      <c r="AO63" s="99"/>
      <c r="AP63" s="170"/>
      <c r="AQ63" s="188"/>
      <c r="AR63" s="185"/>
      <c r="AS63" s="188"/>
      <c r="AT63" s="185"/>
      <c r="AU63" s="99"/>
      <c r="AV63" s="170"/>
      <c r="AW63" s="131"/>
      <c r="AX63" s="170"/>
      <c r="AY63" s="170"/>
      <c r="AZ63" s="131"/>
      <c r="BA63" s="99"/>
      <c r="BB63" s="99"/>
      <c r="BC63" s="185"/>
      <c r="BD63" s="185"/>
      <c r="BE63" s="176"/>
      <c r="BF63" s="188"/>
      <c r="BG63" s="188"/>
      <c r="BH63" s="185"/>
      <c r="BI63" s="185"/>
      <c r="BJ63" s="176"/>
      <c r="BK63" s="188"/>
      <c r="BL63" s="188"/>
      <c r="BM63" s="170"/>
      <c r="BN63" s="170"/>
      <c r="BO63" s="131"/>
      <c r="BP63" s="99"/>
      <c r="BQ63" s="99"/>
      <c r="BR63" s="133"/>
      <c r="BS63" s="170"/>
      <c r="BT63" s="170"/>
      <c r="BU63" s="170"/>
      <c r="BV63" s="99"/>
      <c r="BW63" s="170"/>
      <c r="BX63" s="170"/>
      <c r="BY63" s="295"/>
      <c r="BZ63" s="170"/>
      <c r="CA63" s="131"/>
      <c r="CB63" s="170"/>
    </row>
    <row r="64" spans="1:106" ht="16.5" customHeight="1" x14ac:dyDescent="0.3">
      <c r="A64" s="445"/>
      <c r="B64" s="446"/>
      <c r="C64" s="446"/>
      <c r="D64" s="446"/>
      <c r="E64" s="472"/>
      <c r="F64" s="446"/>
      <c r="G64" s="446"/>
      <c r="H64" s="446"/>
      <c r="I64" s="446"/>
      <c r="J64" s="445"/>
      <c r="K64" s="473"/>
      <c r="L64" s="470"/>
      <c r="M64" s="461"/>
      <c r="N64" s="461"/>
      <c r="O64" s="461"/>
      <c r="P64" s="470"/>
      <c r="Q64" s="471"/>
      <c r="R64" s="176">
        <v>6</v>
      </c>
      <c r="S64" s="184"/>
      <c r="T64" s="169" t="str">
        <f t="shared" si="14"/>
        <v/>
      </c>
      <c r="U64" s="169"/>
      <c r="V64" s="169"/>
      <c r="W64" s="169"/>
      <c r="X64" s="169"/>
      <c r="Y64" s="195"/>
      <c r="Z64" s="195"/>
      <c r="AA64" s="97" t="str">
        <f t="shared" si="11"/>
        <v/>
      </c>
      <c r="AB64" s="195"/>
      <c r="AC64" s="195"/>
      <c r="AD64" s="195"/>
      <c r="AE64" s="142" t="str">
        <f>IFERROR(IF(AND(T63="Probabilidad",T64="Probabilidad"),(AG63-(+AG63*AA64)),IF(AND(T63="Impacto",T64="Probabilidad"),(AG62-(+AG62*AA64)),IF(T64="Impacto",AG63,""))),"")</f>
        <v/>
      </c>
      <c r="AF64" s="130" t="str">
        <f t="shared" si="4"/>
        <v/>
      </c>
      <c r="AG64" s="97" t="str">
        <f t="shared" si="12"/>
        <v/>
      </c>
      <c r="AH64" s="130" t="str">
        <f t="shared" si="5"/>
        <v/>
      </c>
      <c r="AI64" s="97" t="str">
        <f>IFERROR(IF(AND(T63="Impacto",T64="Impacto"),(AI63-(+AI63*AA64)),IF(AND(T63="Probabilidad",T64="Impacto"),(AI62-(+AI62*AA64)),IF(T64="Probabilidad",AI63,""))),"")</f>
        <v/>
      </c>
      <c r="AJ64" s="98" t="str">
        <f t="shared" si="13"/>
        <v/>
      </c>
      <c r="AK64" s="455"/>
      <c r="AL64" s="185"/>
      <c r="AM64" s="176"/>
      <c r="AN64" s="188"/>
      <c r="AO64" s="99"/>
      <c r="AP64" s="170"/>
      <c r="AQ64" s="188"/>
      <c r="AR64" s="185"/>
      <c r="AS64" s="188"/>
      <c r="AT64" s="185"/>
      <c r="AU64" s="99"/>
      <c r="AV64" s="170"/>
      <c r="AW64" s="131"/>
      <c r="AX64" s="170"/>
      <c r="AY64" s="170"/>
      <c r="AZ64" s="131"/>
      <c r="BA64" s="99"/>
      <c r="BB64" s="99"/>
      <c r="BC64" s="185"/>
      <c r="BD64" s="185"/>
      <c r="BE64" s="176"/>
      <c r="BF64" s="188"/>
      <c r="BG64" s="188"/>
      <c r="BH64" s="185"/>
      <c r="BI64" s="185"/>
      <c r="BJ64" s="176"/>
      <c r="BK64" s="188"/>
      <c r="BL64" s="188"/>
      <c r="BM64" s="170"/>
      <c r="BN64" s="170"/>
      <c r="BO64" s="131"/>
      <c r="BP64" s="99"/>
      <c r="BQ64" s="99"/>
      <c r="BR64" s="133"/>
      <c r="BS64" s="170"/>
      <c r="BT64" s="170"/>
      <c r="BU64" s="170"/>
      <c r="BV64" s="99"/>
      <c r="BW64" s="170"/>
      <c r="BX64" s="170"/>
      <c r="BY64" s="295"/>
      <c r="BZ64" s="170"/>
      <c r="CA64" s="131"/>
      <c r="CB64" s="170"/>
    </row>
  </sheetData>
  <sheetProtection algorithmName="SHA-512" hashValue="iXq86Mh+KlLYrD0iCBw3jljbtv5rY1Wb+OkYSbMSsQs0Ir4MhlcXU4w6I1MtZjWY+TFsTF0pJ8nKvI7thkpxcQ==" saltValue="MyyzfvCSckvwgmIDLIEvqg==" spinCount="100000" sheet="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200" priority="248" operator="equal">
      <formula>"Baja"</formula>
    </cfRule>
    <cfRule type="cellIs" dxfId="199" priority="247" operator="equal">
      <formula>"Media"</formula>
    </cfRule>
    <cfRule type="cellIs" dxfId="198" priority="246" operator="equal">
      <formula>"Alta"</formula>
    </cfRule>
    <cfRule type="cellIs" dxfId="197" priority="245" operator="equal">
      <formula>"Muy Alta"</formula>
    </cfRule>
    <cfRule type="cellIs" dxfId="196" priority="249" operator="equal">
      <formula>"Muy Baja"</formula>
    </cfRule>
  </conditionalFormatting>
  <conditionalFormatting sqref="K17">
    <cfRule type="cellIs" dxfId="195" priority="203" operator="equal">
      <formula>"Muy Baja"</formula>
    </cfRule>
    <cfRule type="cellIs" dxfId="194" priority="202" operator="equal">
      <formula>"Baja"</formula>
    </cfRule>
    <cfRule type="cellIs" dxfId="193" priority="201" operator="equal">
      <formula>"Media"</formula>
    </cfRule>
    <cfRule type="cellIs" dxfId="192" priority="200" operator="equal">
      <formula>"Alta"</formula>
    </cfRule>
    <cfRule type="cellIs" dxfId="191" priority="199" operator="equal">
      <formula>"Muy Alta"</formula>
    </cfRule>
  </conditionalFormatting>
  <conditionalFormatting sqref="K23">
    <cfRule type="cellIs" dxfId="190" priority="178" operator="equal">
      <formula>"Media"</formula>
    </cfRule>
    <cfRule type="cellIs" dxfId="189" priority="180" operator="equal">
      <formula>"Muy Baja"</formula>
    </cfRule>
    <cfRule type="cellIs" dxfId="188" priority="179" operator="equal">
      <formula>"Baja"</formula>
    </cfRule>
    <cfRule type="cellIs" dxfId="187" priority="177" operator="equal">
      <formula>"Alta"</formula>
    </cfRule>
    <cfRule type="cellIs" dxfId="186" priority="176" operator="equal">
      <formula>"Muy Alta"</formula>
    </cfRule>
  </conditionalFormatting>
  <conditionalFormatting sqref="K29">
    <cfRule type="cellIs" dxfId="185" priority="157" operator="equal">
      <formula>"Muy Baja"</formula>
    </cfRule>
    <cfRule type="cellIs" dxfId="184" priority="156" operator="equal">
      <formula>"Baja"</formula>
    </cfRule>
    <cfRule type="cellIs" dxfId="183" priority="155" operator="equal">
      <formula>"Media"</formula>
    </cfRule>
    <cfRule type="cellIs" dxfId="182" priority="154" operator="equal">
      <formula>"Alta"</formula>
    </cfRule>
    <cfRule type="cellIs" dxfId="181" priority="153" operator="equal">
      <formula>"Muy Alta"</formula>
    </cfRule>
  </conditionalFormatting>
  <conditionalFormatting sqref="K35">
    <cfRule type="cellIs" dxfId="180" priority="134" operator="equal">
      <formula>"Muy Baja"</formula>
    </cfRule>
    <cfRule type="cellIs" dxfId="179" priority="133" operator="equal">
      <formula>"Baja"</formula>
    </cfRule>
    <cfRule type="cellIs" dxfId="178" priority="131" operator="equal">
      <formula>"Alta"</formula>
    </cfRule>
    <cfRule type="cellIs" dxfId="177" priority="130" operator="equal">
      <formula>"Muy Alta"</formula>
    </cfRule>
    <cfRule type="cellIs" dxfId="176" priority="132" operator="equal">
      <formula>"Media"</formula>
    </cfRule>
  </conditionalFormatting>
  <conditionalFormatting sqref="K41">
    <cfRule type="cellIs" dxfId="175" priority="111" operator="equal">
      <formula>"Muy Baja"</formula>
    </cfRule>
    <cfRule type="cellIs" dxfId="174" priority="110" operator="equal">
      <formula>"Baja"</formula>
    </cfRule>
    <cfRule type="cellIs" dxfId="173" priority="109" operator="equal">
      <formula>"Media"</formula>
    </cfRule>
    <cfRule type="cellIs" dxfId="172" priority="108" operator="equal">
      <formula>"Alta"</formula>
    </cfRule>
    <cfRule type="cellIs" dxfId="171" priority="107" operator="equal">
      <formula>"Muy Alta"</formula>
    </cfRule>
  </conditionalFormatting>
  <conditionalFormatting sqref="K47">
    <cfRule type="cellIs" dxfId="170" priority="84" operator="equal">
      <formula>"Muy Alta"</formula>
    </cfRule>
    <cfRule type="cellIs" dxfId="169" priority="85" operator="equal">
      <formula>"Alta"</formula>
    </cfRule>
    <cfRule type="cellIs" dxfId="168" priority="86" operator="equal">
      <formula>"Media"</formula>
    </cfRule>
    <cfRule type="cellIs" dxfId="167" priority="87" operator="equal">
      <formula>"Baja"</formula>
    </cfRule>
    <cfRule type="cellIs" dxfId="166" priority="88" operator="equal">
      <formula>"Muy Baja"</formula>
    </cfRule>
  </conditionalFormatting>
  <conditionalFormatting sqref="K53">
    <cfRule type="cellIs" dxfId="165" priority="65" operator="equal">
      <formula>"Muy Baja"</formula>
    </cfRule>
    <cfRule type="cellIs" dxfId="164" priority="64" operator="equal">
      <formula>"Baja"</formula>
    </cfRule>
    <cfRule type="cellIs" dxfId="163" priority="63" operator="equal">
      <formula>"Media"</formula>
    </cfRule>
    <cfRule type="cellIs" dxfId="162" priority="61" operator="equal">
      <formula>"Muy Alta"</formula>
    </cfRule>
    <cfRule type="cellIs" dxfId="161" priority="62" operator="equal">
      <formula>"Alta"</formula>
    </cfRule>
  </conditionalFormatting>
  <conditionalFormatting sqref="K59">
    <cfRule type="cellIs" dxfId="160" priority="42" operator="equal">
      <formula>"Muy Baja"</formula>
    </cfRule>
    <cfRule type="cellIs" dxfId="159" priority="41" operator="equal">
      <formula>"Baja"</formula>
    </cfRule>
    <cfRule type="cellIs" dxfId="158" priority="40" operator="equal">
      <formula>"Media"</formula>
    </cfRule>
    <cfRule type="cellIs" dxfId="157" priority="39" operator="equal">
      <formula>"Alta"</formula>
    </cfRule>
    <cfRule type="cellIs" dxfId="156" priority="38" operator="equal">
      <formula>"Muy Alta"</formula>
    </cfRule>
  </conditionalFormatting>
  <conditionalFormatting sqref="N5 N11 N17 N23 N29 N35 N41 N47 N53 N59">
    <cfRule type="containsText" dxfId="155" priority="6" operator="containsText" text="❌">
      <formula>NOT(ISERROR(SEARCH(("❌"),(N5))))</formula>
    </cfRule>
  </conditionalFormatting>
  <conditionalFormatting sqref="O5 O11 O17 O23 O29 O35 O41 O47 O53 O59">
    <cfRule type="cellIs" dxfId="154" priority="1" operator="equal">
      <formula>"Catastrófico"</formula>
    </cfRule>
    <cfRule type="cellIs" dxfId="153" priority="2" operator="equal">
      <formula>"Mayor"</formula>
    </cfRule>
    <cfRule type="cellIs" dxfId="152" priority="3" operator="equal">
      <formula>"Moderado"</formula>
    </cfRule>
    <cfRule type="cellIs" dxfId="151" priority="4" operator="equal">
      <formula>"Menor"</formula>
    </cfRule>
    <cfRule type="cellIs" dxfId="150" priority="5" operator="equal">
      <formula>"Leve"</formula>
    </cfRule>
  </conditionalFormatting>
  <conditionalFormatting sqref="Q5 Q11 Q17 Q23 Q29 Q35 Q41 Q47 Q53 Q59">
    <cfRule type="cellIs" dxfId="149" priority="239" operator="equal">
      <formula>"Bajo"</formula>
    </cfRule>
    <cfRule type="cellIs" dxfId="148" priority="236" operator="equal">
      <formula>"Extremo"</formula>
    </cfRule>
    <cfRule type="cellIs" dxfId="147" priority="237" operator="equal">
      <formula>"Alto"</formula>
    </cfRule>
    <cfRule type="cellIs" dxfId="146" priority="238" operator="equal">
      <formula>"Moderado"</formula>
    </cfRule>
  </conditionalFormatting>
  <conditionalFormatting sqref="AF5:AF64">
    <cfRule type="cellIs" dxfId="145" priority="33" operator="equal">
      <formula>"Muy Baja"</formula>
    </cfRule>
    <cfRule type="cellIs" dxfId="144" priority="30" operator="equal">
      <formula>"Alta"</formula>
    </cfRule>
    <cfRule type="cellIs" dxfId="143" priority="29" operator="equal">
      <formula>"Muy Alta"</formula>
    </cfRule>
    <cfRule type="cellIs" dxfId="142" priority="31" operator="equal">
      <formula>"Media"</formula>
    </cfRule>
    <cfRule type="cellIs" dxfId="141" priority="32" operator="equal">
      <formula>"Baja"</formula>
    </cfRule>
  </conditionalFormatting>
  <conditionalFormatting sqref="AH5:AH64">
    <cfRule type="cellIs" dxfId="140" priority="27" operator="equal">
      <formula>"Menor"</formula>
    </cfRule>
    <cfRule type="cellIs" dxfId="139" priority="28" operator="equal">
      <formula>"Leve"</formula>
    </cfRule>
    <cfRule type="cellIs" dxfId="138" priority="25" operator="equal">
      <formula>"Mayor"</formula>
    </cfRule>
    <cfRule type="cellIs" dxfId="137" priority="24" operator="equal">
      <formula>"Catastrófico"</formula>
    </cfRule>
    <cfRule type="cellIs" dxfId="136" priority="26" operator="equal">
      <formula>"Moderado"</formula>
    </cfRule>
  </conditionalFormatting>
  <conditionalFormatting sqref="AJ5:AJ64">
    <cfRule type="cellIs" dxfId="135" priority="21" operator="equal">
      <formula>"Alto"</formula>
    </cfRule>
    <cfRule type="cellIs" dxfId="134" priority="20" operator="equal">
      <formula>"Extremo"</formula>
    </cfRule>
    <cfRule type="cellIs" dxfId="133" priority="23" operator="equal">
      <formula>"Bajo"</formula>
    </cfRule>
    <cfRule type="cellIs" dxfId="132" priority="22" operator="equal">
      <formula>"Moderado"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BQ5:BQ64 BG5:BG64 BL5:BL64 BB5:BB64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abSelected="1" topLeftCell="BQ1" zoomScale="70" zoomScaleNormal="70" zoomScaleSheetLayoutView="10" zoomScalePageLayoutView="55" workbookViewId="0">
      <pane ySplit="4" topLeftCell="A12" activePane="bottomLeft" state="frozen"/>
      <selection pane="bottomLeft" activeCell="BY18" sqref="BY18"/>
    </sheetView>
  </sheetViews>
  <sheetFormatPr baseColWidth="10" defaultColWidth="11.42578125" defaultRowHeight="21" customHeight="1" x14ac:dyDescent="0.3"/>
  <cols>
    <col min="1" max="1" width="4" style="2" bestFit="1" customWidth="1"/>
    <col min="2" max="2" width="15.7109375" style="93" customWidth="1"/>
    <col min="3" max="3" width="15.85546875" style="93" customWidth="1"/>
    <col min="4" max="4" width="13.7109375" style="93" customWidth="1"/>
    <col min="5" max="5" width="27.140625" style="1" customWidth="1"/>
    <col min="6" max="6" width="14.140625" style="2" customWidth="1"/>
    <col min="7" max="7" width="22.42578125" style="2" customWidth="1"/>
    <col min="8" max="8" width="18.5703125" style="2" customWidth="1"/>
    <col min="9" max="9" width="19" style="172"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173" hidden="1" customWidth="1"/>
    <col min="26" max="26" width="31" style="174" hidden="1" customWidth="1"/>
    <col min="27" max="36" width="31" style="1" hidden="1" customWidth="1"/>
    <col min="37" max="37" width="17.85546875" style="1" hidden="1" customWidth="1"/>
    <col min="38" max="38" width="16.5703125" style="1" hidden="1" customWidth="1"/>
    <col min="39" max="39" width="31" style="1" hidden="1" customWidth="1"/>
    <col min="40" max="40" width="28.140625" style="1" customWidth="1"/>
    <col min="41" max="41" width="18.85546875" style="1" customWidth="1"/>
    <col min="42" max="42" width="22.140625" style="1" customWidth="1"/>
    <col min="43" max="43" width="20.5703125" style="1" hidden="1" customWidth="1"/>
    <col min="44" max="44" width="45" style="1" hidden="1" customWidth="1"/>
    <col min="45" max="45" width="20.5703125" style="1" hidden="1" customWidth="1"/>
    <col min="46" max="46" width="64.5703125" style="1" hidden="1" customWidth="1"/>
    <col min="47" max="47" width="20.5703125" style="1" hidden="1" customWidth="1"/>
    <col min="48" max="48" width="51.7109375" style="1" hidden="1" customWidth="1"/>
    <col min="49" max="49" width="20.5703125" style="1" customWidth="1"/>
    <col min="50" max="50" width="57.42578125" style="1" customWidth="1"/>
    <col min="51" max="51" width="11.28515625" style="1" customWidth="1"/>
    <col min="52" max="52" width="23" style="1" hidden="1" customWidth="1"/>
    <col min="53" max="53" width="68" style="1" hidden="1" customWidth="1"/>
    <col min="54" max="54" width="18.85546875" style="1" hidden="1" customWidth="1"/>
    <col min="55" max="55" width="16.85546875" style="1" hidden="1" customWidth="1"/>
    <col min="56" max="56" width="22.5703125" style="1" hidden="1" customWidth="1"/>
    <col min="57" max="57" width="23" style="1" hidden="1" customWidth="1"/>
    <col min="58" max="58" width="69.5703125" style="1" hidden="1" customWidth="1"/>
    <col min="59" max="59" width="18.85546875" style="1" hidden="1" customWidth="1"/>
    <col min="60" max="60" width="16.85546875" style="1" hidden="1" customWidth="1"/>
    <col min="61" max="61" width="19.5703125" style="1" hidden="1" customWidth="1"/>
    <col min="62" max="62" width="23" style="1" hidden="1" customWidth="1"/>
    <col min="63" max="63" width="63.140625" style="1" hidden="1" customWidth="1"/>
    <col min="64" max="64" width="18.85546875" style="1" hidden="1" customWidth="1"/>
    <col min="65" max="65" width="25.5703125" style="1" hidden="1" customWidth="1"/>
    <col min="66" max="66" width="19.5703125" style="1" hidden="1" customWidth="1"/>
    <col min="67" max="67" width="23" style="1" customWidth="1"/>
    <col min="68" max="68" width="58.5703125" style="1" customWidth="1"/>
    <col min="69" max="69" width="18.85546875" style="1" customWidth="1"/>
    <col min="70" max="70" width="16.85546875" style="1" customWidth="1"/>
    <col min="71" max="71" width="19.5703125" style="1" customWidth="1"/>
    <col min="72" max="72" width="28.85546875" style="1" customWidth="1"/>
    <col min="73" max="74" width="23" style="1" customWidth="1"/>
    <col min="75" max="75" width="18.5703125" style="1" customWidth="1"/>
    <col min="76" max="76" width="20.5703125" style="1" customWidth="1"/>
    <col min="77" max="77" width="23" style="1" customWidth="1"/>
    <col min="78" max="78" width="18.5703125" style="1" customWidth="1"/>
    <col min="79" max="79" width="20.5703125" style="1" customWidth="1"/>
    <col min="80" max="80" width="239.28515625" style="1" customWidth="1"/>
    <col min="81" max="81" width="84.140625" style="1" customWidth="1"/>
    <col min="82" max="82" width="119.28515625" style="1" customWidth="1"/>
    <col min="83" max="16384" width="11.42578125" style="1"/>
  </cols>
  <sheetData>
    <row r="1" spans="1:108" ht="21" customHeight="1" x14ac:dyDescent="0.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row>
    <row r="2" spans="1:108" ht="21" customHeight="1" x14ac:dyDescent="0.3">
      <c r="A2" s="450" t="s">
        <v>137</v>
      </c>
      <c r="B2" s="451"/>
      <c r="C2" s="451"/>
      <c r="D2" s="451"/>
      <c r="E2" s="451"/>
      <c r="F2" s="451"/>
      <c r="G2" s="451"/>
      <c r="H2" s="451"/>
      <c r="I2" s="452"/>
      <c r="J2" s="450" t="s">
        <v>138</v>
      </c>
      <c r="K2" s="451"/>
      <c r="L2" s="451"/>
      <c r="M2" s="452"/>
      <c r="N2" s="450" t="s">
        <v>139</v>
      </c>
      <c r="O2" s="451"/>
      <c r="P2" s="451"/>
      <c r="Q2" s="451"/>
      <c r="R2" s="451"/>
      <c r="S2" s="451"/>
      <c r="T2" s="451"/>
      <c r="U2" s="451"/>
      <c r="V2" s="451"/>
      <c r="W2" s="451"/>
      <c r="X2" s="451"/>
      <c r="Y2" s="451"/>
      <c r="Z2" s="451"/>
      <c r="AA2" s="451"/>
      <c r="AB2" s="451"/>
      <c r="AC2" s="451"/>
      <c r="AD2" s="451"/>
      <c r="AE2" s="451"/>
      <c r="AF2" s="451"/>
      <c r="AG2" s="451"/>
      <c r="AH2" s="452"/>
      <c r="AI2" s="450" t="s">
        <v>346</v>
      </c>
      <c r="AJ2" s="451"/>
      <c r="AK2" s="451"/>
      <c r="AL2" s="452"/>
      <c r="AM2" s="175"/>
      <c r="AN2" s="489" t="s">
        <v>141</v>
      </c>
      <c r="AO2" s="489"/>
      <c r="AP2" s="489"/>
      <c r="AQ2" s="489"/>
      <c r="AR2" s="489"/>
      <c r="AS2" s="489"/>
      <c r="AT2" s="489"/>
      <c r="AU2" s="489"/>
      <c r="AV2" s="489"/>
      <c r="AW2" s="489"/>
      <c r="AX2" s="489"/>
      <c r="AY2" s="489"/>
      <c r="AZ2" s="443" t="s">
        <v>142</v>
      </c>
      <c r="BA2" s="443"/>
      <c r="BB2" s="443"/>
      <c r="BC2" s="443"/>
      <c r="BD2" s="443"/>
      <c r="BE2" s="443" t="s">
        <v>143</v>
      </c>
      <c r="BF2" s="443"/>
      <c r="BG2" s="443"/>
      <c r="BH2" s="443"/>
      <c r="BI2" s="443"/>
      <c r="BJ2" s="443" t="s">
        <v>144</v>
      </c>
      <c r="BK2" s="443"/>
      <c r="BL2" s="443"/>
      <c r="BM2" s="443"/>
      <c r="BN2" s="443"/>
      <c r="BO2" s="443" t="s">
        <v>145</v>
      </c>
      <c r="BP2" s="443"/>
      <c r="BQ2" s="443"/>
      <c r="BR2" s="443"/>
      <c r="BS2" s="443"/>
      <c r="BT2" s="487" t="s">
        <v>146</v>
      </c>
      <c r="BU2" s="487"/>
      <c r="BV2" s="487"/>
      <c r="BW2" s="487"/>
      <c r="BX2" s="456" t="s">
        <v>147</v>
      </c>
      <c r="BY2" s="456"/>
      <c r="BZ2" s="456"/>
      <c r="CA2" s="447" t="s">
        <v>148</v>
      </c>
      <c r="CB2" s="448"/>
      <c r="CC2" s="448"/>
      <c r="CD2" s="449"/>
      <c r="CE2" s="3"/>
      <c r="CF2" s="3"/>
      <c r="CG2" s="3"/>
      <c r="CH2" s="3"/>
      <c r="CI2" s="3"/>
      <c r="CJ2" s="3"/>
      <c r="CK2" s="3"/>
      <c r="CL2" s="3"/>
      <c r="CM2" s="3"/>
      <c r="CN2" s="3"/>
      <c r="CO2" s="3"/>
      <c r="CP2" s="3"/>
      <c r="CQ2" s="3"/>
      <c r="CR2" s="3"/>
      <c r="CS2" s="3"/>
      <c r="CT2" s="3"/>
      <c r="CU2" s="3"/>
      <c r="CV2" s="3"/>
      <c r="CW2" s="3"/>
      <c r="CX2" s="3"/>
      <c r="CY2" s="3"/>
      <c r="CZ2" s="3"/>
      <c r="DA2" s="3"/>
      <c r="DB2" s="3"/>
      <c r="DC2" s="3"/>
      <c r="DD2" s="3"/>
    </row>
    <row r="3" spans="1:108" s="164" customFormat="1" ht="21" customHeight="1" x14ac:dyDescent="0.3">
      <c r="A3" s="539" t="s">
        <v>149</v>
      </c>
      <c r="B3" s="477" t="s">
        <v>7</v>
      </c>
      <c r="C3" s="477" t="s">
        <v>9</v>
      </c>
      <c r="D3" s="477" t="s">
        <v>11</v>
      </c>
      <c r="E3" s="540" t="s">
        <v>21</v>
      </c>
      <c r="F3" s="540" t="s">
        <v>15</v>
      </c>
      <c r="G3" s="477" t="s">
        <v>17</v>
      </c>
      <c r="H3" s="477" t="s">
        <v>19</v>
      </c>
      <c r="I3" s="477" t="s">
        <v>23</v>
      </c>
      <c r="J3" s="477" t="s">
        <v>347</v>
      </c>
      <c r="K3" s="477" t="s">
        <v>15</v>
      </c>
      <c r="L3" s="477" t="s">
        <v>348</v>
      </c>
      <c r="M3" s="513" t="s">
        <v>29</v>
      </c>
      <c r="N3" s="534" t="s">
        <v>158</v>
      </c>
      <c r="O3" s="477" t="s">
        <v>31</v>
      </c>
      <c r="P3" s="477" t="s">
        <v>349</v>
      </c>
      <c r="Q3" s="513" t="s">
        <v>166</v>
      </c>
      <c r="R3" s="477" t="s">
        <v>166</v>
      </c>
      <c r="S3" s="477" t="s">
        <v>350</v>
      </c>
      <c r="T3" s="477" t="s">
        <v>351</v>
      </c>
      <c r="U3" s="477" t="s">
        <v>352</v>
      </c>
      <c r="V3" s="477" t="s">
        <v>353</v>
      </c>
      <c r="W3" s="477" t="s">
        <v>354</v>
      </c>
      <c r="X3" s="477" t="s">
        <v>355</v>
      </c>
      <c r="Y3" s="477" t="s">
        <v>356</v>
      </c>
      <c r="Z3" s="477" t="s">
        <v>357</v>
      </c>
      <c r="AA3" s="477" t="s">
        <v>358</v>
      </c>
      <c r="AB3" s="477" t="s">
        <v>359</v>
      </c>
      <c r="AC3" s="535" t="s">
        <v>360</v>
      </c>
      <c r="AD3" s="536"/>
      <c r="AE3" s="477" t="s">
        <v>361</v>
      </c>
      <c r="AF3" s="477" t="s">
        <v>362</v>
      </c>
      <c r="AG3" s="477" t="s">
        <v>363</v>
      </c>
      <c r="AH3" s="477" t="s">
        <v>364</v>
      </c>
      <c r="AI3" s="477" t="s">
        <v>347</v>
      </c>
      <c r="AJ3" s="477" t="s">
        <v>15</v>
      </c>
      <c r="AK3" s="477" t="s">
        <v>348</v>
      </c>
      <c r="AL3" s="513" t="s">
        <v>365</v>
      </c>
      <c r="AM3" s="477" t="s">
        <v>366</v>
      </c>
      <c r="AN3" s="465" t="s">
        <v>165</v>
      </c>
      <c r="AO3" s="465" t="s">
        <v>166</v>
      </c>
      <c r="AP3" s="465" t="s">
        <v>167</v>
      </c>
      <c r="AQ3" s="465" t="s">
        <v>168</v>
      </c>
      <c r="AR3" s="465" t="s">
        <v>169</v>
      </c>
      <c r="AS3" s="493" t="s">
        <v>168</v>
      </c>
      <c r="AT3" s="494" t="s">
        <v>170</v>
      </c>
      <c r="AU3" s="465" t="s">
        <v>168</v>
      </c>
      <c r="AV3" s="465" t="s">
        <v>171</v>
      </c>
      <c r="AW3" s="465" t="s">
        <v>168</v>
      </c>
      <c r="AX3" s="466" t="s">
        <v>172</v>
      </c>
      <c r="AY3" s="465" t="s">
        <v>53</v>
      </c>
      <c r="AZ3" s="444" t="s">
        <v>173</v>
      </c>
      <c r="BA3" s="444" t="s">
        <v>174</v>
      </c>
      <c r="BB3" s="444" t="s">
        <v>166</v>
      </c>
      <c r="BC3" s="444" t="s">
        <v>175</v>
      </c>
      <c r="BD3" s="444" t="s">
        <v>176</v>
      </c>
      <c r="BE3" s="444" t="s">
        <v>173</v>
      </c>
      <c r="BF3" s="444" t="s">
        <v>174</v>
      </c>
      <c r="BG3" s="444" t="s">
        <v>166</v>
      </c>
      <c r="BH3" s="444" t="s">
        <v>175</v>
      </c>
      <c r="BI3" s="444" t="s">
        <v>176</v>
      </c>
      <c r="BJ3" s="444" t="s">
        <v>173</v>
      </c>
      <c r="BK3" s="444" t="s">
        <v>174</v>
      </c>
      <c r="BL3" s="444" t="s">
        <v>166</v>
      </c>
      <c r="BM3" s="444" t="s">
        <v>175</v>
      </c>
      <c r="BN3" s="444" t="s">
        <v>176</v>
      </c>
      <c r="BO3" s="444" t="s">
        <v>173</v>
      </c>
      <c r="BP3" s="444" t="s">
        <v>174</v>
      </c>
      <c r="BQ3" s="444" t="s">
        <v>166</v>
      </c>
      <c r="BR3" s="444" t="s">
        <v>175</v>
      </c>
      <c r="BS3" s="444" t="s">
        <v>176</v>
      </c>
      <c r="BT3" s="524" t="s">
        <v>367</v>
      </c>
      <c r="BU3" s="524" t="s">
        <v>178</v>
      </c>
      <c r="BV3" s="524" t="s">
        <v>179</v>
      </c>
      <c r="BW3" s="524" t="s">
        <v>174</v>
      </c>
      <c r="BX3" s="457" t="s">
        <v>168</v>
      </c>
      <c r="BY3" s="457" t="s">
        <v>180</v>
      </c>
      <c r="BZ3" s="457" t="s">
        <v>181</v>
      </c>
      <c r="CA3" s="492" t="s">
        <v>182</v>
      </c>
      <c r="CB3" s="492" t="s">
        <v>183</v>
      </c>
      <c r="CC3" s="492" t="s">
        <v>184</v>
      </c>
      <c r="CD3" s="492" t="s">
        <v>185</v>
      </c>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row>
    <row r="4" spans="1:108" s="166" customFormat="1" ht="21" customHeight="1" thickBot="1" x14ac:dyDescent="0.3">
      <c r="A4" s="539"/>
      <c r="B4" s="477"/>
      <c r="C4" s="477"/>
      <c r="D4" s="477"/>
      <c r="E4" s="540"/>
      <c r="F4" s="540"/>
      <c r="G4" s="477"/>
      <c r="H4" s="477"/>
      <c r="I4" s="477"/>
      <c r="J4" s="477"/>
      <c r="K4" s="477"/>
      <c r="L4" s="477"/>
      <c r="M4" s="514"/>
      <c r="N4" s="534"/>
      <c r="O4" s="477"/>
      <c r="P4" s="477"/>
      <c r="Q4" s="514"/>
      <c r="R4" s="477" t="s">
        <v>166</v>
      </c>
      <c r="S4" s="477"/>
      <c r="T4" s="477"/>
      <c r="U4" s="477"/>
      <c r="V4" s="477"/>
      <c r="W4" s="477" t="s">
        <v>354</v>
      </c>
      <c r="X4" s="477"/>
      <c r="Y4" s="477" t="s">
        <v>354</v>
      </c>
      <c r="Z4" s="477"/>
      <c r="AA4" s="477" t="s">
        <v>358</v>
      </c>
      <c r="AB4" s="477"/>
      <c r="AC4" s="537"/>
      <c r="AD4" s="538"/>
      <c r="AE4" s="477"/>
      <c r="AF4" s="477"/>
      <c r="AG4" s="477"/>
      <c r="AH4" s="477"/>
      <c r="AI4" s="477"/>
      <c r="AJ4" s="477"/>
      <c r="AK4" s="477"/>
      <c r="AL4" s="514"/>
      <c r="AM4" s="477"/>
      <c r="AN4" s="465"/>
      <c r="AO4" s="465"/>
      <c r="AP4" s="465"/>
      <c r="AQ4" s="465"/>
      <c r="AR4" s="465"/>
      <c r="AS4" s="493"/>
      <c r="AT4" s="495"/>
      <c r="AU4" s="465"/>
      <c r="AV4" s="465"/>
      <c r="AW4" s="465"/>
      <c r="AX4" s="467"/>
      <c r="AY4" s="465"/>
      <c r="AZ4" s="444"/>
      <c r="BA4" s="444"/>
      <c r="BB4" s="444"/>
      <c r="BC4" s="444"/>
      <c r="BD4" s="444"/>
      <c r="BE4" s="444"/>
      <c r="BF4" s="444"/>
      <c r="BG4" s="444"/>
      <c r="BH4" s="444"/>
      <c r="BI4" s="444"/>
      <c r="BJ4" s="444"/>
      <c r="BK4" s="444"/>
      <c r="BL4" s="444"/>
      <c r="BM4" s="444"/>
      <c r="BN4" s="444"/>
      <c r="BO4" s="444"/>
      <c r="BP4" s="444"/>
      <c r="BQ4" s="496"/>
      <c r="BR4" s="496"/>
      <c r="BS4" s="444"/>
      <c r="BT4" s="524"/>
      <c r="BU4" s="524"/>
      <c r="BV4" s="524"/>
      <c r="BW4" s="524"/>
      <c r="BX4" s="457"/>
      <c r="BY4" s="457"/>
      <c r="BZ4" s="457"/>
      <c r="CA4" s="492"/>
      <c r="CB4" s="492"/>
      <c r="CC4" s="492"/>
      <c r="CD4" s="492"/>
      <c r="CE4" s="165"/>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row>
    <row r="5" spans="1:108" s="168" customFormat="1" ht="409.5" customHeight="1" x14ac:dyDescent="0.3">
      <c r="A5" s="445">
        <v>1</v>
      </c>
      <c r="B5" s="474" t="s">
        <v>72</v>
      </c>
      <c r="C5" s="474" t="s">
        <v>287</v>
      </c>
      <c r="D5" s="474" t="s">
        <v>288</v>
      </c>
      <c r="E5" s="474" t="s">
        <v>368</v>
      </c>
      <c r="F5" s="474" t="s">
        <v>369</v>
      </c>
      <c r="G5" s="474" t="s">
        <v>370</v>
      </c>
      <c r="H5" s="525" t="s">
        <v>371</v>
      </c>
      <c r="I5" s="528" t="s">
        <v>372</v>
      </c>
      <c r="J5" s="530">
        <v>1</v>
      </c>
      <c r="K5" s="523">
        <v>4</v>
      </c>
      <c r="L5" s="502">
        <f>+(J5*K5)*4</f>
        <v>16</v>
      </c>
      <c r="M5" s="499" t="str">
        <f>IF(OR(AND(J5=3,K5=4),AND(J5=2,K5=5),AND(J5=2,K5=5),AND(L5=20),AND(L5&gt;=52,L5&lt;=100)),"ZONA RIESGO EXTREMA",IF(OR(AND(J5=5,K5=2),AND(J5=4,K5=3),AND(J5=1,K5=4),AND(L5=16),AND(L5&gt;=28,L5&lt;=48)),"ZONA RIESGO ALTA",IF(OR(AND(J5=1,K5=3),AND(J5=4,K5=1),AND(L5=24)),"ZONA RIESGO MODERADA",IF(AND(L5&gt;=4,L5&lt;=16),"ZONA RIESGO BAJA"))))</f>
        <v>ZONA RIESGO ALTA</v>
      </c>
      <c r="N5" s="176">
        <v>1</v>
      </c>
      <c r="O5" s="255" t="s">
        <v>373</v>
      </c>
      <c r="P5" s="246">
        <v>15</v>
      </c>
      <c r="Q5" s="246">
        <v>15</v>
      </c>
      <c r="R5" s="246">
        <v>15</v>
      </c>
      <c r="S5" s="246">
        <v>15</v>
      </c>
      <c r="T5" s="246">
        <v>15</v>
      </c>
      <c r="U5" s="246">
        <v>15</v>
      </c>
      <c r="V5" s="246">
        <v>10</v>
      </c>
      <c r="W5" s="248">
        <f>SUM(P5:V5)</f>
        <v>100</v>
      </c>
      <c r="X5" s="249" t="str">
        <f t="shared" ref="X5:X64" si="0">IF(AND(W5&gt;=86,W5&lt;=95),"MODERADO",IF(AND(W5&gt;=96), "FUERTE",IF(AND(W5&lt;=85), "DEBIL")))</f>
        <v>FUERTE</v>
      </c>
      <c r="Y5" s="250" t="s">
        <v>374</v>
      </c>
      <c r="Z5" s="251" t="str">
        <f>IFERROR((_xlfn.IFS(AND(X5="FUERTE",Y5="FUERTE"),"FUERTE",AND(X5="FUERTE",Y5="MODERADO"),"MODERADO",AND(X5="FUERTE",Y5="DEBIL"),"DEBIL",AND(X5="MODERADO",Y5="FUERTE"),"MODERADO",AND(X5="MODERADO",Y5="MODERADO"),"MODERADO",AND(X5="MODERADO",Y5="DEBIL"),"DEBIL",AND(X5="DEBIL",Y5="FUERTE"),"DEBIL",AND(X5="DEBIL",Y5="MODERADO"),"DEBIL",AND(X5="DEBIL",Y5="DEBIL"),"DEBIL")),"")</f>
        <v>MODERADO</v>
      </c>
      <c r="AA5" s="248" t="str">
        <f>IF(AND(Z5="FUERTE"),"NO", "SI")</f>
        <v>SI</v>
      </c>
      <c r="AB5" s="246" t="s">
        <v>375</v>
      </c>
      <c r="AC5" s="503">
        <f>IF(AND(W5&gt;0,SUM(W6:W10)=0),W5,IF(AND(SUM(W5:W6)&gt;0,SUM(W7:W10)=0),AVERAGE(W5:W6),IF(AND(SUM(W5:W7)&gt;0,SUM(W8:W10)=0),AVERAGE(W5:W7),IF(AND(SUM(W5:W8)&gt;0,SUM(W9:W10)=0),AVERAGE(W5:W8),IF(AND(SUM(W5:W9)&gt;0,W10=0),AVERAGE(W5:W9),AVERAGE(W5:W10))))))</f>
        <v>100</v>
      </c>
      <c r="AD5" s="503" t="str">
        <f>IF(AND(AC5&gt;=50,AC5&lt;=99),"MODERADO",IF(AND(AC5=100), "FUERTE",IF(AND(AC5&lt;50), "DEBIL")))</f>
        <v>FUERTE</v>
      </c>
      <c r="AE5" s="522" t="s">
        <v>376</v>
      </c>
      <c r="AF5" s="522" t="s">
        <v>377</v>
      </c>
      <c r="AG5" s="512">
        <f>IFERROR(_xlfn.IFS(AND(AD5="MODERADO",AE5="Directamente"),1,AND(AD5="FUERTE",AE5="Directamente"),2),"0")</f>
        <v>2</v>
      </c>
      <c r="AH5" s="512">
        <f>IFERROR(_xlfn.IFS(AND(AD5="MODERADO",AF5="Directamente"),1,AND(AD5="FUERTE",AF5="Directamente"),2,AND(AD5="FUERTE",AF5="Indirectamente"),1),"0")</f>
        <v>1</v>
      </c>
      <c r="AI5" s="497">
        <v>1</v>
      </c>
      <c r="AJ5" s="497">
        <v>3</v>
      </c>
      <c r="AK5" s="515">
        <f>+(AI5*AJ5)*4</f>
        <v>12</v>
      </c>
      <c r="AL5" s="516"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507" t="s">
        <v>378</v>
      </c>
      <c r="AN5" s="254" t="s">
        <v>379</v>
      </c>
      <c r="AO5" s="254" t="s">
        <v>296</v>
      </c>
      <c r="AP5" s="186">
        <v>45291</v>
      </c>
      <c r="AQ5" s="199" t="s">
        <v>380</v>
      </c>
      <c r="AR5" s="265" t="s">
        <v>381</v>
      </c>
      <c r="AS5" s="199" t="s">
        <v>382</v>
      </c>
      <c r="AT5" s="257" t="s">
        <v>383</v>
      </c>
      <c r="AU5" s="313" t="s">
        <v>384</v>
      </c>
      <c r="AV5" s="314" t="s">
        <v>385</v>
      </c>
      <c r="AW5" s="133" t="s">
        <v>338</v>
      </c>
      <c r="AX5" s="342" t="s">
        <v>386</v>
      </c>
      <c r="AY5" s="131"/>
      <c r="AZ5" s="320" t="s">
        <v>387</v>
      </c>
      <c r="BA5" s="262" t="s">
        <v>388</v>
      </c>
      <c r="BB5" s="185" t="s">
        <v>389</v>
      </c>
      <c r="BC5" s="188" t="s">
        <v>390</v>
      </c>
      <c r="BD5" s="188" t="s">
        <v>223</v>
      </c>
      <c r="BE5" s="199" t="s">
        <v>391</v>
      </c>
      <c r="BF5" s="283" t="s">
        <v>392</v>
      </c>
      <c r="BG5" s="185" t="s">
        <v>393</v>
      </c>
      <c r="BH5" s="185" t="s">
        <v>394</v>
      </c>
      <c r="BI5" s="188"/>
      <c r="BJ5" s="199" t="s">
        <v>395</v>
      </c>
      <c r="BK5" s="321" t="s">
        <v>396</v>
      </c>
      <c r="BL5" s="185" t="s">
        <v>397</v>
      </c>
      <c r="BM5" s="322" t="s">
        <v>398</v>
      </c>
      <c r="BN5" s="188"/>
      <c r="BO5" s="133" t="s">
        <v>232</v>
      </c>
      <c r="BP5" s="348" t="s">
        <v>399</v>
      </c>
      <c r="BQ5" s="337" t="s">
        <v>400</v>
      </c>
      <c r="BR5" s="355" t="s">
        <v>401</v>
      </c>
      <c r="BS5" s="334"/>
      <c r="BT5" s="133" t="s">
        <v>402</v>
      </c>
      <c r="BU5" s="170"/>
      <c r="BV5" s="170"/>
      <c r="BW5" s="170"/>
      <c r="BX5" s="133" t="s">
        <v>835</v>
      </c>
      <c r="BY5" s="259" t="s">
        <v>845</v>
      </c>
      <c r="BZ5" s="259" t="s">
        <v>847</v>
      </c>
      <c r="CA5" s="298" t="s">
        <v>403</v>
      </c>
      <c r="CB5" s="358" t="s">
        <v>404</v>
      </c>
      <c r="CC5" s="358" t="s">
        <v>405</v>
      </c>
      <c r="CD5" s="358" t="s">
        <v>406</v>
      </c>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row>
    <row r="6" spans="1:108" ht="409.5" x14ac:dyDescent="0.3">
      <c r="A6" s="445"/>
      <c r="B6" s="460"/>
      <c r="C6" s="460"/>
      <c r="D6" s="460"/>
      <c r="E6" s="460"/>
      <c r="F6" s="460"/>
      <c r="G6" s="460"/>
      <c r="H6" s="526"/>
      <c r="I6" s="529"/>
      <c r="J6" s="531"/>
      <c r="K6" s="460"/>
      <c r="L6" s="502"/>
      <c r="M6" s="500"/>
      <c r="N6" s="176">
        <v>2</v>
      </c>
      <c r="O6" s="178" t="s">
        <v>407</v>
      </c>
      <c r="P6" s="179">
        <v>15</v>
      </c>
      <c r="Q6" s="179">
        <v>15</v>
      </c>
      <c r="R6" s="179">
        <v>15</v>
      </c>
      <c r="S6" s="179">
        <v>15</v>
      </c>
      <c r="T6" s="179">
        <v>15</v>
      </c>
      <c r="U6" s="179">
        <v>15</v>
      </c>
      <c r="V6" s="179">
        <v>10</v>
      </c>
      <c r="W6" s="101">
        <f t="shared" ref="W6:W64" si="1">SUM(P6:V6)</f>
        <v>100</v>
      </c>
      <c r="X6" s="102" t="str">
        <f t="shared" si="0"/>
        <v>FUERTE</v>
      </c>
      <c r="Y6" s="180"/>
      <c r="Z6" s="103"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01" t="str">
        <f t="shared" ref="AA6:AA64" si="3">IF(AND(Z6="FUERTE"),"NO", "SI")</f>
        <v>SI</v>
      </c>
      <c r="AB6" s="179"/>
      <c r="AC6" s="504"/>
      <c r="AD6" s="504"/>
      <c r="AE6" s="505"/>
      <c r="AF6" s="505"/>
      <c r="AG6" s="506"/>
      <c r="AH6" s="506"/>
      <c r="AI6" s="498"/>
      <c r="AJ6" s="498"/>
      <c r="AK6" s="502"/>
      <c r="AL6" s="500"/>
      <c r="AM6" s="508"/>
      <c r="AN6" s="177" t="s">
        <v>408</v>
      </c>
      <c r="AO6" s="177" t="s">
        <v>210</v>
      </c>
      <c r="AP6" s="186">
        <v>45291</v>
      </c>
      <c r="AQ6" s="199">
        <v>45026</v>
      </c>
      <c r="AR6" s="261" t="s">
        <v>409</v>
      </c>
      <c r="AS6" s="199" t="s">
        <v>410</v>
      </c>
      <c r="AT6" s="185" t="s">
        <v>411</v>
      </c>
      <c r="AU6" s="199" t="s">
        <v>412</v>
      </c>
      <c r="AV6" s="185" t="s">
        <v>413</v>
      </c>
      <c r="AW6" s="133" t="s">
        <v>414</v>
      </c>
      <c r="AX6" s="331" t="s">
        <v>415</v>
      </c>
      <c r="AY6" s="131"/>
      <c r="AZ6" s="199" t="s">
        <v>252</v>
      </c>
      <c r="BA6" s="261" t="s">
        <v>416</v>
      </c>
      <c r="BB6" s="176" t="s">
        <v>417</v>
      </c>
      <c r="BC6" s="188" t="s">
        <v>418</v>
      </c>
      <c r="BD6" s="188" t="s">
        <v>223</v>
      </c>
      <c r="BE6" s="199" t="s">
        <v>419</v>
      </c>
      <c r="BF6" s="185" t="s">
        <v>420</v>
      </c>
      <c r="BG6" s="185" t="s">
        <v>393</v>
      </c>
      <c r="BH6" s="185" t="s">
        <v>421</v>
      </c>
      <c r="BI6" s="188"/>
      <c r="BJ6" s="199" t="s">
        <v>422</v>
      </c>
      <c r="BK6" s="185" t="s">
        <v>423</v>
      </c>
      <c r="BL6" s="185" t="s">
        <v>424</v>
      </c>
      <c r="BM6" s="199" t="s">
        <v>425</v>
      </c>
      <c r="BN6" s="188"/>
      <c r="BO6" s="133" t="s">
        <v>338</v>
      </c>
      <c r="BP6" s="333" t="s">
        <v>426</v>
      </c>
      <c r="BQ6" s="337" t="s">
        <v>400</v>
      </c>
      <c r="BR6" s="338" t="s">
        <v>427</v>
      </c>
      <c r="BS6" s="334"/>
      <c r="BT6" s="133" t="s">
        <v>428</v>
      </c>
      <c r="BU6" s="170"/>
      <c r="BV6" s="170"/>
      <c r="BW6" s="170"/>
      <c r="BX6" s="133" t="s">
        <v>237</v>
      </c>
      <c r="BY6" s="259" t="s">
        <v>846</v>
      </c>
      <c r="BZ6" s="170" t="s">
        <v>848</v>
      </c>
      <c r="CA6" s="298" t="s">
        <v>403</v>
      </c>
      <c r="CB6" s="358" t="s">
        <v>429</v>
      </c>
      <c r="CC6" s="358" t="s">
        <v>430</v>
      </c>
      <c r="CD6" s="358" t="s">
        <v>431</v>
      </c>
      <c r="CE6" s="3"/>
      <c r="CF6" s="3"/>
      <c r="CG6" s="3"/>
      <c r="CH6" s="3"/>
      <c r="CI6" s="3"/>
      <c r="CJ6" s="3"/>
      <c r="CK6" s="3"/>
      <c r="CL6" s="3"/>
      <c r="CM6" s="3"/>
      <c r="CN6" s="3"/>
      <c r="CO6" s="3"/>
      <c r="CP6" s="3"/>
      <c r="CQ6" s="3"/>
      <c r="CR6" s="3"/>
      <c r="CS6" s="3"/>
      <c r="CT6" s="3"/>
      <c r="CU6" s="3"/>
      <c r="CV6" s="3"/>
      <c r="CW6" s="3"/>
      <c r="CX6" s="3"/>
      <c r="CY6" s="3"/>
      <c r="CZ6" s="3"/>
      <c r="DA6" s="3"/>
      <c r="DB6" s="3"/>
      <c r="DC6" s="3"/>
      <c r="DD6" s="3"/>
    </row>
    <row r="7" spans="1:108" ht="21" customHeight="1" thickTop="1" thickBot="1" x14ac:dyDescent="0.35">
      <c r="A7" s="445"/>
      <c r="B7" s="460"/>
      <c r="C7" s="460"/>
      <c r="D7" s="460"/>
      <c r="E7" s="460"/>
      <c r="F7" s="460"/>
      <c r="G7" s="460"/>
      <c r="H7" s="526"/>
      <c r="I7" s="529"/>
      <c r="J7" s="531"/>
      <c r="K7" s="460"/>
      <c r="L7" s="502"/>
      <c r="M7" s="500"/>
      <c r="N7" s="176">
        <v>3</v>
      </c>
      <c r="O7" s="181"/>
      <c r="P7" s="179"/>
      <c r="Q7" s="179"/>
      <c r="R7" s="179"/>
      <c r="S7" s="179"/>
      <c r="T7" s="179"/>
      <c r="U7" s="179"/>
      <c r="V7" s="179"/>
      <c r="W7" s="101">
        <f t="shared" si="1"/>
        <v>0</v>
      </c>
      <c r="X7" s="102" t="str">
        <f t="shared" si="0"/>
        <v>DEBIL</v>
      </c>
      <c r="Y7" s="180"/>
      <c r="Z7" s="103" t="str">
        <f t="shared" si="2"/>
        <v/>
      </c>
      <c r="AA7" s="101" t="str">
        <f t="shared" si="3"/>
        <v>SI</v>
      </c>
      <c r="AB7" s="179"/>
      <c r="AC7" s="504"/>
      <c r="AD7" s="504"/>
      <c r="AE7" s="505"/>
      <c r="AF7" s="505"/>
      <c r="AG7" s="506"/>
      <c r="AH7" s="506"/>
      <c r="AI7" s="498"/>
      <c r="AJ7" s="498"/>
      <c r="AK7" s="502"/>
      <c r="AL7" s="500"/>
      <c r="AM7" s="508"/>
      <c r="AN7" s="177"/>
      <c r="AO7" s="187"/>
      <c r="AP7" s="186"/>
      <c r="AQ7" s="188"/>
      <c r="AR7" s="185"/>
      <c r="AS7" s="188"/>
      <c r="AT7" s="185"/>
      <c r="AU7" s="188"/>
      <c r="AV7" s="185"/>
      <c r="AW7" s="99"/>
      <c r="AX7" s="170"/>
      <c r="AY7" s="131"/>
      <c r="AZ7" s="185"/>
      <c r="BA7" s="185"/>
      <c r="BB7" s="176"/>
      <c r="BC7" s="188"/>
      <c r="BD7" s="188"/>
      <c r="BE7" s="185"/>
      <c r="BF7" s="185"/>
      <c r="BG7" s="176"/>
      <c r="BH7" s="188"/>
      <c r="BI7" s="188"/>
      <c r="BJ7" s="185"/>
      <c r="BK7" s="185"/>
      <c r="BL7" s="176"/>
      <c r="BM7" s="188"/>
      <c r="BN7" s="188"/>
      <c r="BO7" s="170"/>
      <c r="BP7" s="170"/>
      <c r="BQ7" s="335"/>
      <c r="BR7" s="336"/>
      <c r="BS7" s="99"/>
      <c r="BT7" s="99"/>
      <c r="BU7" s="170"/>
      <c r="BV7" s="170"/>
      <c r="BW7" s="170"/>
      <c r="BX7" s="99"/>
      <c r="BY7" s="170"/>
      <c r="BZ7" s="170"/>
      <c r="CA7" s="299"/>
      <c r="CB7" s="300"/>
      <c r="CC7" s="301"/>
      <c r="CD7" s="300"/>
      <c r="CE7" s="3"/>
      <c r="CF7" s="3"/>
      <c r="CG7" s="3"/>
      <c r="CH7" s="3"/>
      <c r="CI7" s="3"/>
      <c r="CJ7" s="3"/>
      <c r="CK7" s="3"/>
      <c r="CL7" s="3"/>
      <c r="CM7" s="3"/>
      <c r="CN7" s="3"/>
      <c r="CO7" s="3"/>
      <c r="CP7" s="3"/>
      <c r="CQ7" s="3"/>
      <c r="CR7" s="3"/>
      <c r="CS7" s="3"/>
      <c r="CT7" s="3"/>
      <c r="CU7" s="3"/>
      <c r="CV7" s="3"/>
      <c r="CW7" s="3"/>
      <c r="CX7" s="3"/>
      <c r="CY7" s="3"/>
      <c r="CZ7" s="3"/>
      <c r="DA7" s="3"/>
      <c r="DB7" s="3"/>
      <c r="DC7" s="3"/>
      <c r="DD7" s="3"/>
    </row>
    <row r="8" spans="1:108" ht="21" customHeight="1" thickTop="1" thickBot="1" x14ac:dyDescent="0.35">
      <c r="A8" s="445"/>
      <c r="B8" s="460"/>
      <c r="C8" s="460"/>
      <c r="D8" s="460"/>
      <c r="E8" s="460"/>
      <c r="F8" s="460"/>
      <c r="G8" s="460"/>
      <c r="H8" s="526"/>
      <c r="I8" s="529"/>
      <c r="J8" s="531"/>
      <c r="K8" s="460"/>
      <c r="L8" s="502"/>
      <c r="M8" s="500"/>
      <c r="N8" s="176">
        <v>4</v>
      </c>
      <c r="O8" s="178"/>
      <c r="P8" s="179"/>
      <c r="Q8" s="179"/>
      <c r="R8" s="179"/>
      <c r="S8" s="179"/>
      <c r="T8" s="179"/>
      <c r="U8" s="179"/>
      <c r="V8" s="179"/>
      <c r="W8" s="101">
        <f t="shared" si="1"/>
        <v>0</v>
      </c>
      <c r="X8" s="102" t="str">
        <f t="shared" si="0"/>
        <v>DEBIL</v>
      </c>
      <c r="Y8" s="180"/>
      <c r="Z8" s="103" t="str">
        <f t="shared" si="2"/>
        <v/>
      </c>
      <c r="AA8" s="101" t="str">
        <f t="shared" si="3"/>
        <v>SI</v>
      </c>
      <c r="AB8" s="179"/>
      <c r="AC8" s="504"/>
      <c r="AD8" s="504"/>
      <c r="AE8" s="505"/>
      <c r="AF8" s="505"/>
      <c r="AG8" s="506"/>
      <c r="AH8" s="506"/>
      <c r="AI8" s="498"/>
      <c r="AJ8" s="498"/>
      <c r="AK8" s="502"/>
      <c r="AL8" s="500"/>
      <c r="AM8" s="508"/>
      <c r="AN8" s="177"/>
      <c r="AO8" s="187"/>
      <c r="AP8" s="186"/>
      <c r="AQ8" s="188"/>
      <c r="AR8" s="185"/>
      <c r="AS8" s="188"/>
      <c r="AT8" s="185"/>
      <c r="AU8" s="188"/>
      <c r="AV8" s="185"/>
      <c r="AW8" s="99"/>
      <c r="AX8" s="170"/>
      <c r="AY8" s="131"/>
      <c r="AZ8" s="185"/>
      <c r="BA8" s="185"/>
      <c r="BB8" s="176"/>
      <c r="BC8" s="188"/>
      <c r="BD8" s="188"/>
      <c r="BE8" s="185"/>
      <c r="BF8" s="185"/>
      <c r="BG8" s="176"/>
      <c r="BH8" s="188"/>
      <c r="BI8" s="188"/>
      <c r="BJ8" s="185"/>
      <c r="BK8" s="185"/>
      <c r="BL8" s="176"/>
      <c r="BM8" s="188"/>
      <c r="BN8" s="188"/>
      <c r="BO8" s="170"/>
      <c r="BP8" s="170"/>
      <c r="BQ8" s="131"/>
      <c r="BR8" s="99"/>
      <c r="BS8" s="99"/>
      <c r="BT8" s="99"/>
      <c r="BU8" s="170"/>
      <c r="BV8" s="170"/>
      <c r="BW8" s="170"/>
      <c r="BX8" s="99"/>
      <c r="BY8" s="170"/>
      <c r="BZ8" s="170"/>
      <c r="CA8" s="299"/>
      <c r="CB8" s="300"/>
      <c r="CC8" s="301"/>
      <c r="CD8" s="300"/>
      <c r="CE8" s="3"/>
      <c r="CF8" s="3"/>
      <c r="CG8" s="3"/>
      <c r="CH8" s="3"/>
      <c r="CI8" s="3"/>
      <c r="CJ8" s="3"/>
      <c r="CK8" s="3"/>
      <c r="CL8" s="3"/>
      <c r="CM8" s="3"/>
      <c r="CN8" s="3"/>
      <c r="CO8" s="3"/>
      <c r="CP8" s="3"/>
      <c r="CQ8" s="3"/>
      <c r="CR8" s="3"/>
      <c r="CS8" s="3"/>
      <c r="CT8" s="3"/>
      <c r="CU8" s="3"/>
      <c r="CV8" s="3"/>
      <c r="CW8" s="3"/>
      <c r="CX8" s="3"/>
      <c r="CY8" s="3"/>
      <c r="CZ8" s="3"/>
      <c r="DA8" s="3"/>
      <c r="DB8" s="3"/>
      <c r="DC8" s="3"/>
      <c r="DD8" s="3"/>
    </row>
    <row r="9" spans="1:108" ht="21" customHeight="1" thickTop="1" thickBot="1" x14ac:dyDescent="0.35">
      <c r="A9" s="445"/>
      <c r="B9" s="460"/>
      <c r="C9" s="460"/>
      <c r="D9" s="460"/>
      <c r="E9" s="460"/>
      <c r="F9" s="460"/>
      <c r="G9" s="460"/>
      <c r="H9" s="526"/>
      <c r="I9" s="529"/>
      <c r="J9" s="531"/>
      <c r="K9" s="460"/>
      <c r="L9" s="502"/>
      <c r="M9" s="500"/>
      <c r="N9" s="176">
        <v>5</v>
      </c>
      <c r="O9" s="178"/>
      <c r="P9" s="179"/>
      <c r="Q9" s="179"/>
      <c r="R9" s="179"/>
      <c r="S9" s="179"/>
      <c r="T9" s="179"/>
      <c r="U9" s="179"/>
      <c r="V9" s="179"/>
      <c r="W9" s="101">
        <f t="shared" si="1"/>
        <v>0</v>
      </c>
      <c r="X9" s="102" t="str">
        <f t="shared" si="0"/>
        <v>DEBIL</v>
      </c>
      <c r="Y9" s="180"/>
      <c r="Z9" s="103" t="str">
        <f t="shared" si="2"/>
        <v/>
      </c>
      <c r="AA9" s="101" t="str">
        <f t="shared" si="3"/>
        <v>SI</v>
      </c>
      <c r="AB9" s="179"/>
      <c r="AC9" s="504"/>
      <c r="AD9" s="504"/>
      <c r="AE9" s="505"/>
      <c r="AF9" s="505"/>
      <c r="AG9" s="506"/>
      <c r="AH9" s="506"/>
      <c r="AI9" s="498"/>
      <c r="AJ9" s="498"/>
      <c r="AK9" s="502"/>
      <c r="AL9" s="500"/>
      <c r="AM9" s="508"/>
      <c r="AN9" s="177"/>
      <c r="AO9" s="187"/>
      <c r="AP9" s="186"/>
      <c r="AQ9" s="188"/>
      <c r="AR9" s="185"/>
      <c r="AS9" s="188"/>
      <c r="AT9" s="185"/>
      <c r="AU9" s="188"/>
      <c r="AV9" s="185"/>
      <c r="AW9" s="99"/>
      <c r="AX9" s="170"/>
      <c r="AY9" s="131"/>
      <c r="AZ9" s="185"/>
      <c r="BA9" s="185"/>
      <c r="BB9" s="176"/>
      <c r="BC9" s="188"/>
      <c r="BD9" s="188"/>
      <c r="BE9" s="185"/>
      <c r="BF9" s="185"/>
      <c r="BG9" s="176"/>
      <c r="BH9" s="188"/>
      <c r="BI9" s="188"/>
      <c r="BJ9" s="185"/>
      <c r="BK9" s="185"/>
      <c r="BL9" s="176"/>
      <c r="BM9" s="188"/>
      <c r="BN9" s="188"/>
      <c r="BO9" s="170"/>
      <c r="BP9" s="170"/>
      <c r="BQ9" s="131"/>
      <c r="BR9" s="99"/>
      <c r="BS9" s="99"/>
      <c r="BT9" s="99"/>
      <c r="BU9" s="170"/>
      <c r="BV9" s="170"/>
      <c r="BW9" s="170"/>
      <c r="BX9" s="99"/>
      <c r="BY9" s="170"/>
      <c r="BZ9" s="170"/>
      <c r="CA9" s="299"/>
      <c r="CB9" s="300"/>
      <c r="CC9" s="301"/>
      <c r="CD9" s="300"/>
      <c r="CE9" s="3"/>
      <c r="CF9" s="3"/>
      <c r="CG9" s="3"/>
      <c r="CH9" s="3"/>
      <c r="CI9" s="3"/>
      <c r="CJ9" s="3"/>
      <c r="CK9" s="3"/>
      <c r="CL9" s="3"/>
      <c r="CM9" s="3"/>
      <c r="CN9" s="3"/>
      <c r="CO9" s="3"/>
      <c r="CP9" s="3"/>
      <c r="CQ9" s="3"/>
      <c r="CR9" s="3"/>
      <c r="CS9" s="3"/>
      <c r="CT9" s="3"/>
      <c r="CU9" s="3"/>
      <c r="CV9" s="3"/>
      <c r="CW9" s="3"/>
      <c r="CX9" s="3"/>
      <c r="CY9" s="3"/>
      <c r="CZ9" s="3"/>
      <c r="DA9" s="3"/>
      <c r="DB9" s="3"/>
      <c r="DC9" s="3"/>
      <c r="DD9" s="3"/>
    </row>
    <row r="10" spans="1:108" ht="21" customHeight="1" thickTop="1" thickBot="1" x14ac:dyDescent="0.35">
      <c r="A10" s="445"/>
      <c r="B10" s="461"/>
      <c r="C10" s="461"/>
      <c r="D10" s="461"/>
      <c r="E10" s="461"/>
      <c r="F10" s="461"/>
      <c r="G10" s="461"/>
      <c r="H10" s="527"/>
      <c r="I10" s="529"/>
      <c r="J10" s="532"/>
      <c r="K10" s="461"/>
      <c r="L10" s="502"/>
      <c r="M10" s="501"/>
      <c r="N10" s="176">
        <v>6</v>
      </c>
      <c r="O10" s="178"/>
      <c r="P10" s="179"/>
      <c r="Q10" s="179"/>
      <c r="R10" s="179"/>
      <c r="S10" s="179"/>
      <c r="T10" s="179"/>
      <c r="U10" s="179"/>
      <c r="V10" s="179"/>
      <c r="W10" s="101">
        <f t="shared" si="1"/>
        <v>0</v>
      </c>
      <c r="X10" s="102" t="str">
        <f t="shared" si="0"/>
        <v>DEBIL</v>
      </c>
      <c r="Y10" s="180"/>
      <c r="Z10" s="103" t="str">
        <f t="shared" si="2"/>
        <v/>
      </c>
      <c r="AA10" s="101" t="str">
        <f t="shared" si="3"/>
        <v>SI</v>
      </c>
      <c r="AB10" s="179"/>
      <c r="AC10" s="504"/>
      <c r="AD10" s="504"/>
      <c r="AE10" s="505"/>
      <c r="AF10" s="505"/>
      <c r="AG10" s="506"/>
      <c r="AH10" s="506"/>
      <c r="AI10" s="498"/>
      <c r="AJ10" s="498"/>
      <c r="AK10" s="502"/>
      <c r="AL10" s="501"/>
      <c r="AM10" s="509"/>
      <c r="AN10" s="177"/>
      <c r="AO10" s="187"/>
      <c r="AP10" s="186"/>
      <c r="AQ10" s="188"/>
      <c r="AR10" s="185"/>
      <c r="AS10" s="188"/>
      <c r="AT10" s="185"/>
      <c r="AU10" s="188"/>
      <c r="AV10" s="185"/>
      <c r="AW10" s="99"/>
      <c r="AX10" s="170"/>
      <c r="AY10" s="131"/>
      <c r="AZ10" s="185"/>
      <c r="BA10" s="185"/>
      <c r="BB10" s="176"/>
      <c r="BC10" s="188"/>
      <c r="BD10" s="188"/>
      <c r="BE10" s="185"/>
      <c r="BF10" s="185"/>
      <c r="BG10" s="176"/>
      <c r="BH10" s="188"/>
      <c r="BI10" s="188"/>
      <c r="BJ10" s="185"/>
      <c r="BK10" s="185"/>
      <c r="BL10" s="176"/>
      <c r="BM10" s="188"/>
      <c r="BN10" s="188"/>
      <c r="BO10" s="170"/>
      <c r="BP10" s="170"/>
      <c r="BQ10" s="131"/>
      <c r="BR10" s="99"/>
      <c r="BS10" s="99"/>
      <c r="BT10" s="99"/>
      <c r="BU10" s="170"/>
      <c r="BV10" s="170"/>
      <c r="BW10" s="170"/>
      <c r="BX10" s="99"/>
      <c r="BY10" s="170"/>
      <c r="BZ10" s="170"/>
      <c r="CA10" s="299"/>
      <c r="CB10" s="300"/>
      <c r="CC10" s="301"/>
      <c r="CD10" s="300"/>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row>
    <row r="11" spans="1:108" ht="409.5" customHeight="1" x14ac:dyDescent="0.3">
      <c r="A11" s="445">
        <v>2</v>
      </c>
      <c r="B11" s="474" t="s">
        <v>72</v>
      </c>
      <c r="C11" s="474" t="s">
        <v>287</v>
      </c>
      <c r="D11" s="474" t="s">
        <v>288</v>
      </c>
      <c r="E11" s="474" t="s">
        <v>432</v>
      </c>
      <c r="F11" s="474" t="s">
        <v>196</v>
      </c>
      <c r="G11" s="474" t="s">
        <v>433</v>
      </c>
      <c r="H11" s="474" t="s">
        <v>434</v>
      </c>
      <c r="I11" s="533" t="s">
        <v>372</v>
      </c>
      <c r="J11" s="523">
        <v>1</v>
      </c>
      <c r="K11" s="523">
        <v>4</v>
      </c>
      <c r="L11" s="502">
        <f>+(J11*K11)*4</f>
        <v>16</v>
      </c>
      <c r="M11" s="499" t="str">
        <f>IF(OR(AND(J11=3,K11=4),AND(J11=2,K11=5),AND(J11=2,K11=5),AND(L11=20),AND(L11&gt;=52,L11&lt;=100)),"ZONA RIESGO EXTREMA",IF(OR(AND(J11=5,K11=2),AND(J11=4,K11=3),AND(J11=1,K11=4),AND(L11=16),AND(L11&gt;=28,L11&lt;=48)),"ZONA RIESGO ALTA",IF(OR(AND(J11=1,K11=3),AND(J11=4,K11=1),AND(L11=24)),"ZONA RIESGO MODERADA",IF(AND(L11&gt;=4,L11&lt;=16),"ZONA RIESGO BAJA"))))</f>
        <v>ZONA RIESGO ALTA</v>
      </c>
      <c r="N11" s="176">
        <v>1</v>
      </c>
      <c r="O11" s="255" t="s">
        <v>435</v>
      </c>
      <c r="P11" s="246">
        <v>15</v>
      </c>
      <c r="Q11" s="246">
        <v>15</v>
      </c>
      <c r="R11" s="246">
        <v>15</v>
      </c>
      <c r="S11" s="246">
        <v>15</v>
      </c>
      <c r="T11" s="246">
        <v>15</v>
      </c>
      <c r="U11" s="246">
        <v>15</v>
      </c>
      <c r="V11" s="246">
        <v>10</v>
      </c>
      <c r="W11" s="248">
        <f t="shared" si="1"/>
        <v>100</v>
      </c>
      <c r="X11" s="249" t="str">
        <f t="shared" si="0"/>
        <v>FUERTE</v>
      </c>
      <c r="Y11" s="250" t="s">
        <v>374</v>
      </c>
      <c r="Z11" s="251" t="str">
        <f t="shared" si="2"/>
        <v>MODERADO</v>
      </c>
      <c r="AA11" s="248" t="str">
        <f t="shared" si="3"/>
        <v>SI</v>
      </c>
      <c r="AB11" s="246" t="s">
        <v>436</v>
      </c>
      <c r="AC11" s="503">
        <f>IF(AND(W11&gt;0,SUM(W12:W16)=0),W11,IF(AND(SUM(W11:W12)&gt;0,SUM(W13:W16)=0),AVERAGE(W11:W12),IF(AND(SUM(W11:W13)&gt;0,SUM(W14:W16)=0),AVERAGE(W11:W13),IF(AND(SUM(W11:W14)&gt;0,SUM(W15:W16)=0),AVERAGE(W11:W14),IF(AND(SUM(W11:W15)&gt;0,W16=0),AVERAGE(W11:W15),AVERAGE(W11:W16))))))</f>
        <v>100</v>
      </c>
      <c r="AD11" s="503" t="str">
        <f>IF(AND(AC11&gt;=50,AC11&lt;=99),"MODERADO",IF(AND(AC11=100), "FUERTE",IF(AND(AC11&lt;50), "DEBIL")))</f>
        <v>FUERTE</v>
      </c>
      <c r="AE11" s="518" t="s">
        <v>376</v>
      </c>
      <c r="AF11" s="518" t="s">
        <v>377</v>
      </c>
      <c r="AG11" s="512">
        <f>IFERROR(_xlfn.IFS(AND(AD11="MODERADO",AE11="Directamente"),1,AND(AD11="FUERTE",AE11="Directamente"),2),"0")</f>
        <v>2</v>
      </c>
      <c r="AH11" s="512">
        <f>IFERROR(_xlfn.IFS(AND(AD11="MODERADO",AF11="Directamente"),1,AND(AD11="FUERTE",AF11="Directamente"),2,AND(AD11="FUERTE",AF11="Indirectamente"),1),"0")</f>
        <v>1</v>
      </c>
      <c r="AI11" s="497">
        <v>1</v>
      </c>
      <c r="AJ11" s="497">
        <v>3</v>
      </c>
      <c r="AK11" s="515">
        <f>+(AI11*AJ11)*4</f>
        <v>12</v>
      </c>
      <c r="AL11" s="516" t="str">
        <f>IF(OR(AND(AI11=3,AJ11=4),AND(AI11=2,AJ11=5),AND(AI11=2,AJ11=5),AND(AK11=20),AND(AK11&gt;=52,AK11&lt;=100)),"ZONA RIESGO EXTREMA",IF(OR(AND(AI11=5,AJ11=2),AND(AI11=4,AJ11=3),AND(AI11=1,AJ11=4),AND(AK11=16),AND(AK11&gt;=28,AK11&lt;=48)),"ZONA RIESGO ALTA",IF(OR(AND(AI11=1,AJ11=3),AND(AI11=4,AJ11=1),AND(AK11=24)),"ZONA RIESGO MODERADA",IF(AND(AK11&gt;=4,AK11&lt;=16),"ZONA RIESGO BAJA"))))</f>
        <v>ZONA RIESGO MODERADA</v>
      </c>
      <c r="AM11" s="507" t="s">
        <v>378</v>
      </c>
      <c r="AN11" s="254" t="s">
        <v>437</v>
      </c>
      <c r="AO11" s="254" t="s">
        <v>438</v>
      </c>
      <c r="AP11" s="186">
        <v>45291</v>
      </c>
      <c r="AQ11" s="266" t="s">
        <v>439</v>
      </c>
      <c r="AR11" s="270" t="s">
        <v>440</v>
      </c>
      <c r="AS11" s="284">
        <v>45056</v>
      </c>
      <c r="AT11" s="285" t="s">
        <v>441</v>
      </c>
      <c r="AU11" s="315" t="s">
        <v>442</v>
      </c>
      <c r="AV11" s="316" t="s">
        <v>443</v>
      </c>
      <c r="AW11" s="133" t="s">
        <v>851</v>
      </c>
      <c r="AX11" s="359" t="s">
        <v>850</v>
      </c>
      <c r="AY11" s="131"/>
      <c r="AZ11" s="266" t="s">
        <v>444</v>
      </c>
      <c r="BA11" s="267" t="s">
        <v>445</v>
      </c>
      <c r="BB11" s="268"/>
      <c r="BC11" s="269"/>
      <c r="BD11" s="269"/>
      <c r="BE11" s="315" t="s">
        <v>446</v>
      </c>
      <c r="BF11" s="267" t="s">
        <v>447</v>
      </c>
      <c r="BG11" s="185" t="s">
        <v>448</v>
      </c>
      <c r="BH11" s="199" t="s">
        <v>449</v>
      </c>
      <c r="BI11" s="188" t="s">
        <v>223</v>
      </c>
      <c r="BJ11" s="315" t="s">
        <v>442</v>
      </c>
      <c r="BK11" s="351" t="s">
        <v>450</v>
      </c>
      <c r="BL11" s="323" t="s">
        <v>451</v>
      </c>
      <c r="BM11" s="284" t="s">
        <v>452</v>
      </c>
      <c r="BN11" s="188"/>
      <c r="BO11" s="170" t="s">
        <v>501</v>
      </c>
      <c r="BP11" s="353" t="s">
        <v>849</v>
      </c>
      <c r="BQ11" s="349" t="s">
        <v>453</v>
      </c>
      <c r="BR11" s="349" t="s">
        <v>454</v>
      </c>
      <c r="BS11" s="99"/>
      <c r="BT11" s="133" t="s">
        <v>402</v>
      </c>
      <c r="BU11" s="170"/>
      <c r="BV11" s="170"/>
      <c r="BW11" s="170"/>
      <c r="BX11" s="133" t="s">
        <v>835</v>
      </c>
      <c r="BY11" s="170" t="s">
        <v>852</v>
      </c>
      <c r="BZ11" s="170" t="s">
        <v>855</v>
      </c>
      <c r="CA11" s="298" t="s">
        <v>403</v>
      </c>
      <c r="CB11" s="358" t="s">
        <v>455</v>
      </c>
      <c r="CC11" s="358" t="s">
        <v>456</v>
      </c>
      <c r="CD11" s="360" t="s">
        <v>457</v>
      </c>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row>
    <row r="12" spans="1:108" ht="409.5" customHeight="1" x14ac:dyDescent="0.3">
      <c r="A12" s="445"/>
      <c r="B12" s="460"/>
      <c r="C12" s="460"/>
      <c r="D12" s="460"/>
      <c r="E12" s="460"/>
      <c r="F12" s="460"/>
      <c r="G12" s="460"/>
      <c r="H12" s="460"/>
      <c r="I12" s="460"/>
      <c r="J12" s="460"/>
      <c r="K12" s="460"/>
      <c r="L12" s="502"/>
      <c r="M12" s="500"/>
      <c r="N12" s="176">
        <v>2</v>
      </c>
      <c r="O12" s="255" t="s">
        <v>458</v>
      </c>
      <c r="P12" s="245">
        <v>15</v>
      </c>
      <c r="Q12" s="246">
        <v>15</v>
      </c>
      <c r="R12" s="247">
        <v>15</v>
      </c>
      <c r="S12" s="247">
        <v>15</v>
      </c>
      <c r="T12" s="247">
        <v>15</v>
      </c>
      <c r="U12" s="247">
        <v>15</v>
      </c>
      <c r="V12" s="247">
        <v>10</v>
      </c>
      <c r="W12" s="248">
        <f t="shared" si="1"/>
        <v>100</v>
      </c>
      <c r="X12" s="249" t="str">
        <f t="shared" si="0"/>
        <v>FUERTE</v>
      </c>
      <c r="Y12" s="250" t="s">
        <v>459</v>
      </c>
      <c r="Z12" s="251" t="str">
        <f t="shared" si="2"/>
        <v>FUERTE</v>
      </c>
      <c r="AA12" s="248" t="str">
        <f t="shared" si="3"/>
        <v>NO</v>
      </c>
      <c r="AB12" s="247"/>
      <c r="AC12" s="503"/>
      <c r="AD12" s="503"/>
      <c r="AE12" s="519"/>
      <c r="AF12" s="519"/>
      <c r="AG12" s="512"/>
      <c r="AH12" s="512"/>
      <c r="AI12" s="497"/>
      <c r="AJ12" s="497"/>
      <c r="AK12" s="515"/>
      <c r="AL12" s="517"/>
      <c r="AM12" s="510"/>
      <c r="AN12" s="257" t="s">
        <v>460</v>
      </c>
      <c r="AO12" s="254" t="s">
        <v>438</v>
      </c>
      <c r="AP12" s="186">
        <v>45291</v>
      </c>
      <c r="AQ12" s="266" t="s">
        <v>439</v>
      </c>
      <c r="AR12" s="270" t="s">
        <v>461</v>
      </c>
      <c r="AS12" s="284">
        <v>45056</v>
      </c>
      <c r="AT12" s="285" t="s">
        <v>462</v>
      </c>
      <c r="AU12" s="315" t="s">
        <v>442</v>
      </c>
      <c r="AV12" s="286" t="s">
        <v>463</v>
      </c>
      <c r="AW12" s="133" t="s">
        <v>851</v>
      </c>
      <c r="AX12" s="357" t="s">
        <v>464</v>
      </c>
      <c r="AY12" s="131"/>
      <c r="AZ12" s="266" t="s">
        <v>444</v>
      </c>
      <c r="BA12" s="267" t="s">
        <v>465</v>
      </c>
      <c r="BB12" s="268"/>
      <c r="BC12" s="269"/>
      <c r="BD12" s="269"/>
      <c r="BE12" s="315" t="s">
        <v>446</v>
      </c>
      <c r="BF12" s="267" t="s">
        <v>466</v>
      </c>
      <c r="BG12" s="185" t="s">
        <v>448</v>
      </c>
      <c r="BH12" s="199" t="s">
        <v>467</v>
      </c>
      <c r="BI12" s="188" t="s">
        <v>223</v>
      </c>
      <c r="BJ12" s="315" t="s">
        <v>442</v>
      </c>
      <c r="BK12" s="352" t="s">
        <v>468</v>
      </c>
      <c r="BL12" s="323" t="s">
        <v>451</v>
      </c>
      <c r="BM12" s="315" t="s">
        <v>469</v>
      </c>
      <c r="BN12" s="188"/>
      <c r="BO12" s="170" t="s">
        <v>501</v>
      </c>
      <c r="BP12" s="350" t="s">
        <v>470</v>
      </c>
      <c r="BQ12" s="349" t="s">
        <v>453</v>
      </c>
      <c r="BR12" s="354" t="s">
        <v>471</v>
      </c>
      <c r="BS12" s="99"/>
      <c r="BT12" s="133" t="s">
        <v>428</v>
      </c>
      <c r="BU12" s="170"/>
      <c r="BV12" s="170"/>
      <c r="BW12" s="170"/>
      <c r="BX12" s="133" t="s">
        <v>835</v>
      </c>
      <c r="BY12" s="170" t="s">
        <v>853</v>
      </c>
      <c r="BZ12" s="170" t="s">
        <v>854</v>
      </c>
      <c r="CA12" s="298" t="s">
        <v>403</v>
      </c>
      <c r="CB12" s="358" t="s">
        <v>472</v>
      </c>
      <c r="CC12" s="358" t="s">
        <v>473</v>
      </c>
      <c r="CD12" s="358" t="s">
        <v>474</v>
      </c>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row>
    <row r="13" spans="1:108" ht="21" customHeight="1" thickTop="1" thickBot="1" x14ac:dyDescent="0.35">
      <c r="A13" s="445"/>
      <c r="B13" s="460"/>
      <c r="C13" s="460"/>
      <c r="D13" s="460"/>
      <c r="E13" s="460"/>
      <c r="F13" s="460"/>
      <c r="G13" s="460"/>
      <c r="H13" s="460"/>
      <c r="I13" s="460"/>
      <c r="J13" s="460"/>
      <c r="K13" s="460"/>
      <c r="L13" s="502"/>
      <c r="M13" s="500"/>
      <c r="N13" s="176">
        <v>3</v>
      </c>
      <c r="O13" s="183"/>
      <c r="P13" s="182"/>
      <c r="Q13" s="182"/>
      <c r="R13" s="182"/>
      <c r="S13" s="182"/>
      <c r="T13" s="182"/>
      <c r="U13" s="182"/>
      <c r="V13" s="182"/>
      <c r="W13" s="101">
        <f t="shared" si="1"/>
        <v>0</v>
      </c>
      <c r="X13" s="102" t="str">
        <f t="shared" si="0"/>
        <v>DEBIL</v>
      </c>
      <c r="Y13" s="180"/>
      <c r="Z13" s="103" t="str">
        <f t="shared" si="2"/>
        <v/>
      </c>
      <c r="AA13" s="101" t="str">
        <f t="shared" si="3"/>
        <v>SI</v>
      </c>
      <c r="AB13" s="182"/>
      <c r="AC13" s="504"/>
      <c r="AD13" s="504"/>
      <c r="AE13" s="520"/>
      <c r="AF13" s="520"/>
      <c r="AG13" s="506"/>
      <c r="AH13" s="506"/>
      <c r="AI13" s="498"/>
      <c r="AJ13" s="498"/>
      <c r="AK13" s="502"/>
      <c r="AL13" s="500"/>
      <c r="AM13" s="508"/>
      <c r="AO13" s="176"/>
      <c r="AP13" s="188"/>
      <c r="AQ13" s="188"/>
      <c r="AR13" s="185"/>
      <c r="AS13" s="188"/>
      <c r="AT13" s="185"/>
      <c r="AU13" s="188"/>
      <c r="AV13" s="185"/>
      <c r="AW13" s="99"/>
      <c r="AX13" s="170"/>
      <c r="AY13" s="131"/>
      <c r="AZ13" s="185"/>
      <c r="BA13" s="185"/>
      <c r="BB13" s="176"/>
      <c r="BC13" s="188"/>
      <c r="BD13" s="188"/>
      <c r="BE13" s="185"/>
      <c r="BF13" s="185"/>
      <c r="BG13" s="176"/>
      <c r="BH13" s="188"/>
      <c r="BI13" s="188"/>
      <c r="BJ13" s="185"/>
      <c r="BK13" s="185"/>
      <c r="BL13" s="176"/>
      <c r="BM13" s="188"/>
      <c r="BN13" s="188"/>
      <c r="BO13" s="170"/>
      <c r="BP13" s="170"/>
      <c r="BQ13" s="131"/>
      <c r="BR13" s="99"/>
      <c r="BS13" s="99"/>
      <c r="BT13" s="99"/>
      <c r="BU13" s="170"/>
      <c r="BV13" s="170"/>
      <c r="BW13" s="170"/>
      <c r="BX13" s="99"/>
      <c r="BY13" s="170"/>
      <c r="BZ13" s="170"/>
      <c r="CA13" s="299"/>
      <c r="CB13" s="300"/>
      <c r="CC13" s="301"/>
      <c r="CD13" s="300"/>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row>
    <row r="14" spans="1:108" ht="21" customHeight="1" thickTop="1" thickBot="1" x14ac:dyDescent="0.35">
      <c r="A14" s="445"/>
      <c r="B14" s="460"/>
      <c r="C14" s="460"/>
      <c r="D14" s="460"/>
      <c r="E14" s="460"/>
      <c r="F14" s="460"/>
      <c r="G14" s="460"/>
      <c r="H14" s="460"/>
      <c r="I14" s="460"/>
      <c r="J14" s="460"/>
      <c r="K14" s="460"/>
      <c r="L14" s="502"/>
      <c r="M14" s="500"/>
      <c r="N14" s="176">
        <v>4</v>
      </c>
      <c r="O14" s="184"/>
      <c r="P14" s="182"/>
      <c r="Q14" s="182"/>
      <c r="R14" s="182"/>
      <c r="S14" s="182"/>
      <c r="T14" s="182"/>
      <c r="U14" s="182"/>
      <c r="V14" s="182"/>
      <c r="W14" s="101">
        <f t="shared" si="1"/>
        <v>0</v>
      </c>
      <c r="X14" s="102" t="str">
        <f t="shared" si="0"/>
        <v>DEBIL</v>
      </c>
      <c r="Y14" s="180"/>
      <c r="Z14" s="103" t="str">
        <f t="shared" si="2"/>
        <v/>
      </c>
      <c r="AA14" s="101" t="str">
        <f t="shared" si="3"/>
        <v>SI</v>
      </c>
      <c r="AB14" s="182"/>
      <c r="AC14" s="504"/>
      <c r="AD14" s="504"/>
      <c r="AE14" s="520"/>
      <c r="AF14" s="520"/>
      <c r="AG14" s="506"/>
      <c r="AH14" s="506"/>
      <c r="AI14" s="498"/>
      <c r="AJ14" s="498"/>
      <c r="AK14" s="502"/>
      <c r="AL14" s="500"/>
      <c r="AM14" s="508"/>
      <c r="AN14" s="185"/>
      <c r="AO14" s="176"/>
      <c r="AP14" s="188"/>
      <c r="AQ14" s="188"/>
      <c r="AR14" s="185"/>
      <c r="AS14" s="188"/>
      <c r="AT14" s="185"/>
      <c r="AU14" s="188"/>
      <c r="AV14" s="185"/>
      <c r="AW14" s="99"/>
      <c r="AX14" s="170"/>
      <c r="AY14" s="131"/>
      <c r="AZ14" s="185"/>
      <c r="BA14" s="185"/>
      <c r="BB14" s="176"/>
      <c r="BC14" s="188"/>
      <c r="BD14" s="188"/>
      <c r="BE14" s="185"/>
      <c r="BF14" s="185"/>
      <c r="BG14" s="176"/>
      <c r="BH14" s="188"/>
      <c r="BI14" s="188"/>
      <c r="BJ14" s="185"/>
      <c r="BK14" s="185"/>
      <c r="BL14" s="176"/>
      <c r="BM14" s="188"/>
      <c r="BN14" s="188"/>
      <c r="BO14" s="170"/>
      <c r="BP14" s="170"/>
      <c r="BQ14" s="131"/>
      <c r="BR14" s="99"/>
      <c r="BS14" s="99"/>
      <c r="BT14" s="99"/>
      <c r="BU14" s="170"/>
      <c r="BV14" s="170"/>
      <c r="BW14" s="170"/>
      <c r="BX14" s="99"/>
      <c r="BY14" s="170"/>
      <c r="BZ14" s="170"/>
      <c r="CA14" s="299"/>
      <c r="CB14" s="300"/>
      <c r="CC14" s="301"/>
      <c r="CD14" s="300"/>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row>
    <row r="15" spans="1:108" ht="21" customHeight="1" thickTop="1" thickBot="1" x14ac:dyDescent="0.35">
      <c r="A15" s="445"/>
      <c r="B15" s="460"/>
      <c r="C15" s="460"/>
      <c r="D15" s="460"/>
      <c r="E15" s="460"/>
      <c r="F15" s="460"/>
      <c r="G15" s="460"/>
      <c r="H15" s="460"/>
      <c r="I15" s="460"/>
      <c r="J15" s="460"/>
      <c r="K15" s="460"/>
      <c r="L15" s="502"/>
      <c r="M15" s="500"/>
      <c r="N15" s="176">
        <v>5</v>
      </c>
      <c r="O15" s="184"/>
      <c r="P15" s="182"/>
      <c r="Q15" s="182"/>
      <c r="R15" s="182"/>
      <c r="S15" s="182"/>
      <c r="T15" s="182"/>
      <c r="U15" s="182"/>
      <c r="V15" s="182"/>
      <c r="W15" s="101">
        <f t="shared" si="1"/>
        <v>0</v>
      </c>
      <c r="X15" s="102" t="str">
        <f t="shared" si="0"/>
        <v>DEBIL</v>
      </c>
      <c r="Y15" s="180"/>
      <c r="Z15" s="103" t="str">
        <f t="shared" si="2"/>
        <v/>
      </c>
      <c r="AA15" s="101" t="str">
        <f t="shared" si="3"/>
        <v>SI</v>
      </c>
      <c r="AB15" s="182"/>
      <c r="AC15" s="504"/>
      <c r="AD15" s="504"/>
      <c r="AE15" s="520"/>
      <c r="AF15" s="520"/>
      <c r="AG15" s="506"/>
      <c r="AH15" s="506"/>
      <c r="AI15" s="498"/>
      <c r="AJ15" s="498"/>
      <c r="AK15" s="502"/>
      <c r="AL15" s="500"/>
      <c r="AM15" s="508"/>
      <c r="AN15" s="185"/>
      <c r="AO15" s="176"/>
      <c r="AP15" s="188"/>
      <c r="AQ15" s="188"/>
      <c r="AR15" s="185"/>
      <c r="AS15" s="188"/>
      <c r="AT15" s="185"/>
      <c r="AU15" s="188"/>
      <c r="AV15" s="185"/>
      <c r="AW15" s="99"/>
      <c r="AX15" s="170"/>
      <c r="AY15" s="131"/>
      <c r="AZ15" s="185"/>
      <c r="BA15" s="185"/>
      <c r="BB15" s="176"/>
      <c r="BC15" s="188"/>
      <c r="BD15" s="188"/>
      <c r="BE15" s="185"/>
      <c r="BF15" s="185"/>
      <c r="BG15" s="176"/>
      <c r="BH15" s="188"/>
      <c r="BI15" s="188"/>
      <c r="BJ15" s="185"/>
      <c r="BK15" s="185"/>
      <c r="BL15" s="176"/>
      <c r="BM15" s="188"/>
      <c r="BN15" s="188"/>
      <c r="BO15" s="170"/>
      <c r="BP15" s="170"/>
      <c r="BQ15" s="131"/>
      <c r="BR15" s="99"/>
      <c r="BS15" s="99"/>
      <c r="BT15" s="99"/>
      <c r="BU15" s="170"/>
      <c r="BV15" s="170"/>
      <c r="BW15" s="170"/>
      <c r="BX15" s="99"/>
      <c r="BY15" s="170"/>
      <c r="BZ15" s="170"/>
      <c r="CA15" s="299"/>
      <c r="CB15" s="300"/>
      <c r="CC15" s="301"/>
      <c r="CD15" s="300"/>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row>
    <row r="16" spans="1:108" ht="21" customHeight="1" thickTop="1" thickBot="1" x14ac:dyDescent="0.35">
      <c r="A16" s="445"/>
      <c r="B16" s="461"/>
      <c r="C16" s="461"/>
      <c r="D16" s="461"/>
      <c r="E16" s="461"/>
      <c r="F16" s="461"/>
      <c r="G16" s="461"/>
      <c r="H16" s="461"/>
      <c r="I16" s="461"/>
      <c r="J16" s="461"/>
      <c r="K16" s="461"/>
      <c r="L16" s="502"/>
      <c r="M16" s="501"/>
      <c r="N16" s="176">
        <v>6</v>
      </c>
      <c r="O16" s="184"/>
      <c r="P16" s="182"/>
      <c r="Q16" s="182"/>
      <c r="R16" s="182"/>
      <c r="S16" s="182"/>
      <c r="T16" s="182"/>
      <c r="U16" s="182"/>
      <c r="V16" s="182"/>
      <c r="W16" s="101">
        <f t="shared" si="1"/>
        <v>0</v>
      </c>
      <c r="X16" s="102" t="str">
        <f t="shared" si="0"/>
        <v>DEBIL</v>
      </c>
      <c r="Y16" s="180"/>
      <c r="Z16" s="103" t="str">
        <f t="shared" si="2"/>
        <v/>
      </c>
      <c r="AA16" s="101" t="str">
        <f t="shared" si="3"/>
        <v>SI</v>
      </c>
      <c r="AB16" s="182"/>
      <c r="AC16" s="504"/>
      <c r="AD16" s="504"/>
      <c r="AE16" s="521"/>
      <c r="AF16" s="521"/>
      <c r="AG16" s="506"/>
      <c r="AH16" s="506"/>
      <c r="AI16" s="498"/>
      <c r="AJ16" s="498"/>
      <c r="AK16" s="502"/>
      <c r="AL16" s="501"/>
      <c r="AM16" s="509"/>
      <c r="AN16" s="185"/>
      <c r="AO16" s="176"/>
      <c r="AP16" s="188"/>
      <c r="AQ16" s="188"/>
      <c r="AR16" s="185"/>
      <c r="AS16" s="188"/>
      <c r="AT16" s="185"/>
      <c r="AU16" s="188"/>
      <c r="AV16" s="185"/>
      <c r="AW16" s="99"/>
      <c r="AX16" s="170"/>
      <c r="AY16" s="131"/>
      <c r="AZ16" s="185"/>
      <c r="BA16" s="185"/>
      <c r="BB16" s="176"/>
      <c r="BC16" s="188"/>
      <c r="BD16" s="188"/>
      <c r="BE16" s="185"/>
      <c r="BF16" s="185"/>
      <c r="BG16" s="176"/>
      <c r="BH16" s="188"/>
      <c r="BI16" s="188"/>
      <c r="BJ16" s="185"/>
      <c r="BK16" s="185"/>
      <c r="BL16" s="176"/>
      <c r="BM16" s="188"/>
      <c r="BN16" s="188"/>
      <c r="BO16" s="170"/>
      <c r="BP16" s="170"/>
      <c r="BQ16" s="131"/>
      <c r="BR16" s="99"/>
      <c r="BS16" s="99"/>
      <c r="BT16" s="99"/>
      <c r="BU16" s="170"/>
      <c r="BV16" s="170"/>
      <c r="BW16" s="170"/>
      <c r="BX16" s="99"/>
      <c r="BY16" s="170"/>
      <c r="BZ16" s="170"/>
      <c r="CA16" s="299"/>
      <c r="CB16" s="300"/>
      <c r="CC16" s="301"/>
      <c r="CD16" s="300"/>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row>
    <row r="17" spans="1:108" ht="408" customHeight="1" x14ac:dyDescent="0.3">
      <c r="A17" s="445">
        <v>3</v>
      </c>
      <c r="B17" s="474" t="s">
        <v>72</v>
      </c>
      <c r="C17" s="474" t="s">
        <v>287</v>
      </c>
      <c r="D17" s="474" t="s">
        <v>288</v>
      </c>
      <c r="E17" s="472" t="s">
        <v>475</v>
      </c>
      <c r="F17" s="446" t="s">
        <v>196</v>
      </c>
      <c r="G17" s="446" t="s">
        <v>476</v>
      </c>
      <c r="H17" s="446" t="s">
        <v>477</v>
      </c>
      <c r="I17" s="446" t="s">
        <v>372</v>
      </c>
      <c r="J17" s="523">
        <v>1</v>
      </c>
      <c r="K17" s="523">
        <v>4</v>
      </c>
      <c r="L17" s="502">
        <f>+(J17*K17)*4</f>
        <v>16</v>
      </c>
      <c r="M17" s="499" t="str">
        <f>IF(OR(AND(J17=3,K17=4),AND(J17=2,K17=5),AND(J17=2,K17=5),AND(L17=20),AND(L17&gt;=52,L17&lt;=100)),"ZONA RIESGO EXTREMA",IF(OR(AND(J17=5,K17=2),AND(J17=4,K17=3),AND(J17=1,K17=4),AND(L17=16),AND(L17&gt;=28,L17&lt;=48)),"ZONA RIESGO ALTA",IF(OR(AND(J17=1,K17=3),AND(J17=4,K17=1),AND(L17=24)),"ZONA RIESGO MODERADA",IF(AND(L17&gt;=4,L17&lt;=16),"ZONA RIESGO BAJA"))))</f>
        <v>ZONA RIESGO ALTA</v>
      </c>
      <c r="N17" s="176">
        <v>1</v>
      </c>
      <c r="O17" s="256" t="s">
        <v>478</v>
      </c>
      <c r="P17" s="245">
        <v>15</v>
      </c>
      <c r="Q17" s="246">
        <v>15</v>
      </c>
      <c r="R17" s="247">
        <v>15</v>
      </c>
      <c r="S17" s="247">
        <v>15</v>
      </c>
      <c r="T17" s="247">
        <v>15</v>
      </c>
      <c r="U17" s="247">
        <v>15</v>
      </c>
      <c r="V17" s="247">
        <v>10</v>
      </c>
      <c r="W17" s="248">
        <f t="shared" si="1"/>
        <v>100</v>
      </c>
      <c r="X17" s="249" t="str">
        <f t="shared" si="0"/>
        <v>FUERTE</v>
      </c>
      <c r="Y17" s="250" t="s">
        <v>459</v>
      </c>
      <c r="Z17" s="251" t="str">
        <f t="shared" si="2"/>
        <v>FUERTE</v>
      </c>
      <c r="AA17" s="248" t="str">
        <f t="shared" si="3"/>
        <v>NO</v>
      </c>
      <c r="AB17" s="247"/>
      <c r="AC17" s="503">
        <f>IF(AND(W17&gt;0,SUM(W18:W22)=0),W17,IF(AND(SUM(W17:W18)&gt;0,SUM(W19:W22)=0),AVERAGE(W17:W18),IF(AND(SUM(W17:W19)&gt;0,SUM(W20:W22)=0),AVERAGE(W17:W19),IF(AND(SUM(W17:W20)&gt;0,SUM(W21:W22)=0),AVERAGE(W17:W20),IF(AND(SUM(W17:W21)&gt;0,W22=0),AVERAGE(W17:W21),AVERAGE(W17:W22))))))</f>
        <v>100</v>
      </c>
      <c r="AD17" s="503" t="str">
        <f>IF(AND(AC17&gt;=50,AC17&lt;=99),"MODERADO",IF(AND(AC17=100), "FUERTE",IF(AND(AC17&lt;50), "DEBIL")))</f>
        <v>FUERTE</v>
      </c>
      <c r="AE17" s="522" t="s">
        <v>376</v>
      </c>
      <c r="AF17" s="522" t="s">
        <v>377</v>
      </c>
      <c r="AG17" s="512">
        <f>IFERROR(_xlfn.IFS(AND(AD17="MODERADO",AE17="Directamente"),1,AND(AD17="FUERTE",AE17="Directamente"),2),"0")</f>
        <v>2</v>
      </c>
      <c r="AH17" s="512">
        <f>IFERROR(_xlfn.IFS(AND(AD17="MODERADO",AF17="Directamente"),1,AND(AD17="FUERTE",AF17="Directamente"),2,AND(AD17="FUERTE",AF17="Indirectamente"),1),"0")</f>
        <v>1</v>
      </c>
      <c r="AI17" s="497">
        <v>1</v>
      </c>
      <c r="AJ17" s="497">
        <v>3</v>
      </c>
      <c r="AK17" s="515">
        <f>+(AI17*AJ17)*4</f>
        <v>12</v>
      </c>
      <c r="AL17" s="516" t="str">
        <f>IF(OR(AND(AI17=3,AJ17=4),AND(AI17=2,AJ17=5),AND(AI17=2,AJ17=5),AND(AK17=20),AND(AK17&gt;=52,AK17&lt;=100)),"ZONA RIESGO EXTREMA",IF(OR(AND(AI17=5,AJ17=2),AND(AI17=4,AJ17=3),AND(AI17=1,AJ17=4),AND(AK17=16),AND(AK17&gt;=28,AK17&lt;=48)),"ZONA RIESGO ALTA",IF(OR(AND(AI17=1,AJ17=3),AND(AI17=4,AJ17=1),AND(AK17=24)),"ZONA RIESGO MODERADA",IF(AND(AK17&gt;=4,AK17&lt;=16),"ZONA RIESGO BAJA"))))</f>
        <v>ZONA RIESGO MODERADA</v>
      </c>
      <c r="AM17" s="507" t="s">
        <v>378</v>
      </c>
      <c r="AN17" s="275" t="s">
        <v>479</v>
      </c>
      <c r="AO17" s="254" t="s">
        <v>480</v>
      </c>
      <c r="AP17" s="186">
        <v>45291</v>
      </c>
      <c r="AQ17" s="266" t="s">
        <v>439</v>
      </c>
      <c r="AR17" s="270" t="s">
        <v>481</v>
      </c>
      <c r="AS17" s="284">
        <v>45056</v>
      </c>
      <c r="AT17" s="286" t="s">
        <v>482</v>
      </c>
      <c r="AU17" s="317" t="s">
        <v>483</v>
      </c>
      <c r="AV17" s="317" t="s">
        <v>483</v>
      </c>
      <c r="AW17" s="277" t="s">
        <v>483</v>
      </c>
      <c r="AX17" s="277" t="s">
        <v>483</v>
      </c>
      <c r="AY17" s="278" t="s">
        <v>484</v>
      </c>
      <c r="AZ17" s="266" t="s">
        <v>444</v>
      </c>
      <c r="BA17" s="267" t="s">
        <v>485</v>
      </c>
      <c r="BB17" s="268"/>
      <c r="BC17" s="269"/>
      <c r="BD17" s="269"/>
      <c r="BE17" s="324">
        <v>45056</v>
      </c>
      <c r="BF17" s="325" t="s">
        <v>486</v>
      </c>
      <c r="BG17" s="185" t="s">
        <v>487</v>
      </c>
      <c r="BH17" s="199" t="s">
        <v>488</v>
      </c>
      <c r="BI17" s="199" t="s">
        <v>223</v>
      </c>
      <c r="BJ17" s="199" t="s">
        <v>442</v>
      </c>
      <c r="BK17" s="326" t="s">
        <v>489</v>
      </c>
      <c r="BL17" s="176"/>
      <c r="BM17" s="188"/>
      <c r="BN17" s="188"/>
      <c r="BO17" s="133" t="s">
        <v>490</v>
      </c>
      <c r="BP17" s="353" t="s">
        <v>491</v>
      </c>
      <c r="BQ17" s="349" t="s">
        <v>453</v>
      </c>
      <c r="BR17" s="354" t="s">
        <v>492</v>
      </c>
      <c r="BS17" s="99"/>
      <c r="BT17" s="99"/>
      <c r="BU17" s="170"/>
      <c r="BV17" s="170"/>
      <c r="BW17" s="170"/>
      <c r="BX17" s="133" t="s">
        <v>859</v>
      </c>
      <c r="BY17" s="170" t="s">
        <v>858</v>
      </c>
      <c r="BZ17" s="276" t="s">
        <v>493</v>
      </c>
      <c r="CA17" s="298" t="s">
        <v>403</v>
      </c>
      <c r="CB17" s="358" t="s">
        <v>494</v>
      </c>
      <c r="CC17" s="358" t="s">
        <v>495</v>
      </c>
      <c r="CD17" s="360" t="s">
        <v>496</v>
      </c>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row>
    <row r="18" spans="1:108" ht="204" customHeight="1" x14ac:dyDescent="0.3">
      <c r="A18" s="445"/>
      <c r="B18" s="460"/>
      <c r="C18" s="460"/>
      <c r="D18" s="460"/>
      <c r="E18" s="472"/>
      <c r="F18" s="446"/>
      <c r="G18" s="446"/>
      <c r="H18" s="446"/>
      <c r="I18" s="446"/>
      <c r="J18" s="460"/>
      <c r="K18" s="460"/>
      <c r="L18" s="502"/>
      <c r="M18" s="500"/>
      <c r="N18" s="176">
        <v>2</v>
      </c>
      <c r="O18" s="256"/>
      <c r="P18" s="247"/>
      <c r="Q18" s="247"/>
      <c r="R18" s="247"/>
      <c r="S18" s="247"/>
      <c r="T18" s="247"/>
      <c r="U18" s="247"/>
      <c r="V18" s="247"/>
      <c r="W18" s="248">
        <f t="shared" si="1"/>
        <v>0</v>
      </c>
      <c r="X18" s="249" t="str">
        <f t="shared" si="0"/>
        <v>DEBIL</v>
      </c>
      <c r="Y18" s="250"/>
      <c r="Z18" s="251" t="str">
        <f t="shared" si="2"/>
        <v/>
      </c>
      <c r="AA18" s="248" t="str">
        <f t="shared" si="3"/>
        <v>SI</v>
      </c>
      <c r="AB18" s="247"/>
      <c r="AC18" s="503"/>
      <c r="AD18" s="503"/>
      <c r="AE18" s="522"/>
      <c r="AF18" s="522"/>
      <c r="AG18" s="512"/>
      <c r="AH18" s="512"/>
      <c r="AI18" s="497"/>
      <c r="AJ18" s="497"/>
      <c r="AK18" s="515"/>
      <c r="AL18" s="517"/>
      <c r="AM18" s="510"/>
      <c r="AN18" s="257" t="s">
        <v>497</v>
      </c>
      <c r="AO18" s="254" t="s">
        <v>328</v>
      </c>
      <c r="AP18" s="188">
        <v>45016</v>
      </c>
      <c r="AQ18" s="188"/>
      <c r="AR18" s="270" t="s">
        <v>498</v>
      </c>
      <c r="AS18" s="284">
        <v>45056</v>
      </c>
      <c r="AT18" s="285" t="s">
        <v>499</v>
      </c>
      <c r="AU18" s="315" t="s">
        <v>442</v>
      </c>
      <c r="AV18" s="318" t="s">
        <v>500</v>
      </c>
      <c r="AW18" s="133" t="s">
        <v>501</v>
      </c>
      <c r="AX18" s="356" t="s">
        <v>502</v>
      </c>
      <c r="AY18" s="131"/>
      <c r="AZ18" s="185"/>
      <c r="BA18" s="327"/>
      <c r="BB18" s="176"/>
      <c r="BC18" s="188"/>
      <c r="BD18" s="188"/>
      <c r="BE18" s="185"/>
      <c r="BF18" s="325" t="s">
        <v>452</v>
      </c>
      <c r="BG18" s="176"/>
      <c r="BH18" s="188"/>
      <c r="BI18" s="188"/>
      <c r="BJ18" s="185"/>
      <c r="BK18" s="325" t="s">
        <v>452</v>
      </c>
      <c r="BL18" s="176"/>
      <c r="BM18" s="188"/>
      <c r="BN18" s="188"/>
      <c r="BO18" s="170"/>
      <c r="BP18" s="170"/>
      <c r="BQ18" s="131"/>
      <c r="BR18" s="99"/>
      <c r="BS18" s="99"/>
      <c r="BT18" s="99"/>
      <c r="BU18" s="170"/>
      <c r="BV18" s="170"/>
      <c r="BW18" s="170"/>
      <c r="BX18" s="133" t="s">
        <v>859</v>
      </c>
      <c r="BY18" s="170"/>
      <c r="BZ18" s="170" t="s">
        <v>860</v>
      </c>
      <c r="CA18" s="298" t="s">
        <v>403</v>
      </c>
      <c r="CB18" s="360" t="s">
        <v>503</v>
      </c>
      <c r="CC18" s="360" t="s">
        <v>504</v>
      </c>
      <c r="CD18" s="360" t="s">
        <v>505</v>
      </c>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row>
    <row r="19" spans="1:108" ht="293.25" customHeight="1" x14ac:dyDescent="0.3">
      <c r="A19" s="445"/>
      <c r="B19" s="460"/>
      <c r="C19" s="460"/>
      <c r="D19" s="460"/>
      <c r="E19" s="472"/>
      <c r="F19" s="446"/>
      <c r="G19" s="446"/>
      <c r="H19" s="446"/>
      <c r="I19" s="446"/>
      <c r="J19" s="460"/>
      <c r="K19" s="460"/>
      <c r="L19" s="502"/>
      <c r="M19" s="500"/>
      <c r="N19" s="176">
        <v>3</v>
      </c>
      <c r="O19" s="183"/>
      <c r="P19" s="182"/>
      <c r="Q19" s="182"/>
      <c r="R19" s="182"/>
      <c r="S19" s="182"/>
      <c r="T19" s="182"/>
      <c r="U19" s="182"/>
      <c r="V19" s="182"/>
      <c r="W19" s="101">
        <f t="shared" si="1"/>
        <v>0</v>
      </c>
      <c r="X19" s="102" t="str">
        <f t="shared" si="0"/>
        <v>DEBIL</v>
      </c>
      <c r="Y19" s="180"/>
      <c r="Z19" s="103" t="str">
        <f t="shared" si="2"/>
        <v/>
      </c>
      <c r="AA19" s="101" t="str">
        <f t="shared" si="3"/>
        <v>SI</v>
      </c>
      <c r="AB19" s="182"/>
      <c r="AC19" s="504"/>
      <c r="AD19" s="504"/>
      <c r="AE19" s="505"/>
      <c r="AF19" s="505"/>
      <c r="AG19" s="506"/>
      <c r="AH19" s="506"/>
      <c r="AI19" s="498"/>
      <c r="AJ19" s="498"/>
      <c r="AK19" s="502"/>
      <c r="AL19" s="500"/>
      <c r="AM19" s="508"/>
      <c r="AN19" s="287" t="s">
        <v>506</v>
      </c>
      <c r="AO19" s="254" t="s">
        <v>328</v>
      </c>
      <c r="AP19" s="186">
        <v>45291</v>
      </c>
      <c r="AQ19" s="188"/>
      <c r="AR19" s="185"/>
      <c r="AS19" s="188"/>
      <c r="AT19" s="285" t="s">
        <v>507</v>
      </c>
      <c r="AU19" s="315" t="s">
        <v>442</v>
      </c>
      <c r="AV19" s="319" t="s">
        <v>508</v>
      </c>
      <c r="AW19" s="133" t="s">
        <v>501</v>
      </c>
      <c r="AX19" s="356" t="s">
        <v>509</v>
      </c>
      <c r="AY19" s="131"/>
      <c r="AZ19" s="185"/>
      <c r="BA19" s="185"/>
      <c r="BB19" s="176"/>
      <c r="BC19" s="188"/>
      <c r="BD19" s="188"/>
      <c r="BE19" s="185"/>
      <c r="BF19" s="185"/>
      <c r="BG19" s="176"/>
      <c r="BH19" s="188"/>
      <c r="BI19" s="188"/>
      <c r="BJ19" s="185"/>
      <c r="BK19" s="325" t="s">
        <v>452</v>
      </c>
      <c r="BL19" s="176"/>
      <c r="BM19" s="188"/>
      <c r="BN19" s="188"/>
      <c r="BO19" s="170"/>
      <c r="BP19" s="170"/>
      <c r="BQ19" s="131"/>
      <c r="BR19" s="99"/>
      <c r="BS19" s="99"/>
      <c r="BT19" s="99"/>
      <c r="BU19" s="170"/>
      <c r="BV19" s="170"/>
      <c r="BW19" s="170"/>
      <c r="BX19" s="133" t="s">
        <v>856</v>
      </c>
      <c r="BY19" s="170"/>
      <c r="BZ19" s="170" t="s">
        <v>857</v>
      </c>
      <c r="CA19" s="298" t="s">
        <v>510</v>
      </c>
      <c r="CB19" s="360" t="s">
        <v>511</v>
      </c>
      <c r="CC19" s="360" t="s">
        <v>512</v>
      </c>
      <c r="CD19" s="358" t="s">
        <v>513</v>
      </c>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row>
    <row r="20" spans="1:108" ht="21" customHeight="1" thickTop="1" thickBot="1" x14ac:dyDescent="0.35">
      <c r="A20" s="445"/>
      <c r="B20" s="460"/>
      <c r="C20" s="460"/>
      <c r="D20" s="460"/>
      <c r="E20" s="472"/>
      <c r="F20" s="446"/>
      <c r="G20" s="446"/>
      <c r="H20" s="446"/>
      <c r="I20" s="446"/>
      <c r="J20" s="460"/>
      <c r="K20" s="460"/>
      <c r="L20" s="502"/>
      <c r="M20" s="500"/>
      <c r="N20" s="176">
        <v>4</v>
      </c>
      <c r="O20" s="184"/>
      <c r="P20" s="182"/>
      <c r="Q20" s="182"/>
      <c r="R20" s="182"/>
      <c r="S20" s="182"/>
      <c r="T20" s="182"/>
      <c r="U20" s="182"/>
      <c r="V20" s="182"/>
      <c r="W20" s="101">
        <f t="shared" si="1"/>
        <v>0</v>
      </c>
      <c r="X20" s="102" t="str">
        <f t="shared" si="0"/>
        <v>DEBIL</v>
      </c>
      <c r="Y20" s="180"/>
      <c r="Z20" s="103" t="str">
        <f t="shared" si="2"/>
        <v/>
      </c>
      <c r="AA20" s="101" t="str">
        <f t="shared" si="3"/>
        <v>SI</v>
      </c>
      <c r="AB20" s="182"/>
      <c r="AC20" s="504"/>
      <c r="AD20" s="504"/>
      <c r="AE20" s="505"/>
      <c r="AF20" s="505"/>
      <c r="AG20" s="506"/>
      <c r="AH20" s="506"/>
      <c r="AI20" s="498"/>
      <c r="AJ20" s="498"/>
      <c r="AK20" s="502"/>
      <c r="AL20" s="500"/>
      <c r="AM20" s="508"/>
      <c r="AN20" s="185"/>
      <c r="AO20" s="176"/>
      <c r="AP20" s="188"/>
      <c r="AQ20" s="188"/>
      <c r="AR20" s="185"/>
      <c r="AS20" s="188"/>
      <c r="AT20" s="185"/>
      <c r="AU20" s="188"/>
      <c r="AV20" s="185"/>
      <c r="AW20" s="99"/>
      <c r="AX20" s="170"/>
      <c r="AY20" s="131"/>
      <c r="AZ20" s="185"/>
      <c r="BA20" s="185"/>
      <c r="BB20" s="176"/>
      <c r="BC20" s="188"/>
      <c r="BD20" s="188"/>
      <c r="BE20" s="185"/>
      <c r="BF20" s="185"/>
      <c r="BG20" s="176"/>
      <c r="BH20" s="188"/>
      <c r="BI20" s="188"/>
      <c r="BJ20" s="185"/>
      <c r="BK20" s="185"/>
      <c r="BL20" s="176"/>
      <c r="BM20" s="188"/>
      <c r="BN20" s="188"/>
      <c r="BO20" s="170"/>
      <c r="BP20" s="170"/>
      <c r="BQ20" s="131"/>
      <c r="BR20" s="99"/>
      <c r="BS20" s="99"/>
      <c r="BT20" s="99"/>
      <c r="BU20" s="170"/>
      <c r="BV20" s="170"/>
      <c r="BW20" s="170"/>
      <c r="BX20" s="99"/>
      <c r="BY20" s="170"/>
      <c r="BZ20" s="170"/>
      <c r="CA20" s="302"/>
      <c r="CB20" s="300"/>
      <c r="CC20" s="301"/>
      <c r="CD20" s="300"/>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row>
    <row r="21" spans="1:108" ht="21" customHeight="1" thickTop="1" thickBot="1" x14ac:dyDescent="0.35">
      <c r="A21" s="445"/>
      <c r="B21" s="460"/>
      <c r="C21" s="460"/>
      <c r="D21" s="460"/>
      <c r="E21" s="472"/>
      <c r="F21" s="446"/>
      <c r="G21" s="446"/>
      <c r="H21" s="446"/>
      <c r="I21" s="446"/>
      <c r="J21" s="460"/>
      <c r="K21" s="460"/>
      <c r="L21" s="502"/>
      <c r="M21" s="500"/>
      <c r="N21" s="176">
        <v>5</v>
      </c>
      <c r="O21" s="184"/>
      <c r="P21" s="182"/>
      <c r="Q21" s="182"/>
      <c r="R21" s="182"/>
      <c r="S21" s="182"/>
      <c r="T21" s="182"/>
      <c r="U21" s="182"/>
      <c r="V21" s="182"/>
      <c r="W21" s="101">
        <f t="shared" si="1"/>
        <v>0</v>
      </c>
      <c r="X21" s="102" t="str">
        <f t="shared" si="0"/>
        <v>DEBIL</v>
      </c>
      <c r="Y21" s="180"/>
      <c r="Z21" s="103" t="str">
        <f t="shared" si="2"/>
        <v/>
      </c>
      <c r="AA21" s="101" t="str">
        <f t="shared" si="3"/>
        <v>SI</v>
      </c>
      <c r="AB21" s="182"/>
      <c r="AC21" s="504"/>
      <c r="AD21" s="504"/>
      <c r="AE21" s="505"/>
      <c r="AF21" s="505"/>
      <c r="AG21" s="506"/>
      <c r="AH21" s="506"/>
      <c r="AI21" s="498"/>
      <c r="AJ21" s="498"/>
      <c r="AK21" s="502"/>
      <c r="AL21" s="500"/>
      <c r="AM21" s="508"/>
      <c r="AN21" s="185"/>
      <c r="AO21" s="176"/>
      <c r="AP21" s="188"/>
      <c r="AQ21" s="188"/>
      <c r="AR21" s="185"/>
      <c r="AS21" s="188"/>
      <c r="AT21" s="185"/>
      <c r="AU21" s="188"/>
      <c r="AV21" s="185"/>
      <c r="AW21" s="99"/>
      <c r="AX21" s="170"/>
      <c r="AY21" s="131"/>
      <c r="AZ21" s="185"/>
      <c r="BA21" s="185"/>
      <c r="BB21" s="176"/>
      <c r="BC21" s="188"/>
      <c r="BD21" s="188"/>
      <c r="BE21" s="185"/>
      <c r="BF21" s="185"/>
      <c r="BG21" s="176"/>
      <c r="BH21" s="188"/>
      <c r="BI21" s="188"/>
      <c r="BJ21" s="185"/>
      <c r="BK21" s="185"/>
      <c r="BL21" s="176"/>
      <c r="BM21" s="188"/>
      <c r="BN21" s="188"/>
      <c r="BO21" s="170"/>
      <c r="BP21" s="170"/>
      <c r="BQ21" s="131"/>
      <c r="BR21" s="99"/>
      <c r="BS21" s="99"/>
      <c r="BT21" s="99"/>
      <c r="BU21" s="170"/>
      <c r="BV21" s="170"/>
      <c r="BW21" s="170"/>
      <c r="BX21" s="99"/>
      <c r="BY21" s="170"/>
      <c r="BZ21" s="170"/>
      <c r="CA21" s="302"/>
      <c r="CB21" s="300"/>
      <c r="CC21" s="301"/>
      <c r="CD21" s="300"/>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row>
    <row r="22" spans="1:108" ht="21" customHeight="1" thickTop="1" thickBot="1" x14ac:dyDescent="0.35">
      <c r="A22" s="445"/>
      <c r="B22" s="461"/>
      <c r="C22" s="461"/>
      <c r="D22" s="461"/>
      <c r="E22" s="472"/>
      <c r="F22" s="446"/>
      <c r="G22" s="446"/>
      <c r="H22" s="446"/>
      <c r="I22" s="446"/>
      <c r="J22" s="461"/>
      <c r="K22" s="461"/>
      <c r="L22" s="502"/>
      <c r="M22" s="501"/>
      <c r="N22" s="176">
        <v>6</v>
      </c>
      <c r="O22" s="184"/>
      <c r="P22" s="182"/>
      <c r="Q22" s="182"/>
      <c r="R22" s="182"/>
      <c r="S22" s="182"/>
      <c r="T22" s="182"/>
      <c r="U22" s="182"/>
      <c r="V22" s="182"/>
      <c r="W22" s="101">
        <f t="shared" si="1"/>
        <v>0</v>
      </c>
      <c r="X22" s="102" t="str">
        <f t="shared" si="0"/>
        <v>DEBIL</v>
      </c>
      <c r="Y22" s="180"/>
      <c r="Z22" s="103" t="str">
        <f t="shared" si="2"/>
        <v/>
      </c>
      <c r="AA22" s="101" t="str">
        <f t="shared" si="3"/>
        <v>SI</v>
      </c>
      <c r="AB22" s="182"/>
      <c r="AC22" s="504"/>
      <c r="AD22" s="504"/>
      <c r="AE22" s="505"/>
      <c r="AF22" s="505"/>
      <c r="AG22" s="506"/>
      <c r="AH22" s="506"/>
      <c r="AI22" s="498"/>
      <c r="AJ22" s="498"/>
      <c r="AK22" s="502"/>
      <c r="AL22" s="501"/>
      <c r="AM22" s="509"/>
      <c r="AN22" s="185"/>
      <c r="AO22" s="176"/>
      <c r="AP22" s="188"/>
      <c r="AQ22" s="188"/>
      <c r="AR22" s="185"/>
      <c r="AS22" s="188"/>
      <c r="AT22" s="185"/>
      <c r="AU22" s="188"/>
      <c r="AV22" s="185"/>
      <c r="AW22" s="99"/>
      <c r="AX22" s="170"/>
      <c r="AY22" s="131"/>
      <c r="AZ22" s="185"/>
      <c r="BA22" s="185"/>
      <c r="BB22" s="176"/>
      <c r="BC22" s="188"/>
      <c r="BD22" s="188"/>
      <c r="BE22" s="185"/>
      <c r="BF22" s="185"/>
      <c r="BG22" s="176"/>
      <c r="BH22" s="188"/>
      <c r="BI22" s="188"/>
      <c r="BJ22" s="185"/>
      <c r="BK22" s="185"/>
      <c r="BL22" s="176"/>
      <c r="BM22" s="188"/>
      <c r="BN22" s="188"/>
      <c r="BO22" s="170"/>
      <c r="BP22" s="170"/>
      <c r="BQ22" s="131"/>
      <c r="BR22" s="99"/>
      <c r="BS22" s="99"/>
      <c r="BT22" s="99"/>
      <c r="BU22" s="170"/>
      <c r="BV22" s="170"/>
      <c r="BW22" s="170"/>
      <c r="BX22" s="99"/>
      <c r="BY22" s="170"/>
      <c r="BZ22" s="170"/>
      <c r="CA22" s="302"/>
      <c r="CB22" s="300"/>
      <c r="CC22" s="301"/>
      <c r="CD22" s="300"/>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row>
    <row r="23" spans="1:108" ht="21" customHeight="1" thickTop="1" thickBot="1" x14ac:dyDescent="0.35">
      <c r="A23" s="445">
        <v>4</v>
      </c>
      <c r="B23" s="446"/>
      <c r="C23" s="446"/>
      <c r="D23" s="446"/>
      <c r="E23" s="472"/>
      <c r="F23" s="446"/>
      <c r="G23" s="446"/>
      <c r="H23" s="446"/>
      <c r="I23" s="446"/>
      <c r="J23" s="445"/>
      <c r="K23" s="445"/>
      <c r="L23" s="502">
        <f>+(J23*K23)*4</f>
        <v>0</v>
      </c>
      <c r="M23" s="499" t="b">
        <f>IF(OR(AND(J23=3,K23=4),AND(J23=2,K23=5),AND(J23=2,K23=5),AND(L23=20),AND(L23&gt;=52,L23&lt;=100)),"ZONA RIESGO EXTREMA",IF(OR(AND(J23=5,K23=2),AND(J23=4,K23=3),AND(J23=1,K23=4),AND(L23=16),AND(L23&gt;=28,L23&lt;=48)),"ZONA RIESGO ALTA",IF(OR(AND(J23=1,K23=3),AND(J23=4,K23=1),AND(L23=24)),"ZONA RIESGO MODERADA",IF(AND(L23&gt;=4,L23&lt;=16),"ZONA RIESGO BAJA"))))</f>
        <v>0</v>
      </c>
      <c r="N23" s="176">
        <v>1</v>
      </c>
      <c r="O23" s="184"/>
      <c r="P23" s="182"/>
      <c r="Q23" s="182"/>
      <c r="R23" s="182"/>
      <c r="S23" s="182"/>
      <c r="T23" s="182"/>
      <c r="U23" s="182"/>
      <c r="V23" s="182"/>
      <c r="W23" s="101">
        <f t="shared" si="1"/>
        <v>0</v>
      </c>
      <c r="X23" s="102" t="str">
        <f t="shared" si="0"/>
        <v>DEBIL</v>
      </c>
      <c r="Y23" s="180"/>
      <c r="Z23" s="103" t="str">
        <f t="shared" si="2"/>
        <v/>
      </c>
      <c r="AA23" s="101" t="str">
        <f t="shared" si="3"/>
        <v>SI</v>
      </c>
      <c r="AB23" s="182"/>
      <c r="AC23" s="504">
        <f>IF(AND(W23&gt;0,SUM(W24:W28)=0),W23,IF(AND(SUM(W23:W24)&gt;0,SUM(W25:W28)=0),AVERAGE(W23:W24),IF(AND(SUM(W23:W25)&gt;0,SUM(W26:W28)=0),AVERAGE(W23:W25),IF(AND(SUM(W23:W26)&gt;0,SUM(W27:W28)=0),AVERAGE(W23:W26),IF(AND(SUM(W23:W27)&gt;0,W28=0),AVERAGE(W23:W27),AVERAGE(W23:W28))))))</f>
        <v>0</v>
      </c>
      <c r="AD23" s="504" t="str">
        <f>IF(AND(AC23&gt;=50,AC23&lt;=99),"MODERADO",IF(AND(AC23=100), "FUERTE",IF(AND(AC23&lt;50), "DEBIL")))</f>
        <v>DEBIL</v>
      </c>
      <c r="AE23" s="505"/>
      <c r="AF23" s="505"/>
      <c r="AG23" s="506" t="str">
        <f>IFERROR(_xlfn.IFS(AND(AD23="MODERADO",AE23="Directamente"),1,AND(AD23="FUERTE",AE23="Directamente"),2),"0")</f>
        <v>0</v>
      </c>
      <c r="AH23" s="506" t="str">
        <f>IFERROR(_xlfn.IFS(AND(AD23="MODERADO",AF23="Directamente"),1,AND(AD23="FUERTE",AF23="Directamente"),2,AND(AD23="FUERTE",AF23="Indirectamente"),1),"0")</f>
        <v>0</v>
      </c>
      <c r="AI23" s="498"/>
      <c r="AJ23" s="498"/>
      <c r="AK23" s="502">
        <f>+(AI23*AJ23)*4</f>
        <v>0</v>
      </c>
      <c r="AL23" s="499"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511"/>
      <c r="AN23" s="185"/>
      <c r="AO23" s="176"/>
      <c r="AP23" s="188"/>
      <c r="AQ23" s="188"/>
      <c r="AR23" s="185"/>
      <c r="AS23" s="188"/>
      <c r="AT23" s="185"/>
      <c r="AU23" s="188"/>
      <c r="AV23" s="185"/>
      <c r="AW23" s="99"/>
      <c r="AX23" s="170"/>
      <c r="AY23" s="131"/>
      <c r="AZ23" s="185"/>
      <c r="BA23" s="185"/>
      <c r="BB23" s="176"/>
      <c r="BC23" s="188"/>
      <c r="BD23" s="188"/>
      <c r="BE23" s="185"/>
      <c r="BF23" s="185"/>
      <c r="BG23" s="176"/>
      <c r="BH23" s="188"/>
      <c r="BI23" s="188"/>
      <c r="BJ23" s="185"/>
      <c r="BK23" s="185"/>
      <c r="BL23" s="176"/>
      <c r="BM23" s="188"/>
      <c r="BN23" s="188"/>
      <c r="BO23" s="170"/>
      <c r="BP23" s="170"/>
      <c r="BQ23" s="131"/>
      <c r="BR23" s="99"/>
      <c r="BS23" s="99"/>
      <c r="BT23" s="99"/>
      <c r="BU23" s="170"/>
      <c r="BV23" s="170"/>
      <c r="BW23" s="170"/>
      <c r="BX23" s="99"/>
      <c r="BY23" s="170"/>
      <c r="BZ23" s="170"/>
      <c r="CA23" s="302"/>
      <c r="CB23" s="300"/>
      <c r="CC23" s="301"/>
      <c r="CD23" s="300"/>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row>
    <row r="24" spans="1:108" ht="21" customHeight="1" thickTop="1" thickBot="1" x14ac:dyDescent="0.35">
      <c r="A24" s="445"/>
      <c r="B24" s="446"/>
      <c r="C24" s="446"/>
      <c r="D24" s="446"/>
      <c r="E24" s="472"/>
      <c r="F24" s="446"/>
      <c r="G24" s="446"/>
      <c r="H24" s="446"/>
      <c r="I24" s="446"/>
      <c r="J24" s="445"/>
      <c r="K24" s="445"/>
      <c r="L24" s="502"/>
      <c r="M24" s="500"/>
      <c r="N24" s="176">
        <v>2</v>
      </c>
      <c r="O24" s="184"/>
      <c r="P24" s="182"/>
      <c r="Q24" s="182"/>
      <c r="R24" s="182"/>
      <c r="S24" s="182"/>
      <c r="T24" s="182"/>
      <c r="U24" s="182"/>
      <c r="V24" s="182"/>
      <c r="W24" s="101">
        <f t="shared" si="1"/>
        <v>0</v>
      </c>
      <c r="X24" s="102" t="str">
        <f t="shared" si="0"/>
        <v>DEBIL</v>
      </c>
      <c r="Y24" s="180"/>
      <c r="Z24" s="103" t="str">
        <f t="shared" si="2"/>
        <v/>
      </c>
      <c r="AA24" s="101" t="str">
        <f t="shared" si="3"/>
        <v>SI</v>
      </c>
      <c r="AB24" s="182"/>
      <c r="AC24" s="504"/>
      <c r="AD24" s="504"/>
      <c r="AE24" s="505"/>
      <c r="AF24" s="505"/>
      <c r="AG24" s="506"/>
      <c r="AH24" s="506"/>
      <c r="AI24" s="498"/>
      <c r="AJ24" s="498"/>
      <c r="AK24" s="502"/>
      <c r="AL24" s="500"/>
      <c r="AM24" s="508"/>
      <c r="AN24" s="185"/>
      <c r="AO24" s="176"/>
      <c r="AP24" s="188"/>
      <c r="AQ24" s="188"/>
      <c r="AR24" s="185"/>
      <c r="AS24" s="188"/>
      <c r="AT24" s="185"/>
      <c r="AU24" s="188"/>
      <c r="AV24" s="185"/>
      <c r="AW24" s="99"/>
      <c r="AX24" s="170"/>
      <c r="AY24" s="131"/>
      <c r="AZ24" s="185"/>
      <c r="BA24" s="185"/>
      <c r="BB24" s="176"/>
      <c r="BC24" s="188"/>
      <c r="BD24" s="188"/>
      <c r="BE24" s="185"/>
      <c r="BF24" s="185"/>
      <c r="BG24" s="176"/>
      <c r="BH24" s="188"/>
      <c r="BI24" s="188"/>
      <c r="BJ24" s="185"/>
      <c r="BK24" s="185"/>
      <c r="BL24" s="176"/>
      <c r="BM24" s="188"/>
      <c r="BN24" s="188"/>
      <c r="BO24" s="170"/>
      <c r="BP24" s="170"/>
      <c r="BQ24" s="131"/>
      <c r="BR24" s="99"/>
      <c r="BS24" s="99"/>
      <c r="BT24" s="99"/>
      <c r="BU24" s="170"/>
      <c r="BV24" s="170"/>
      <c r="BW24" s="170"/>
      <c r="BX24" s="99"/>
      <c r="BY24" s="170"/>
      <c r="BZ24" s="170"/>
      <c r="CA24" s="302"/>
      <c r="CB24" s="300"/>
      <c r="CC24" s="301"/>
      <c r="CD24" s="300"/>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row>
    <row r="25" spans="1:108" ht="21" customHeight="1" thickTop="1" thickBot="1" x14ac:dyDescent="0.35">
      <c r="A25" s="445"/>
      <c r="B25" s="446"/>
      <c r="C25" s="446"/>
      <c r="D25" s="446"/>
      <c r="E25" s="472"/>
      <c r="F25" s="446"/>
      <c r="G25" s="446"/>
      <c r="H25" s="446"/>
      <c r="I25" s="446"/>
      <c r="J25" s="445"/>
      <c r="K25" s="445"/>
      <c r="L25" s="502"/>
      <c r="M25" s="500"/>
      <c r="N25" s="176">
        <v>3</v>
      </c>
      <c r="O25" s="183"/>
      <c r="P25" s="182"/>
      <c r="Q25" s="182"/>
      <c r="R25" s="182"/>
      <c r="S25" s="182"/>
      <c r="T25" s="182"/>
      <c r="U25" s="182"/>
      <c r="V25" s="182"/>
      <c r="W25" s="101">
        <f t="shared" si="1"/>
        <v>0</v>
      </c>
      <c r="X25" s="102" t="str">
        <f t="shared" si="0"/>
        <v>DEBIL</v>
      </c>
      <c r="Y25" s="180"/>
      <c r="Z25" s="103" t="str">
        <f t="shared" si="2"/>
        <v/>
      </c>
      <c r="AA25" s="101" t="str">
        <f t="shared" si="3"/>
        <v>SI</v>
      </c>
      <c r="AB25" s="182"/>
      <c r="AC25" s="504"/>
      <c r="AD25" s="504"/>
      <c r="AE25" s="505"/>
      <c r="AF25" s="505"/>
      <c r="AG25" s="506"/>
      <c r="AH25" s="506"/>
      <c r="AI25" s="498"/>
      <c r="AJ25" s="498"/>
      <c r="AK25" s="502"/>
      <c r="AL25" s="500"/>
      <c r="AM25" s="508"/>
      <c r="AN25" s="185"/>
      <c r="AO25" s="176"/>
      <c r="AP25" s="188"/>
      <c r="AQ25" s="188"/>
      <c r="AR25" s="185"/>
      <c r="AS25" s="188"/>
      <c r="AT25" s="185"/>
      <c r="AU25" s="188"/>
      <c r="AV25" s="185"/>
      <c r="AW25" s="99"/>
      <c r="AX25" s="170"/>
      <c r="AY25" s="131"/>
      <c r="AZ25" s="185"/>
      <c r="BA25" s="185"/>
      <c r="BB25" s="176"/>
      <c r="BC25" s="188"/>
      <c r="BD25" s="188"/>
      <c r="BE25" s="185"/>
      <c r="BF25" s="185"/>
      <c r="BG25" s="176"/>
      <c r="BH25" s="188"/>
      <c r="BI25" s="188"/>
      <c r="BJ25" s="185"/>
      <c r="BK25" s="185"/>
      <c r="BL25" s="176"/>
      <c r="BM25" s="188"/>
      <c r="BN25" s="188"/>
      <c r="BO25" s="170"/>
      <c r="BP25" s="170"/>
      <c r="BQ25" s="131"/>
      <c r="BR25" s="99"/>
      <c r="BS25" s="99"/>
      <c r="BT25" s="99"/>
      <c r="BU25" s="170"/>
      <c r="BV25" s="170"/>
      <c r="BW25" s="170"/>
      <c r="BX25" s="99"/>
      <c r="BY25" s="170"/>
      <c r="BZ25" s="170"/>
      <c r="CA25" s="302"/>
      <c r="CB25" s="300"/>
      <c r="CC25" s="301"/>
      <c r="CD25" s="300"/>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row>
    <row r="26" spans="1:108" ht="21" customHeight="1" thickTop="1" thickBot="1" x14ac:dyDescent="0.35">
      <c r="A26" s="445"/>
      <c r="B26" s="446"/>
      <c r="C26" s="446"/>
      <c r="D26" s="446"/>
      <c r="E26" s="472"/>
      <c r="F26" s="446"/>
      <c r="G26" s="446"/>
      <c r="H26" s="446"/>
      <c r="I26" s="446"/>
      <c r="J26" s="445"/>
      <c r="K26" s="445"/>
      <c r="L26" s="502"/>
      <c r="M26" s="500"/>
      <c r="N26" s="176">
        <v>4</v>
      </c>
      <c r="O26" s="184"/>
      <c r="P26" s="182"/>
      <c r="Q26" s="182"/>
      <c r="R26" s="182"/>
      <c r="S26" s="182"/>
      <c r="T26" s="182"/>
      <c r="U26" s="182"/>
      <c r="V26" s="182"/>
      <c r="W26" s="101">
        <f t="shared" si="1"/>
        <v>0</v>
      </c>
      <c r="X26" s="102" t="str">
        <f t="shared" si="0"/>
        <v>DEBIL</v>
      </c>
      <c r="Y26" s="180"/>
      <c r="Z26" s="103" t="str">
        <f t="shared" si="2"/>
        <v/>
      </c>
      <c r="AA26" s="101" t="str">
        <f t="shared" si="3"/>
        <v>SI</v>
      </c>
      <c r="AB26" s="182"/>
      <c r="AC26" s="504"/>
      <c r="AD26" s="504"/>
      <c r="AE26" s="505"/>
      <c r="AF26" s="505"/>
      <c r="AG26" s="506"/>
      <c r="AH26" s="506"/>
      <c r="AI26" s="498"/>
      <c r="AJ26" s="498"/>
      <c r="AK26" s="502"/>
      <c r="AL26" s="500"/>
      <c r="AM26" s="508"/>
      <c r="AN26" s="185"/>
      <c r="AO26" s="176"/>
      <c r="AP26" s="188"/>
      <c r="AQ26" s="188"/>
      <c r="AR26" s="185"/>
      <c r="AS26" s="188"/>
      <c r="AT26" s="185"/>
      <c r="AU26" s="188"/>
      <c r="AV26" s="185"/>
      <c r="AW26" s="99"/>
      <c r="AX26" s="170"/>
      <c r="AY26" s="131"/>
      <c r="AZ26" s="185"/>
      <c r="BA26" s="185"/>
      <c r="BB26" s="176"/>
      <c r="BC26" s="188"/>
      <c r="BD26" s="188"/>
      <c r="BE26" s="185"/>
      <c r="BF26" s="185"/>
      <c r="BG26" s="176"/>
      <c r="BH26" s="188"/>
      <c r="BI26" s="188"/>
      <c r="BJ26" s="185"/>
      <c r="BK26" s="185"/>
      <c r="BL26" s="176"/>
      <c r="BM26" s="188"/>
      <c r="BN26" s="188"/>
      <c r="BO26" s="170"/>
      <c r="BP26" s="170"/>
      <c r="BQ26" s="131"/>
      <c r="BR26" s="99"/>
      <c r="BS26" s="99"/>
      <c r="BT26" s="99"/>
      <c r="BU26" s="170"/>
      <c r="BV26" s="170"/>
      <c r="BW26" s="170"/>
      <c r="BX26" s="99"/>
      <c r="BY26" s="170"/>
      <c r="BZ26" s="170"/>
      <c r="CA26" s="302"/>
      <c r="CB26" s="300"/>
      <c r="CC26" s="301"/>
      <c r="CD26" s="300"/>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row>
    <row r="27" spans="1:108" ht="21" customHeight="1" thickTop="1" thickBot="1" x14ac:dyDescent="0.35">
      <c r="A27" s="445"/>
      <c r="B27" s="446"/>
      <c r="C27" s="446"/>
      <c r="D27" s="446"/>
      <c r="E27" s="472"/>
      <c r="F27" s="446"/>
      <c r="G27" s="446"/>
      <c r="H27" s="446"/>
      <c r="I27" s="446"/>
      <c r="J27" s="445"/>
      <c r="K27" s="445"/>
      <c r="L27" s="502"/>
      <c r="M27" s="500"/>
      <c r="N27" s="176">
        <v>5</v>
      </c>
      <c r="O27" s="184"/>
      <c r="P27" s="182"/>
      <c r="Q27" s="182"/>
      <c r="R27" s="182"/>
      <c r="S27" s="182"/>
      <c r="T27" s="182"/>
      <c r="U27" s="182"/>
      <c r="V27" s="182"/>
      <c r="W27" s="101">
        <f t="shared" si="1"/>
        <v>0</v>
      </c>
      <c r="X27" s="102" t="str">
        <f t="shared" si="0"/>
        <v>DEBIL</v>
      </c>
      <c r="Y27" s="180"/>
      <c r="Z27" s="103" t="str">
        <f t="shared" si="2"/>
        <v/>
      </c>
      <c r="AA27" s="101" t="str">
        <f t="shared" si="3"/>
        <v>SI</v>
      </c>
      <c r="AB27" s="182"/>
      <c r="AC27" s="504"/>
      <c r="AD27" s="504"/>
      <c r="AE27" s="505"/>
      <c r="AF27" s="505"/>
      <c r="AG27" s="506"/>
      <c r="AH27" s="506"/>
      <c r="AI27" s="498"/>
      <c r="AJ27" s="498"/>
      <c r="AK27" s="502"/>
      <c r="AL27" s="500"/>
      <c r="AM27" s="508"/>
      <c r="AN27" s="185"/>
      <c r="AO27" s="176"/>
      <c r="AP27" s="188"/>
      <c r="AQ27" s="188"/>
      <c r="AR27" s="185"/>
      <c r="AS27" s="188"/>
      <c r="AT27" s="185"/>
      <c r="AU27" s="188"/>
      <c r="AV27" s="185"/>
      <c r="AW27" s="99"/>
      <c r="AX27" s="170"/>
      <c r="AY27" s="131"/>
      <c r="AZ27" s="185"/>
      <c r="BA27" s="185"/>
      <c r="BB27" s="176"/>
      <c r="BC27" s="188"/>
      <c r="BD27" s="188"/>
      <c r="BE27" s="185"/>
      <c r="BF27" s="185"/>
      <c r="BG27" s="176"/>
      <c r="BH27" s="188"/>
      <c r="BI27" s="188"/>
      <c r="BJ27" s="185"/>
      <c r="BK27" s="185"/>
      <c r="BL27" s="176"/>
      <c r="BM27" s="188"/>
      <c r="BN27" s="188"/>
      <c r="BO27" s="170"/>
      <c r="BP27" s="170"/>
      <c r="BQ27" s="131"/>
      <c r="BR27" s="99"/>
      <c r="BS27" s="99"/>
      <c r="BT27" s="99"/>
      <c r="BU27" s="170"/>
      <c r="BV27" s="170"/>
      <c r="BW27" s="170"/>
      <c r="BX27" s="99"/>
      <c r="BY27" s="170"/>
      <c r="BZ27" s="170"/>
      <c r="CA27" s="302"/>
      <c r="CB27" s="300"/>
      <c r="CC27" s="301"/>
      <c r="CD27" s="300"/>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row>
    <row r="28" spans="1:108" ht="21" customHeight="1" thickTop="1" thickBot="1" x14ac:dyDescent="0.35">
      <c r="A28" s="445"/>
      <c r="B28" s="446"/>
      <c r="C28" s="446"/>
      <c r="D28" s="446"/>
      <c r="E28" s="472"/>
      <c r="F28" s="446"/>
      <c r="G28" s="446"/>
      <c r="H28" s="446"/>
      <c r="I28" s="446"/>
      <c r="J28" s="445"/>
      <c r="K28" s="445"/>
      <c r="L28" s="502"/>
      <c r="M28" s="501"/>
      <c r="N28" s="176">
        <v>6</v>
      </c>
      <c r="O28" s="184"/>
      <c r="P28" s="182"/>
      <c r="Q28" s="182"/>
      <c r="R28" s="182"/>
      <c r="S28" s="182"/>
      <c r="T28" s="182"/>
      <c r="U28" s="182"/>
      <c r="V28" s="182"/>
      <c r="W28" s="101">
        <f t="shared" si="1"/>
        <v>0</v>
      </c>
      <c r="X28" s="102" t="str">
        <f t="shared" si="0"/>
        <v>DEBIL</v>
      </c>
      <c r="Y28" s="180"/>
      <c r="Z28" s="103" t="str">
        <f t="shared" si="2"/>
        <v/>
      </c>
      <c r="AA28" s="101" t="str">
        <f t="shared" si="3"/>
        <v>SI</v>
      </c>
      <c r="AB28" s="182"/>
      <c r="AC28" s="504"/>
      <c r="AD28" s="504"/>
      <c r="AE28" s="505"/>
      <c r="AF28" s="505"/>
      <c r="AG28" s="506"/>
      <c r="AH28" s="506"/>
      <c r="AI28" s="498"/>
      <c r="AJ28" s="498"/>
      <c r="AK28" s="502"/>
      <c r="AL28" s="501"/>
      <c r="AM28" s="509"/>
      <c r="AN28" s="185"/>
      <c r="AO28" s="176"/>
      <c r="AP28" s="188"/>
      <c r="AQ28" s="188"/>
      <c r="AR28" s="185"/>
      <c r="AS28" s="188"/>
      <c r="AT28" s="185"/>
      <c r="AU28" s="188"/>
      <c r="AV28" s="185"/>
      <c r="AW28" s="99"/>
      <c r="AX28" s="170"/>
      <c r="AY28" s="131"/>
      <c r="AZ28" s="185"/>
      <c r="BA28" s="185"/>
      <c r="BB28" s="176"/>
      <c r="BC28" s="188"/>
      <c r="BD28" s="188"/>
      <c r="BE28" s="185"/>
      <c r="BF28" s="185"/>
      <c r="BG28" s="176"/>
      <c r="BH28" s="188"/>
      <c r="BI28" s="188"/>
      <c r="BJ28" s="185"/>
      <c r="BK28" s="185"/>
      <c r="BL28" s="176"/>
      <c r="BM28" s="188"/>
      <c r="BN28" s="188"/>
      <c r="BO28" s="170"/>
      <c r="BP28" s="170"/>
      <c r="BQ28" s="131"/>
      <c r="BR28" s="99"/>
      <c r="BS28" s="99"/>
      <c r="BT28" s="99"/>
      <c r="BU28" s="170"/>
      <c r="BV28" s="170"/>
      <c r="BW28" s="170"/>
      <c r="BX28" s="99"/>
      <c r="BY28" s="170"/>
      <c r="BZ28" s="170"/>
      <c r="CA28" s="302"/>
      <c r="CB28" s="300"/>
      <c r="CC28" s="301"/>
      <c r="CD28" s="300"/>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row>
    <row r="29" spans="1:108" ht="21" customHeight="1" thickTop="1" thickBot="1" x14ac:dyDescent="0.35">
      <c r="A29" s="445">
        <v>5</v>
      </c>
      <c r="B29" s="446"/>
      <c r="C29" s="446"/>
      <c r="D29" s="446"/>
      <c r="E29" s="472"/>
      <c r="F29" s="446"/>
      <c r="G29" s="446"/>
      <c r="H29" s="446"/>
      <c r="I29" s="446"/>
      <c r="J29" s="445"/>
      <c r="K29" s="445"/>
      <c r="L29" s="502">
        <f>+(J29*K29)*4</f>
        <v>0</v>
      </c>
      <c r="M29" s="499" t="b">
        <f>IF(OR(AND(J29=3,K29=4),AND(J29=2,K29=5),AND(J29=2,K29=5),AND(L29=20),AND(L29&gt;=52,L29&lt;=100)),"ZONA RIESGO EXTREMA",IF(OR(AND(J29=5,K29=2),AND(J29=4,K29=3),AND(J29=1,K29=4),AND(L29=16),AND(L29&gt;=28,L29&lt;=48)),"ZONA RIESGO ALTA",IF(OR(AND(J29=1,K29=3),AND(J29=4,K29=1),AND(L29=24)),"ZONA RIESGO MODERADA",IF(AND(L29&gt;=4,L29&lt;=16),"ZONA RIESGO BAJA"))))</f>
        <v>0</v>
      </c>
      <c r="N29" s="176">
        <v>1</v>
      </c>
      <c r="O29" s="184"/>
      <c r="P29" s="182"/>
      <c r="Q29" s="182"/>
      <c r="R29" s="182"/>
      <c r="S29" s="182"/>
      <c r="T29" s="182"/>
      <c r="U29" s="182"/>
      <c r="V29" s="182"/>
      <c r="W29" s="101">
        <f t="shared" si="1"/>
        <v>0</v>
      </c>
      <c r="X29" s="102" t="str">
        <f t="shared" si="0"/>
        <v>DEBIL</v>
      </c>
      <c r="Y29" s="180"/>
      <c r="Z29" s="103" t="str">
        <f t="shared" si="2"/>
        <v/>
      </c>
      <c r="AA29" s="101" t="str">
        <f t="shared" si="3"/>
        <v>SI</v>
      </c>
      <c r="AB29" s="182"/>
      <c r="AC29" s="504">
        <f>IF(AND(W29&gt;0,SUM(W30:W34)=0),W29,IF(AND(SUM(W29:W30)&gt;0,SUM(W31:W34)=0),AVERAGE(W29:W30),IF(AND(SUM(W29:W31)&gt;0,SUM(W32:W34)=0),AVERAGE(W29:W31),IF(AND(SUM(W29:W32)&gt;0,SUM(W33:W34)=0),AVERAGE(W29:W32),IF(AND(SUM(W29:W33)&gt;0,W34=0),AVERAGE(W29:W33),AVERAGE(W29:W34))))))</f>
        <v>0</v>
      </c>
      <c r="AD29" s="504" t="str">
        <f>IF(AND(AC29&gt;=50,AC29&lt;=99),"MODERADO",IF(AND(AC29=100), "FUERTE",IF(AND(AC29&lt;50), "DEBIL")))</f>
        <v>DEBIL</v>
      </c>
      <c r="AE29" s="505"/>
      <c r="AF29" s="505"/>
      <c r="AG29" s="506" t="str">
        <f>IFERROR(_xlfn.IFS(AND(AD29="MODERADO",AE29="Directamente"),1,AND(AD29="FUERTE",AE29="Directamente"),2),"0")</f>
        <v>0</v>
      </c>
      <c r="AH29" s="506" t="str">
        <f>IFERROR(_xlfn.IFS(AND(AD29="MODERADO",AF29="Directamente"),1,AND(AD29="FUERTE",AF29="Directamente"),2,AND(AD29="FUERTE",AF29="Indirectamente"),1),"0")</f>
        <v>0</v>
      </c>
      <c r="AI29" s="498"/>
      <c r="AJ29" s="498"/>
      <c r="AK29" s="502">
        <f>+(AI29*AJ29)*4</f>
        <v>0</v>
      </c>
      <c r="AL29" s="499"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511"/>
      <c r="AN29" s="185"/>
      <c r="AO29" s="176"/>
      <c r="AP29" s="188"/>
      <c r="AQ29" s="188"/>
      <c r="AR29" s="185"/>
      <c r="AS29" s="188"/>
      <c r="AT29" s="185"/>
      <c r="AU29" s="188"/>
      <c r="AV29" s="185"/>
      <c r="AW29" s="99"/>
      <c r="AX29" s="170"/>
      <c r="AY29" s="131"/>
      <c r="AZ29" s="185"/>
      <c r="BA29" s="185"/>
      <c r="BB29" s="176"/>
      <c r="BC29" s="188"/>
      <c r="BD29" s="188"/>
      <c r="BE29" s="185"/>
      <c r="BF29" s="185"/>
      <c r="BG29" s="176"/>
      <c r="BH29" s="188"/>
      <c r="BI29" s="188"/>
      <c r="BJ29" s="185"/>
      <c r="BK29" s="185"/>
      <c r="BL29" s="176"/>
      <c r="BM29" s="188"/>
      <c r="BN29" s="188"/>
      <c r="BO29" s="170"/>
      <c r="BP29" s="170"/>
      <c r="BQ29" s="131"/>
      <c r="BR29" s="99"/>
      <c r="BS29" s="99"/>
      <c r="BT29" s="99"/>
      <c r="BU29" s="170"/>
      <c r="BV29" s="170"/>
      <c r="BW29" s="170"/>
      <c r="BX29" s="99"/>
      <c r="BY29" s="170"/>
      <c r="BZ29" s="170"/>
      <c r="CA29" s="302"/>
      <c r="CB29" s="300"/>
      <c r="CC29" s="301"/>
      <c r="CD29" s="300"/>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row>
    <row r="30" spans="1:108" ht="21" customHeight="1" thickTop="1" thickBot="1" x14ac:dyDescent="0.35">
      <c r="A30" s="445"/>
      <c r="B30" s="446"/>
      <c r="C30" s="446"/>
      <c r="D30" s="446"/>
      <c r="E30" s="472"/>
      <c r="F30" s="446"/>
      <c r="G30" s="446"/>
      <c r="H30" s="446"/>
      <c r="I30" s="446"/>
      <c r="J30" s="445"/>
      <c r="K30" s="445"/>
      <c r="L30" s="502"/>
      <c r="M30" s="500"/>
      <c r="N30" s="176">
        <v>2</v>
      </c>
      <c r="O30" s="184"/>
      <c r="P30" s="182"/>
      <c r="Q30" s="182"/>
      <c r="R30" s="182"/>
      <c r="S30" s="182"/>
      <c r="T30" s="182"/>
      <c r="U30" s="182"/>
      <c r="V30" s="182"/>
      <c r="W30" s="101">
        <f t="shared" si="1"/>
        <v>0</v>
      </c>
      <c r="X30" s="102" t="str">
        <f t="shared" si="0"/>
        <v>DEBIL</v>
      </c>
      <c r="Y30" s="180"/>
      <c r="Z30" s="103" t="str">
        <f t="shared" si="2"/>
        <v/>
      </c>
      <c r="AA30" s="101" t="str">
        <f t="shared" si="3"/>
        <v>SI</v>
      </c>
      <c r="AB30" s="182"/>
      <c r="AC30" s="504"/>
      <c r="AD30" s="504"/>
      <c r="AE30" s="505"/>
      <c r="AF30" s="505"/>
      <c r="AG30" s="506"/>
      <c r="AH30" s="506"/>
      <c r="AI30" s="498"/>
      <c r="AJ30" s="498"/>
      <c r="AK30" s="502"/>
      <c r="AL30" s="500"/>
      <c r="AM30" s="508"/>
      <c r="AN30" s="185"/>
      <c r="AO30" s="176"/>
      <c r="AP30" s="188"/>
      <c r="AQ30" s="188"/>
      <c r="AR30" s="185"/>
      <c r="AS30" s="188"/>
      <c r="AT30" s="185"/>
      <c r="AU30" s="188"/>
      <c r="AV30" s="185"/>
      <c r="AW30" s="99"/>
      <c r="AX30" s="170"/>
      <c r="AY30" s="131"/>
      <c r="AZ30" s="185"/>
      <c r="BA30" s="185"/>
      <c r="BB30" s="176"/>
      <c r="BC30" s="188"/>
      <c r="BD30" s="188"/>
      <c r="BE30" s="185"/>
      <c r="BF30" s="185"/>
      <c r="BG30" s="176"/>
      <c r="BH30" s="188"/>
      <c r="BI30" s="188"/>
      <c r="BJ30" s="185"/>
      <c r="BK30" s="185"/>
      <c r="BL30" s="176"/>
      <c r="BM30" s="188"/>
      <c r="BN30" s="188"/>
      <c r="BO30" s="170"/>
      <c r="BP30" s="170"/>
      <c r="BQ30" s="131"/>
      <c r="BR30" s="99"/>
      <c r="BS30" s="99"/>
      <c r="BT30" s="99"/>
      <c r="BU30" s="170"/>
      <c r="BV30" s="170"/>
      <c r="BW30" s="170"/>
      <c r="BX30" s="99"/>
      <c r="BY30" s="170"/>
      <c r="BZ30" s="170"/>
      <c r="CA30" s="302"/>
      <c r="CB30" s="300"/>
      <c r="CC30" s="301"/>
      <c r="CD30" s="300"/>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row>
    <row r="31" spans="1:108" ht="21" customHeight="1" thickTop="1" thickBot="1" x14ac:dyDescent="0.35">
      <c r="A31" s="445"/>
      <c r="B31" s="446"/>
      <c r="C31" s="446"/>
      <c r="D31" s="446"/>
      <c r="E31" s="472"/>
      <c r="F31" s="446"/>
      <c r="G31" s="446"/>
      <c r="H31" s="446"/>
      <c r="I31" s="446"/>
      <c r="J31" s="445"/>
      <c r="K31" s="445"/>
      <c r="L31" s="502"/>
      <c r="M31" s="500"/>
      <c r="N31" s="176">
        <v>3</v>
      </c>
      <c r="O31" s="183"/>
      <c r="P31" s="182"/>
      <c r="Q31" s="182"/>
      <c r="R31" s="182"/>
      <c r="S31" s="182"/>
      <c r="T31" s="182"/>
      <c r="U31" s="182"/>
      <c r="V31" s="182"/>
      <c r="W31" s="101">
        <f t="shared" si="1"/>
        <v>0</v>
      </c>
      <c r="X31" s="102" t="str">
        <f t="shared" si="0"/>
        <v>DEBIL</v>
      </c>
      <c r="Y31" s="180"/>
      <c r="Z31" s="103" t="str">
        <f t="shared" si="2"/>
        <v/>
      </c>
      <c r="AA31" s="101" t="str">
        <f t="shared" si="3"/>
        <v>SI</v>
      </c>
      <c r="AB31" s="182"/>
      <c r="AC31" s="504"/>
      <c r="AD31" s="504"/>
      <c r="AE31" s="505"/>
      <c r="AF31" s="505"/>
      <c r="AG31" s="506"/>
      <c r="AH31" s="506"/>
      <c r="AI31" s="498"/>
      <c r="AJ31" s="498"/>
      <c r="AK31" s="502"/>
      <c r="AL31" s="500"/>
      <c r="AM31" s="508"/>
      <c r="AN31" s="185"/>
      <c r="AO31" s="176"/>
      <c r="AP31" s="188"/>
      <c r="AQ31" s="188"/>
      <c r="AR31" s="185"/>
      <c r="AS31" s="188"/>
      <c r="AT31" s="185"/>
      <c r="AU31" s="188"/>
      <c r="AV31" s="185"/>
      <c r="AW31" s="99"/>
      <c r="AX31" s="170"/>
      <c r="AY31" s="131"/>
      <c r="AZ31" s="185"/>
      <c r="BA31" s="185"/>
      <c r="BB31" s="176"/>
      <c r="BC31" s="188"/>
      <c r="BD31" s="188"/>
      <c r="BE31" s="185"/>
      <c r="BF31" s="185"/>
      <c r="BG31" s="176"/>
      <c r="BH31" s="188"/>
      <c r="BI31" s="188"/>
      <c r="BJ31" s="185"/>
      <c r="BK31" s="185"/>
      <c r="BL31" s="176"/>
      <c r="BM31" s="188"/>
      <c r="BN31" s="188"/>
      <c r="BO31" s="170"/>
      <c r="BP31" s="170"/>
      <c r="BQ31" s="131"/>
      <c r="BR31" s="99"/>
      <c r="BS31" s="99"/>
      <c r="BT31" s="99"/>
      <c r="BU31" s="170"/>
      <c r="BV31" s="170"/>
      <c r="BW31" s="170"/>
      <c r="BX31" s="99"/>
      <c r="BY31" s="170"/>
      <c r="BZ31" s="170"/>
      <c r="CA31" s="302"/>
      <c r="CB31" s="300"/>
      <c r="CC31" s="301"/>
      <c r="CD31" s="300"/>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row>
    <row r="32" spans="1:108" ht="21" customHeight="1" thickTop="1" thickBot="1" x14ac:dyDescent="0.35">
      <c r="A32" s="445"/>
      <c r="B32" s="446"/>
      <c r="C32" s="446"/>
      <c r="D32" s="446"/>
      <c r="E32" s="472"/>
      <c r="F32" s="446"/>
      <c r="G32" s="446"/>
      <c r="H32" s="446"/>
      <c r="I32" s="446"/>
      <c r="J32" s="445"/>
      <c r="K32" s="445"/>
      <c r="L32" s="502"/>
      <c r="M32" s="500"/>
      <c r="N32" s="176">
        <v>4</v>
      </c>
      <c r="O32" s="184"/>
      <c r="P32" s="182"/>
      <c r="Q32" s="182"/>
      <c r="R32" s="182"/>
      <c r="S32" s="182"/>
      <c r="T32" s="182"/>
      <c r="U32" s="182"/>
      <c r="V32" s="182"/>
      <c r="W32" s="101">
        <f t="shared" si="1"/>
        <v>0</v>
      </c>
      <c r="X32" s="102" t="str">
        <f t="shared" si="0"/>
        <v>DEBIL</v>
      </c>
      <c r="Y32" s="180"/>
      <c r="Z32" s="103" t="str">
        <f t="shared" si="2"/>
        <v/>
      </c>
      <c r="AA32" s="101" t="str">
        <f t="shared" si="3"/>
        <v>SI</v>
      </c>
      <c r="AB32" s="182"/>
      <c r="AC32" s="504"/>
      <c r="AD32" s="504"/>
      <c r="AE32" s="505"/>
      <c r="AF32" s="505"/>
      <c r="AG32" s="506"/>
      <c r="AH32" s="506"/>
      <c r="AI32" s="498"/>
      <c r="AJ32" s="498"/>
      <c r="AK32" s="502"/>
      <c r="AL32" s="500"/>
      <c r="AM32" s="508"/>
      <c r="AN32" s="185"/>
      <c r="AO32" s="176"/>
      <c r="AP32" s="188"/>
      <c r="AQ32" s="188"/>
      <c r="AR32" s="185"/>
      <c r="AS32" s="188"/>
      <c r="AT32" s="185"/>
      <c r="AU32" s="188"/>
      <c r="AV32" s="185"/>
      <c r="AW32" s="99"/>
      <c r="AX32" s="170"/>
      <c r="AY32" s="131"/>
      <c r="AZ32" s="185"/>
      <c r="BA32" s="185"/>
      <c r="BB32" s="176"/>
      <c r="BC32" s="188"/>
      <c r="BD32" s="188"/>
      <c r="BE32" s="185"/>
      <c r="BF32" s="185"/>
      <c r="BG32" s="176"/>
      <c r="BH32" s="188"/>
      <c r="BI32" s="188"/>
      <c r="BJ32" s="185"/>
      <c r="BK32" s="185"/>
      <c r="BL32" s="176"/>
      <c r="BM32" s="188"/>
      <c r="BN32" s="188"/>
      <c r="BO32" s="170"/>
      <c r="BP32" s="170"/>
      <c r="BQ32" s="131"/>
      <c r="BR32" s="99"/>
      <c r="BS32" s="99"/>
      <c r="BT32" s="99"/>
      <c r="BU32" s="170"/>
      <c r="BV32" s="170"/>
      <c r="BW32" s="170"/>
      <c r="BX32" s="99"/>
      <c r="BY32" s="170"/>
      <c r="BZ32" s="170"/>
      <c r="CA32" s="302"/>
      <c r="CB32" s="300"/>
      <c r="CC32" s="301"/>
      <c r="CD32" s="300"/>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row>
    <row r="33" spans="1:108" ht="21" customHeight="1" thickTop="1" thickBot="1" x14ac:dyDescent="0.35">
      <c r="A33" s="445"/>
      <c r="B33" s="446"/>
      <c r="C33" s="446"/>
      <c r="D33" s="446"/>
      <c r="E33" s="472"/>
      <c r="F33" s="446"/>
      <c r="G33" s="446"/>
      <c r="H33" s="446"/>
      <c r="I33" s="446"/>
      <c r="J33" s="445"/>
      <c r="K33" s="445"/>
      <c r="L33" s="502"/>
      <c r="M33" s="500"/>
      <c r="N33" s="176">
        <v>5</v>
      </c>
      <c r="O33" s="184"/>
      <c r="P33" s="182"/>
      <c r="Q33" s="182"/>
      <c r="R33" s="182"/>
      <c r="S33" s="182"/>
      <c r="T33" s="182"/>
      <c r="U33" s="182"/>
      <c r="V33" s="182"/>
      <c r="W33" s="101">
        <f t="shared" si="1"/>
        <v>0</v>
      </c>
      <c r="X33" s="102" t="str">
        <f t="shared" si="0"/>
        <v>DEBIL</v>
      </c>
      <c r="Y33" s="180"/>
      <c r="Z33" s="103" t="str">
        <f t="shared" si="2"/>
        <v/>
      </c>
      <c r="AA33" s="101" t="str">
        <f t="shared" si="3"/>
        <v>SI</v>
      </c>
      <c r="AB33" s="182"/>
      <c r="AC33" s="504"/>
      <c r="AD33" s="504"/>
      <c r="AE33" s="505"/>
      <c r="AF33" s="505"/>
      <c r="AG33" s="506"/>
      <c r="AH33" s="506"/>
      <c r="AI33" s="498"/>
      <c r="AJ33" s="498"/>
      <c r="AK33" s="502"/>
      <c r="AL33" s="500"/>
      <c r="AM33" s="508"/>
      <c r="AN33" s="185"/>
      <c r="AO33" s="176"/>
      <c r="AP33" s="188"/>
      <c r="AQ33" s="188"/>
      <c r="AR33" s="185"/>
      <c r="AS33" s="188"/>
      <c r="AT33" s="185"/>
      <c r="AU33" s="188"/>
      <c r="AV33" s="185"/>
      <c r="AW33" s="99"/>
      <c r="AX33" s="170"/>
      <c r="AY33" s="131"/>
      <c r="AZ33" s="185"/>
      <c r="BA33" s="185"/>
      <c r="BB33" s="176"/>
      <c r="BC33" s="188"/>
      <c r="BD33" s="188"/>
      <c r="BE33" s="185"/>
      <c r="BF33" s="185"/>
      <c r="BG33" s="176"/>
      <c r="BH33" s="188"/>
      <c r="BI33" s="188"/>
      <c r="BJ33" s="185"/>
      <c r="BK33" s="185"/>
      <c r="BL33" s="176"/>
      <c r="BM33" s="188"/>
      <c r="BN33" s="188"/>
      <c r="BO33" s="170"/>
      <c r="BP33" s="170"/>
      <c r="BQ33" s="131"/>
      <c r="BR33" s="99"/>
      <c r="BS33" s="99"/>
      <c r="BT33" s="99"/>
      <c r="BU33" s="170"/>
      <c r="BV33" s="170"/>
      <c r="BW33" s="170"/>
      <c r="BX33" s="99"/>
      <c r="BY33" s="170"/>
      <c r="BZ33" s="170"/>
      <c r="CA33" s="302"/>
      <c r="CB33" s="300"/>
      <c r="CC33" s="301"/>
      <c r="CD33" s="300"/>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row>
    <row r="34" spans="1:108" ht="21" customHeight="1" thickTop="1" thickBot="1" x14ac:dyDescent="0.35">
      <c r="A34" s="445"/>
      <c r="B34" s="446"/>
      <c r="C34" s="446"/>
      <c r="D34" s="446"/>
      <c r="E34" s="472"/>
      <c r="F34" s="446"/>
      <c r="G34" s="446"/>
      <c r="H34" s="446"/>
      <c r="I34" s="446"/>
      <c r="J34" s="445"/>
      <c r="K34" s="445"/>
      <c r="L34" s="502"/>
      <c r="M34" s="501"/>
      <c r="N34" s="176">
        <v>6</v>
      </c>
      <c r="O34" s="184"/>
      <c r="P34" s="182"/>
      <c r="Q34" s="182"/>
      <c r="R34" s="182"/>
      <c r="S34" s="182"/>
      <c r="T34" s="182"/>
      <c r="U34" s="182"/>
      <c r="V34" s="182"/>
      <c r="W34" s="101">
        <f t="shared" si="1"/>
        <v>0</v>
      </c>
      <c r="X34" s="102" t="str">
        <f t="shared" si="0"/>
        <v>DEBIL</v>
      </c>
      <c r="Y34" s="180"/>
      <c r="Z34" s="103" t="str">
        <f t="shared" si="2"/>
        <v/>
      </c>
      <c r="AA34" s="101" t="str">
        <f t="shared" si="3"/>
        <v>SI</v>
      </c>
      <c r="AB34" s="182"/>
      <c r="AC34" s="504"/>
      <c r="AD34" s="504"/>
      <c r="AE34" s="505"/>
      <c r="AF34" s="505"/>
      <c r="AG34" s="506"/>
      <c r="AH34" s="506"/>
      <c r="AI34" s="498"/>
      <c r="AJ34" s="498"/>
      <c r="AK34" s="502"/>
      <c r="AL34" s="501"/>
      <c r="AM34" s="509"/>
      <c r="AN34" s="185"/>
      <c r="AO34" s="176"/>
      <c r="AP34" s="188"/>
      <c r="AQ34" s="188"/>
      <c r="AR34" s="185"/>
      <c r="AS34" s="188"/>
      <c r="AT34" s="185"/>
      <c r="AU34" s="188"/>
      <c r="AV34" s="185"/>
      <c r="AW34" s="99"/>
      <c r="AX34" s="170"/>
      <c r="AY34" s="131"/>
      <c r="AZ34" s="185"/>
      <c r="BA34" s="185"/>
      <c r="BB34" s="176"/>
      <c r="BC34" s="188"/>
      <c r="BD34" s="188"/>
      <c r="BE34" s="185"/>
      <c r="BF34" s="185"/>
      <c r="BG34" s="176"/>
      <c r="BH34" s="188"/>
      <c r="BI34" s="188"/>
      <c r="BJ34" s="185"/>
      <c r="BK34" s="185"/>
      <c r="BL34" s="176"/>
      <c r="BM34" s="188"/>
      <c r="BN34" s="188"/>
      <c r="BO34" s="170"/>
      <c r="BP34" s="170"/>
      <c r="BQ34" s="131"/>
      <c r="BR34" s="99"/>
      <c r="BS34" s="99"/>
      <c r="BT34" s="99"/>
      <c r="BU34" s="170"/>
      <c r="BV34" s="170"/>
      <c r="BW34" s="170"/>
      <c r="BX34" s="99"/>
      <c r="BY34" s="170"/>
      <c r="BZ34" s="170"/>
      <c r="CA34" s="302"/>
      <c r="CB34" s="300"/>
      <c r="CC34" s="301"/>
      <c r="CD34" s="300"/>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row>
    <row r="35" spans="1:108" ht="21" customHeight="1" thickTop="1" thickBot="1" x14ac:dyDescent="0.35">
      <c r="A35" s="445">
        <v>6</v>
      </c>
      <c r="B35" s="446"/>
      <c r="C35" s="446"/>
      <c r="D35" s="446"/>
      <c r="E35" s="472"/>
      <c r="F35" s="446"/>
      <c r="G35" s="446"/>
      <c r="H35" s="446"/>
      <c r="I35" s="446"/>
      <c r="J35" s="445"/>
      <c r="K35" s="445"/>
      <c r="L35" s="502">
        <f>+(J35*K35)*4</f>
        <v>0</v>
      </c>
      <c r="M35" s="499" t="b">
        <f>IF(OR(AND(J35=3,K35=4),AND(J35=2,K35=5),AND(J35=2,K35=5),AND(L35=20),AND(L35&gt;=52,L35&lt;=100)),"ZONA RIESGO EXTREMA",IF(OR(AND(J35=5,K35=2),AND(J35=4,K35=3),AND(J35=1,K35=4),AND(L35=16),AND(L35&gt;=28,L35&lt;=48)),"ZONA RIESGO ALTA",IF(OR(AND(J35=1,K35=3),AND(J35=4,K35=1),AND(L35=24)),"ZONA RIESGO MODERADA",IF(AND(L35&gt;=4,L35&lt;=16),"ZONA RIESGO BAJA"))))</f>
        <v>0</v>
      </c>
      <c r="N35" s="176">
        <v>1</v>
      </c>
      <c r="O35" s="184"/>
      <c r="P35" s="182"/>
      <c r="Q35" s="182"/>
      <c r="R35" s="182"/>
      <c r="S35" s="182"/>
      <c r="T35" s="182"/>
      <c r="U35" s="182"/>
      <c r="V35" s="182"/>
      <c r="W35" s="101">
        <f t="shared" si="1"/>
        <v>0</v>
      </c>
      <c r="X35" s="102" t="str">
        <f t="shared" si="0"/>
        <v>DEBIL</v>
      </c>
      <c r="Y35" s="180"/>
      <c r="Z35" s="103" t="str">
        <f t="shared" si="2"/>
        <v/>
      </c>
      <c r="AA35" s="101" t="str">
        <f t="shared" si="3"/>
        <v>SI</v>
      </c>
      <c r="AB35" s="182"/>
      <c r="AC35" s="504">
        <f>IF(AND(W35&gt;0,SUM(W36:W40)=0),W35,IF(AND(SUM(W35:W36)&gt;0,SUM(W37:W40)=0),AVERAGE(W35:W36),IF(AND(SUM(W35:W37)&gt;0,SUM(W38:W40)=0),AVERAGE(W35:W37),IF(AND(SUM(W35:W38)&gt;0,SUM(W39:W40)=0),AVERAGE(W35:W38),IF(AND(SUM(W35:W39)&gt;0,W40=0),AVERAGE(W35:W39),AVERAGE(W35:W40))))))</f>
        <v>0</v>
      </c>
      <c r="AD35" s="504" t="str">
        <f>IF(AND(AC35&gt;=50,AC35&lt;=99),"MODERADO",IF(AND(AC35=100), "FUERTE",IF(AND(AC35&lt;50), "DEBIL")))</f>
        <v>DEBIL</v>
      </c>
      <c r="AE35" s="505"/>
      <c r="AF35" s="505"/>
      <c r="AG35" s="506" t="str">
        <f>IFERROR(_xlfn.IFS(AND(AD35="MODERADO",AE35="Directamente"),1,AND(AD35="FUERTE",AE35="Directamente"),2),"0")</f>
        <v>0</v>
      </c>
      <c r="AH35" s="506" t="str">
        <f>IFERROR(_xlfn.IFS(AND(AD35="MODERADO",AF35="Directamente"),1,AND(AD35="FUERTE",AF35="Directamente"),2,AND(AD35="FUERTE",AF35="Indirectamente"),1),"0")</f>
        <v>0</v>
      </c>
      <c r="AI35" s="498"/>
      <c r="AJ35" s="498"/>
      <c r="AK35" s="502">
        <f>+(AI35*AJ35)*4</f>
        <v>0</v>
      </c>
      <c r="AL35" s="499"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511"/>
      <c r="AN35" s="185"/>
      <c r="AO35" s="176"/>
      <c r="AP35" s="188"/>
      <c r="AQ35" s="188"/>
      <c r="AR35" s="185"/>
      <c r="AS35" s="188"/>
      <c r="AT35" s="185"/>
      <c r="AU35" s="188"/>
      <c r="AV35" s="185"/>
      <c r="AW35" s="99"/>
      <c r="AX35" s="170"/>
      <c r="AY35" s="131"/>
      <c r="AZ35" s="185"/>
      <c r="BA35" s="185"/>
      <c r="BB35" s="176"/>
      <c r="BC35" s="188"/>
      <c r="BD35" s="188"/>
      <c r="BE35" s="185"/>
      <c r="BF35" s="185"/>
      <c r="BG35" s="176"/>
      <c r="BH35" s="188"/>
      <c r="BI35" s="188"/>
      <c r="BJ35" s="185"/>
      <c r="BK35" s="185"/>
      <c r="BL35" s="176"/>
      <c r="BM35" s="188"/>
      <c r="BN35" s="188"/>
      <c r="BO35" s="170"/>
      <c r="BP35" s="170"/>
      <c r="BQ35" s="131"/>
      <c r="BR35" s="99"/>
      <c r="BS35" s="99"/>
      <c r="BT35" s="99"/>
      <c r="BU35" s="170"/>
      <c r="BV35" s="170"/>
      <c r="BW35" s="170"/>
      <c r="BX35" s="99"/>
      <c r="BY35" s="170"/>
      <c r="BZ35" s="170"/>
      <c r="CA35" s="302"/>
      <c r="CB35" s="300"/>
      <c r="CC35" s="301"/>
      <c r="CD35" s="300"/>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row>
    <row r="36" spans="1:108" ht="21" customHeight="1" thickTop="1" thickBot="1" x14ac:dyDescent="0.35">
      <c r="A36" s="445"/>
      <c r="B36" s="446"/>
      <c r="C36" s="446"/>
      <c r="D36" s="446"/>
      <c r="E36" s="472"/>
      <c r="F36" s="446"/>
      <c r="G36" s="446"/>
      <c r="H36" s="446"/>
      <c r="I36" s="446"/>
      <c r="J36" s="445"/>
      <c r="K36" s="445"/>
      <c r="L36" s="502"/>
      <c r="M36" s="500"/>
      <c r="N36" s="176">
        <v>2</v>
      </c>
      <c r="O36" s="184"/>
      <c r="P36" s="182"/>
      <c r="Q36" s="182"/>
      <c r="R36" s="182"/>
      <c r="S36" s="182"/>
      <c r="T36" s="182"/>
      <c r="U36" s="182"/>
      <c r="V36" s="182"/>
      <c r="W36" s="101">
        <f t="shared" si="1"/>
        <v>0</v>
      </c>
      <c r="X36" s="102" t="str">
        <f t="shared" si="0"/>
        <v>DEBIL</v>
      </c>
      <c r="Y36" s="180"/>
      <c r="Z36" s="103" t="str">
        <f t="shared" si="2"/>
        <v/>
      </c>
      <c r="AA36" s="101" t="str">
        <f t="shared" si="3"/>
        <v>SI</v>
      </c>
      <c r="AB36" s="182"/>
      <c r="AC36" s="504"/>
      <c r="AD36" s="504"/>
      <c r="AE36" s="505"/>
      <c r="AF36" s="505"/>
      <c r="AG36" s="506"/>
      <c r="AH36" s="506"/>
      <c r="AI36" s="498"/>
      <c r="AJ36" s="498"/>
      <c r="AK36" s="502"/>
      <c r="AL36" s="500"/>
      <c r="AM36" s="508"/>
      <c r="AN36" s="185"/>
      <c r="AO36" s="176"/>
      <c r="AP36" s="188"/>
      <c r="AQ36" s="188"/>
      <c r="AR36" s="185"/>
      <c r="AS36" s="188"/>
      <c r="AT36" s="185"/>
      <c r="AU36" s="188"/>
      <c r="AV36" s="185"/>
      <c r="AW36" s="99"/>
      <c r="AX36" s="170"/>
      <c r="AY36" s="131"/>
      <c r="AZ36" s="185"/>
      <c r="BA36" s="185"/>
      <c r="BB36" s="176"/>
      <c r="BC36" s="188"/>
      <c r="BD36" s="188"/>
      <c r="BE36" s="185"/>
      <c r="BF36" s="185"/>
      <c r="BG36" s="176"/>
      <c r="BH36" s="188"/>
      <c r="BI36" s="188"/>
      <c r="BJ36" s="185"/>
      <c r="BK36" s="185"/>
      <c r="BL36" s="176"/>
      <c r="BM36" s="188"/>
      <c r="BN36" s="188"/>
      <c r="BO36" s="170"/>
      <c r="BP36" s="170"/>
      <c r="BQ36" s="131"/>
      <c r="BR36" s="99"/>
      <c r="BS36" s="99"/>
      <c r="BT36" s="99"/>
      <c r="BU36" s="170"/>
      <c r="BV36" s="170"/>
      <c r="BW36" s="170"/>
      <c r="BX36" s="99"/>
      <c r="BY36" s="170"/>
      <c r="BZ36" s="170"/>
      <c r="CA36" s="302"/>
      <c r="CB36" s="300"/>
      <c r="CC36" s="301"/>
      <c r="CD36" s="300"/>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row>
    <row r="37" spans="1:108" ht="21" customHeight="1" thickTop="1" thickBot="1" x14ac:dyDescent="0.35">
      <c r="A37" s="445"/>
      <c r="B37" s="446"/>
      <c r="C37" s="446"/>
      <c r="D37" s="446"/>
      <c r="E37" s="472"/>
      <c r="F37" s="446"/>
      <c r="G37" s="446"/>
      <c r="H37" s="446"/>
      <c r="I37" s="446"/>
      <c r="J37" s="445"/>
      <c r="K37" s="445"/>
      <c r="L37" s="502"/>
      <c r="M37" s="500"/>
      <c r="N37" s="176">
        <v>3</v>
      </c>
      <c r="O37" s="183"/>
      <c r="P37" s="182"/>
      <c r="Q37" s="182"/>
      <c r="R37" s="182"/>
      <c r="S37" s="182"/>
      <c r="T37" s="182"/>
      <c r="U37" s="182"/>
      <c r="V37" s="182"/>
      <c r="W37" s="101">
        <f t="shared" si="1"/>
        <v>0</v>
      </c>
      <c r="X37" s="102" t="str">
        <f t="shared" si="0"/>
        <v>DEBIL</v>
      </c>
      <c r="Y37" s="180"/>
      <c r="Z37" s="103" t="str">
        <f t="shared" si="2"/>
        <v/>
      </c>
      <c r="AA37" s="101" t="str">
        <f t="shared" si="3"/>
        <v>SI</v>
      </c>
      <c r="AB37" s="182"/>
      <c r="AC37" s="504"/>
      <c r="AD37" s="504"/>
      <c r="AE37" s="505"/>
      <c r="AF37" s="505"/>
      <c r="AG37" s="506"/>
      <c r="AH37" s="506"/>
      <c r="AI37" s="498"/>
      <c r="AJ37" s="498"/>
      <c r="AK37" s="502"/>
      <c r="AL37" s="500"/>
      <c r="AM37" s="508"/>
      <c r="AN37" s="185"/>
      <c r="AO37" s="176"/>
      <c r="AP37" s="188"/>
      <c r="AQ37" s="188"/>
      <c r="AR37" s="185"/>
      <c r="AS37" s="188"/>
      <c r="AT37" s="185"/>
      <c r="AU37" s="188"/>
      <c r="AV37" s="185"/>
      <c r="AW37" s="99"/>
      <c r="AX37" s="170"/>
      <c r="AY37" s="131"/>
      <c r="AZ37" s="185"/>
      <c r="BA37" s="185"/>
      <c r="BB37" s="176"/>
      <c r="BC37" s="188"/>
      <c r="BD37" s="188"/>
      <c r="BE37" s="185"/>
      <c r="BF37" s="185"/>
      <c r="BG37" s="176"/>
      <c r="BH37" s="188"/>
      <c r="BI37" s="188"/>
      <c r="BJ37" s="185"/>
      <c r="BK37" s="185"/>
      <c r="BL37" s="176"/>
      <c r="BM37" s="188"/>
      <c r="BN37" s="188"/>
      <c r="BO37" s="170"/>
      <c r="BP37" s="170"/>
      <c r="BQ37" s="131"/>
      <c r="BR37" s="99"/>
      <c r="BS37" s="99"/>
      <c r="BT37" s="99"/>
      <c r="BU37" s="170"/>
      <c r="BV37" s="170"/>
      <c r="BW37" s="170"/>
      <c r="BX37" s="99"/>
      <c r="BY37" s="170"/>
      <c r="BZ37" s="170"/>
      <c r="CA37" s="302"/>
      <c r="CB37" s="300"/>
      <c r="CC37" s="301"/>
      <c r="CD37" s="300"/>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row>
    <row r="38" spans="1:108" ht="21" customHeight="1" thickTop="1" thickBot="1" x14ac:dyDescent="0.35">
      <c r="A38" s="445"/>
      <c r="B38" s="446"/>
      <c r="C38" s="446"/>
      <c r="D38" s="446"/>
      <c r="E38" s="472"/>
      <c r="F38" s="446"/>
      <c r="G38" s="446"/>
      <c r="H38" s="446"/>
      <c r="I38" s="446"/>
      <c r="J38" s="445"/>
      <c r="K38" s="445"/>
      <c r="L38" s="502"/>
      <c r="M38" s="500"/>
      <c r="N38" s="176">
        <v>4</v>
      </c>
      <c r="O38" s="184"/>
      <c r="P38" s="182"/>
      <c r="Q38" s="182"/>
      <c r="R38" s="182"/>
      <c r="S38" s="182"/>
      <c r="T38" s="182"/>
      <c r="U38" s="182"/>
      <c r="V38" s="182"/>
      <c r="W38" s="101">
        <f t="shared" si="1"/>
        <v>0</v>
      </c>
      <c r="X38" s="102" t="str">
        <f t="shared" si="0"/>
        <v>DEBIL</v>
      </c>
      <c r="Y38" s="180"/>
      <c r="Z38" s="103" t="str">
        <f t="shared" si="2"/>
        <v/>
      </c>
      <c r="AA38" s="101" t="str">
        <f t="shared" si="3"/>
        <v>SI</v>
      </c>
      <c r="AB38" s="182"/>
      <c r="AC38" s="504"/>
      <c r="AD38" s="504"/>
      <c r="AE38" s="505"/>
      <c r="AF38" s="505"/>
      <c r="AG38" s="506"/>
      <c r="AH38" s="506"/>
      <c r="AI38" s="498"/>
      <c r="AJ38" s="498"/>
      <c r="AK38" s="502"/>
      <c r="AL38" s="500"/>
      <c r="AM38" s="508"/>
      <c r="AN38" s="185"/>
      <c r="AO38" s="176"/>
      <c r="AP38" s="188"/>
      <c r="AQ38" s="188"/>
      <c r="AR38" s="185"/>
      <c r="AS38" s="188"/>
      <c r="AT38" s="185"/>
      <c r="AU38" s="188"/>
      <c r="AV38" s="185"/>
      <c r="AW38" s="99"/>
      <c r="AX38" s="170"/>
      <c r="AY38" s="131"/>
      <c r="AZ38" s="185"/>
      <c r="BA38" s="185"/>
      <c r="BB38" s="176"/>
      <c r="BC38" s="188"/>
      <c r="BD38" s="188"/>
      <c r="BE38" s="185"/>
      <c r="BF38" s="185"/>
      <c r="BG38" s="176"/>
      <c r="BH38" s="188"/>
      <c r="BI38" s="188"/>
      <c r="BJ38" s="185"/>
      <c r="BK38" s="185"/>
      <c r="BL38" s="176"/>
      <c r="BM38" s="188"/>
      <c r="BN38" s="188"/>
      <c r="BO38" s="170"/>
      <c r="BP38" s="170"/>
      <c r="BQ38" s="131"/>
      <c r="BR38" s="99"/>
      <c r="BS38" s="99"/>
      <c r="BT38" s="99"/>
      <c r="BU38" s="170"/>
      <c r="BV38" s="170"/>
      <c r="BW38" s="170"/>
      <c r="BX38" s="99"/>
      <c r="BY38" s="170"/>
      <c r="BZ38" s="170"/>
      <c r="CA38" s="302"/>
      <c r="CB38" s="300"/>
      <c r="CC38" s="301"/>
      <c r="CD38" s="300"/>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row>
    <row r="39" spans="1:108" ht="21" customHeight="1" thickTop="1" thickBot="1" x14ac:dyDescent="0.35">
      <c r="A39" s="445"/>
      <c r="B39" s="446"/>
      <c r="C39" s="446"/>
      <c r="D39" s="446"/>
      <c r="E39" s="472"/>
      <c r="F39" s="446"/>
      <c r="G39" s="446"/>
      <c r="H39" s="446"/>
      <c r="I39" s="446"/>
      <c r="J39" s="445"/>
      <c r="K39" s="445"/>
      <c r="L39" s="502"/>
      <c r="M39" s="500"/>
      <c r="N39" s="176">
        <v>5</v>
      </c>
      <c r="O39" s="184"/>
      <c r="P39" s="182"/>
      <c r="Q39" s="182"/>
      <c r="R39" s="182"/>
      <c r="S39" s="182"/>
      <c r="T39" s="182"/>
      <c r="U39" s="182"/>
      <c r="V39" s="182"/>
      <c r="W39" s="101">
        <f t="shared" si="1"/>
        <v>0</v>
      </c>
      <c r="X39" s="102" t="str">
        <f t="shared" si="0"/>
        <v>DEBIL</v>
      </c>
      <c r="Y39" s="180"/>
      <c r="Z39" s="103" t="str">
        <f t="shared" si="2"/>
        <v/>
      </c>
      <c r="AA39" s="101" t="str">
        <f t="shared" si="3"/>
        <v>SI</v>
      </c>
      <c r="AB39" s="182"/>
      <c r="AC39" s="504"/>
      <c r="AD39" s="504"/>
      <c r="AE39" s="505"/>
      <c r="AF39" s="505"/>
      <c r="AG39" s="506"/>
      <c r="AH39" s="506"/>
      <c r="AI39" s="498"/>
      <c r="AJ39" s="498"/>
      <c r="AK39" s="502"/>
      <c r="AL39" s="500"/>
      <c r="AM39" s="508"/>
      <c r="AN39" s="185"/>
      <c r="AO39" s="176"/>
      <c r="AP39" s="188"/>
      <c r="AQ39" s="188"/>
      <c r="AR39" s="185"/>
      <c r="AS39" s="188"/>
      <c r="AT39" s="185"/>
      <c r="AU39" s="188"/>
      <c r="AV39" s="185"/>
      <c r="AW39" s="99"/>
      <c r="AX39" s="170"/>
      <c r="AY39" s="131"/>
      <c r="AZ39" s="185"/>
      <c r="BA39" s="185"/>
      <c r="BB39" s="176"/>
      <c r="BC39" s="188"/>
      <c r="BD39" s="188"/>
      <c r="BE39" s="185"/>
      <c r="BF39" s="185"/>
      <c r="BG39" s="176"/>
      <c r="BH39" s="188"/>
      <c r="BI39" s="188"/>
      <c r="BJ39" s="185"/>
      <c r="BK39" s="185"/>
      <c r="BL39" s="176"/>
      <c r="BM39" s="188"/>
      <c r="BN39" s="188"/>
      <c r="BO39" s="170"/>
      <c r="BP39" s="170"/>
      <c r="BQ39" s="131"/>
      <c r="BR39" s="99"/>
      <c r="BS39" s="99"/>
      <c r="BT39" s="99"/>
      <c r="BU39" s="170"/>
      <c r="BV39" s="170"/>
      <c r="BW39" s="170"/>
      <c r="BX39" s="99"/>
      <c r="BY39" s="170"/>
      <c r="BZ39" s="170"/>
      <c r="CA39" s="302"/>
      <c r="CB39" s="300"/>
      <c r="CC39" s="301"/>
      <c r="CD39" s="300"/>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row>
    <row r="40" spans="1:108" ht="21" customHeight="1" thickTop="1" thickBot="1" x14ac:dyDescent="0.35">
      <c r="A40" s="445"/>
      <c r="B40" s="446"/>
      <c r="C40" s="446"/>
      <c r="D40" s="446"/>
      <c r="E40" s="472"/>
      <c r="F40" s="446"/>
      <c r="G40" s="446"/>
      <c r="H40" s="446"/>
      <c r="I40" s="446"/>
      <c r="J40" s="445"/>
      <c r="K40" s="445"/>
      <c r="L40" s="502"/>
      <c r="M40" s="501"/>
      <c r="N40" s="176">
        <v>6</v>
      </c>
      <c r="O40" s="184"/>
      <c r="P40" s="182"/>
      <c r="Q40" s="182"/>
      <c r="R40" s="182"/>
      <c r="S40" s="182"/>
      <c r="T40" s="182"/>
      <c r="U40" s="182"/>
      <c r="V40" s="182"/>
      <c r="W40" s="101">
        <f t="shared" si="1"/>
        <v>0</v>
      </c>
      <c r="X40" s="102" t="str">
        <f t="shared" si="0"/>
        <v>DEBIL</v>
      </c>
      <c r="Y40" s="180"/>
      <c r="Z40" s="103" t="str">
        <f t="shared" si="2"/>
        <v/>
      </c>
      <c r="AA40" s="101" t="str">
        <f t="shared" si="3"/>
        <v>SI</v>
      </c>
      <c r="AB40" s="182"/>
      <c r="AC40" s="504"/>
      <c r="AD40" s="504"/>
      <c r="AE40" s="505"/>
      <c r="AF40" s="505"/>
      <c r="AG40" s="506"/>
      <c r="AH40" s="506"/>
      <c r="AI40" s="498"/>
      <c r="AJ40" s="498"/>
      <c r="AK40" s="502"/>
      <c r="AL40" s="501"/>
      <c r="AM40" s="509"/>
      <c r="AN40" s="185"/>
      <c r="AO40" s="176"/>
      <c r="AP40" s="188"/>
      <c r="AQ40" s="188"/>
      <c r="AR40" s="185"/>
      <c r="AS40" s="188"/>
      <c r="AT40" s="185"/>
      <c r="AU40" s="188"/>
      <c r="AV40" s="185"/>
      <c r="AW40" s="99"/>
      <c r="AX40" s="170"/>
      <c r="AY40" s="131"/>
      <c r="AZ40" s="185"/>
      <c r="BA40" s="185"/>
      <c r="BB40" s="176"/>
      <c r="BC40" s="188"/>
      <c r="BD40" s="188"/>
      <c r="BE40" s="185"/>
      <c r="BF40" s="185"/>
      <c r="BG40" s="176"/>
      <c r="BH40" s="188"/>
      <c r="BI40" s="188"/>
      <c r="BJ40" s="185"/>
      <c r="BK40" s="185"/>
      <c r="BL40" s="176"/>
      <c r="BM40" s="188"/>
      <c r="BN40" s="188"/>
      <c r="BO40" s="170"/>
      <c r="BP40" s="170"/>
      <c r="BQ40" s="131"/>
      <c r="BR40" s="99"/>
      <c r="BS40" s="99"/>
      <c r="BT40" s="99"/>
      <c r="BU40" s="170"/>
      <c r="BV40" s="170"/>
      <c r="BW40" s="170"/>
      <c r="BX40" s="99"/>
      <c r="BY40" s="170"/>
      <c r="BZ40" s="170"/>
      <c r="CA40" s="302"/>
      <c r="CB40" s="300"/>
      <c r="CC40" s="301"/>
      <c r="CD40" s="300"/>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row>
    <row r="41" spans="1:108" ht="21" customHeight="1" thickTop="1" thickBot="1" x14ac:dyDescent="0.35">
      <c r="A41" s="445">
        <v>7</v>
      </c>
      <c r="B41" s="446"/>
      <c r="C41" s="446"/>
      <c r="D41" s="446"/>
      <c r="E41" s="472"/>
      <c r="F41" s="446"/>
      <c r="G41" s="446"/>
      <c r="H41" s="446"/>
      <c r="I41" s="446"/>
      <c r="J41" s="445"/>
      <c r="K41" s="445"/>
      <c r="L41" s="502">
        <f>+(J41*K41)*4</f>
        <v>0</v>
      </c>
      <c r="M41" s="499" t="b">
        <f>IF(OR(AND(J41=3,K41=4),AND(J41=2,K41=5),AND(J41=2,K41=5),AND(L41=20),AND(L41&gt;=52,L41&lt;=100)),"ZONA RIESGO EXTREMA",IF(OR(AND(J41=5,K41=2),AND(J41=4,K41=3),AND(J41=1,K41=4),AND(L41=16),AND(L41&gt;=28,L41&lt;=48)),"ZONA RIESGO ALTA",IF(OR(AND(J41=1,K41=3),AND(J41=4,K41=1),AND(L41=24)),"ZONA RIESGO MODERADA",IF(AND(L41&gt;=4,L41&lt;=16),"ZONA RIESGO BAJA"))))</f>
        <v>0</v>
      </c>
      <c r="N41" s="176">
        <v>1</v>
      </c>
      <c r="O41" s="184"/>
      <c r="P41" s="182"/>
      <c r="Q41" s="182"/>
      <c r="R41" s="182"/>
      <c r="S41" s="182"/>
      <c r="T41" s="182"/>
      <c r="U41" s="182"/>
      <c r="V41" s="182"/>
      <c r="W41" s="101">
        <f t="shared" si="1"/>
        <v>0</v>
      </c>
      <c r="X41" s="102" t="str">
        <f t="shared" si="0"/>
        <v>DEBIL</v>
      </c>
      <c r="Y41" s="180"/>
      <c r="Z41" s="103" t="str">
        <f t="shared" si="2"/>
        <v/>
      </c>
      <c r="AA41" s="101" t="str">
        <f t="shared" si="3"/>
        <v>SI</v>
      </c>
      <c r="AB41" s="182"/>
      <c r="AC41" s="504">
        <f>IF(AND(W41&gt;0,SUM(W42:W46)=0),W41,IF(AND(SUM(W41:W42)&gt;0,SUM(W43:W46)=0),AVERAGE(W41:W42),IF(AND(SUM(W41:W43)&gt;0,SUM(W44:W46)=0),AVERAGE(W41:W43),IF(AND(SUM(W41:W44)&gt;0,SUM(W45:W46)=0),AVERAGE(W41:W44),IF(AND(SUM(W41:W45)&gt;0,W46=0),AVERAGE(W41:W45),AVERAGE(W41:W46))))))</f>
        <v>0</v>
      </c>
      <c r="AD41" s="504" t="str">
        <f>IF(AND(AC41&gt;=50,AC41&lt;=99),"MODERADO",IF(AND(AC41=100), "FUERTE",IF(AND(AC41&lt;50), "DEBIL")))</f>
        <v>DEBIL</v>
      </c>
      <c r="AE41" s="505"/>
      <c r="AF41" s="505"/>
      <c r="AG41" s="506" t="str">
        <f>IFERROR(_xlfn.IFS(AND(AD41="MODERADO",AE41="Directamente"),1,AND(AD41="FUERTE",AE41="Directamente"),2),"0")</f>
        <v>0</v>
      </c>
      <c r="AH41" s="506" t="str">
        <f>IFERROR(_xlfn.IFS(AND(AD41="MODERADO",AF41="Directamente"),1,AND(AD41="FUERTE",AF41="Directamente"),2,AND(AD41="FUERTE",AF41="Indirectamente"),1),"0")</f>
        <v>0</v>
      </c>
      <c r="AI41" s="498"/>
      <c r="AJ41" s="498"/>
      <c r="AK41" s="502">
        <f>+(AI41*AJ41)*4</f>
        <v>0</v>
      </c>
      <c r="AL41" s="499"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511"/>
      <c r="AN41" s="185"/>
      <c r="AO41" s="176"/>
      <c r="AP41" s="188"/>
      <c r="AQ41" s="188"/>
      <c r="AR41" s="185"/>
      <c r="AS41" s="188"/>
      <c r="AT41" s="185"/>
      <c r="AU41" s="188"/>
      <c r="AV41" s="185"/>
      <c r="AW41" s="99"/>
      <c r="AX41" s="170"/>
      <c r="AY41" s="131"/>
      <c r="AZ41" s="185"/>
      <c r="BA41" s="185"/>
      <c r="BB41" s="176"/>
      <c r="BC41" s="188"/>
      <c r="BD41" s="188"/>
      <c r="BE41" s="185"/>
      <c r="BF41" s="185"/>
      <c r="BG41" s="176"/>
      <c r="BH41" s="188"/>
      <c r="BI41" s="188"/>
      <c r="BJ41" s="185"/>
      <c r="BK41" s="185"/>
      <c r="BL41" s="176"/>
      <c r="BM41" s="188"/>
      <c r="BN41" s="188"/>
      <c r="BO41" s="170"/>
      <c r="BP41" s="170"/>
      <c r="BQ41" s="131"/>
      <c r="BR41" s="99"/>
      <c r="BS41" s="99"/>
      <c r="BT41" s="99"/>
      <c r="BU41" s="170"/>
      <c r="BV41" s="170"/>
      <c r="BW41" s="170"/>
      <c r="BX41" s="99"/>
      <c r="BY41" s="170"/>
      <c r="BZ41" s="170"/>
      <c r="CA41" s="302"/>
      <c r="CB41" s="300"/>
      <c r="CC41" s="301"/>
      <c r="CD41" s="300"/>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row>
    <row r="42" spans="1:108" ht="21" customHeight="1" thickTop="1" thickBot="1" x14ac:dyDescent="0.35">
      <c r="A42" s="445"/>
      <c r="B42" s="446"/>
      <c r="C42" s="446"/>
      <c r="D42" s="446"/>
      <c r="E42" s="472"/>
      <c r="F42" s="446"/>
      <c r="G42" s="446"/>
      <c r="H42" s="446"/>
      <c r="I42" s="446"/>
      <c r="J42" s="445"/>
      <c r="K42" s="445"/>
      <c r="L42" s="502"/>
      <c r="M42" s="500"/>
      <c r="N42" s="176">
        <v>2</v>
      </c>
      <c r="O42" s="184"/>
      <c r="P42" s="182"/>
      <c r="Q42" s="182"/>
      <c r="R42" s="182"/>
      <c r="S42" s="182"/>
      <c r="T42" s="182"/>
      <c r="U42" s="182"/>
      <c r="V42" s="182"/>
      <c r="W42" s="101">
        <f t="shared" si="1"/>
        <v>0</v>
      </c>
      <c r="X42" s="102" t="str">
        <f t="shared" si="0"/>
        <v>DEBIL</v>
      </c>
      <c r="Y42" s="180"/>
      <c r="Z42" s="103" t="str">
        <f t="shared" si="2"/>
        <v/>
      </c>
      <c r="AA42" s="101" t="str">
        <f t="shared" si="3"/>
        <v>SI</v>
      </c>
      <c r="AB42" s="182"/>
      <c r="AC42" s="504"/>
      <c r="AD42" s="504"/>
      <c r="AE42" s="505"/>
      <c r="AF42" s="505"/>
      <c r="AG42" s="506"/>
      <c r="AH42" s="506"/>
      <c r="AI42" s="498"/>
      <c r="AJ42" s="498"/>
      <c r="AK42" s="502"/>
      <c r="AL42" s="500"/>
      <c r="AM42" s="508"/>
      <c r="AN42" s="185"/>
      <c r="AO42" s="176"/>
      <c r="AP42" s="188"/>
      <c r="AQ42" s="188"/>
      <c r="AR42" s="185"/>
      <c r="AS42" s="188"/>
      <c r="AT42" s="185"/>
      <c r="AU42" s="188"/>
      <c r="AV42" s="185"/>
      <c r="AW42" s="99"/>
      <c r="AX42" s="170"/>
      <c r="AY42" s="131"/>
      <c r="AZ42" s="185"/>
      <c r="BA42" s="185"/>
      <c r="BB42" s="176"/>
      <c r="BC42" s="188"/>
      <c r="BD42" s="188"/>
      <c r="BE42" s="185"/>
      <c r="BF42" s="185"/>
      <c r="BG42" s="176"/>
      <c r="BH42" s="188"/>
      <c r="BI42" s="188"/>
      <c r="BJ42" s="185"/>
      <c r="BK42" s="185"/>
      <c r="BL42" s="176"/>
      <c r="BM42" s="188"/>
      <c r="BN42" s="188"/>
      <c r="BO42" s="170"/>
      <c r="BP42" s="170"/>
      <c r="BQ42" s="131"/>
      <c r="BR42" s="99"/>
      <c r="BS42" s="99"/>
      <c r="BT42" s="99"/>
      <c r="BU42" s="170"/>
      <c r="BV42" s="170"/>
      <c r="BW42" s="170"/>
      <c r="BX42" s="99"/>
      <c r="BY42" s="170"/>
      <c r="BZ42" s="170"/>
      <c r="CA42" s="302"/>
      <c r="CB42" s="300"/>
      <c r="CC42" s="301"/>
      <c r="CD42" s="300"/>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row>
    <row r="43" spans="1:108" ht="21" customHeight="1" thickTop="1" thickBot="1" x14ac:dyDescent="0.35">
      <c r="A43" s="445"/>
      <c r="B43" s="446"/>
      <c r="C43" s="446"/>
      <c r="D43" s="446"/>
      <c r="E43" s="472"/>
      <c r="F43" s="446"/>
      <c r="G43" s="446"/>
      <c r="H43" s="446"/>
      <c r="I43" s="446"/>
      <c r="J43" s="445"/>
      <c r="K43" s="445"/>
      <c r="L43" s="502"/>
      <c r="M43" s="500"/>
      <c r="N43" s="176">
        <v>3</v>
      </c>
      <c r="O43" s="183"/>
      <c r="P43" s="182"/>
      <c r="Q43" s="182"/>
      <c r="R43" s="182"/>
      <c r="S43" s="182"/>
      <c r="T43" s="182"/>
      <c r="U43" s="182"/>
      <c r="V43" s="182"/>
      <c r="W43" s="101">
        <f t="shared" si="1"/>
        <v>0</v>
      </c>
      <c r="X43" s="102" t="str">
        <f t="shared" si="0"/>
        <v>DEBIL</v>
      </c>
      <c r="Y43" s="180"/>
      <c r="Z43" s="103" t="str">
        <f t="shared" si="2"/>
        <v/>
      </c>
      <c r="AA43" s="101" t="str">
        <f t="shared" si="3"/>
        <v>SI</v>
      </c>
      <c r="AB43" s="182"/>
      <c r="AC43" s="504"/>
      <c r="AD43" s="504"/>
      <c r="AE43" s="505"/>
      <c r="AF43" s="505"/>
      <c r="AG43" s="506"/>
      <c r="AH43" s="506"/>
      <c r="AI43" s="498"/>
      <c r="AJ43" s="498"/>
      <c r="AK43" s="502"/>
      <c r="AL43" s="500"/>
      <c r="AM43" s="508"/>
      <c r="AN43" s="185"/>
      <c r="AO43" s="176"/>
      <c r="AP43" s="188"/>
      <c r="AQ43" s="188"/>
      <c r="AR43" s="185"/>
      <c r="AS43" s="188"/>
      <c r="AT43" s="185"/>
      <c r="AU43" s="188"/>
      <c r="AV43" s="185"/>
      <c r="AW43" s="99"/>
      <c r="AX43" s="170"/>
      <c r="AY43" s="131"/>
      <c r="AZ43" s="185"/>
      <c r="BA43" s="185"/>
      <c r="BB43" s="176"/>
      <c r="BC43" s="188"/>
      <c r="BD43" s="188"/>
      <c r="BE43" s="185"/>
      <c r="BF43" s="185"/>
      <c r="BG43" s="176"/>
      <c r="BH43" s="188"/>
      <c r="BI43" s="188"/>
      <c r="BJ43" s="185"/>
      <c r="BK43" s="185"/>
      <c r="BL43" s="176"/>
      <c r="BM43" s="188"/>
      <c r="BN43" s="188"/>
      <c r="BO43" s="170"/>
      <c r="BP43" s="170"/>
      <c r="BQ43" s="131"/>
      <c r="BR43" s="99"/>
      <c r="BS43" s="99"/>
      <c r="BT43" s="99"/>
      <c r="BU43" s="170"/>
      <c r="BV43" s="170"/>
      <c r="BW43" s="170"/>
      <c r="BX43" s="99"/>
      <c r="BY43" s="170"/>
      <c r="BZ43" s="170"/>
      <c r="CA43" s="302"/>
      <c r="CB43" s="303"/>
      <c r="CC43" s="304"/>
      <c r="CD43" s="30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row>
    <row r="44" spans="1:108" ht="21" customHeight="1" thickTop="1" thickBot="1" x14ac:dyDescent="0.35">
      <c r="A44" s="445"/>
      <c r="B44" s="446"/>
      <c r="C44" s="446"/>
      <c r="D44" s="446"/>
      <c r="E44" s="472"/>
      <c r="F44" s="446"/>
      <c r="G44" s="446"/>
      <c r="H44" s="446"/>
      <c r="I44" s="446"/>
      <c r="J44" s="445"/>
      <c r="K44" s="445"/>
      <c r="L44" s="502"/>
      <c r="M44" s="500"/>
      <c r="N44" s="176">
        <v>4</v>
      </c>
      <c r="O44" s="184"/>
      <c r="P44" s="182"/>
      <c r="Q44" s="182"/>
      <c r="R44" s="182"/>
      <c r="S44" s="182"/>
      <c r="T44" s="182"/>
      <c r="U44" s="182"/>
      <c r="V44" s="182"/>
      <c r="W44" s="101">
        <f t="shared" si="1"/>
        <v>0</v>
      </c>
      <c r="X44" s="102" t="str">
        <f t="shared" si="0"/>
        <v>DEBIL</v>
      </c>
      <c r="Y44" s="180"/>
      <c r="Z44" s="103" t="str">
        <f t="shared" si="2"/>
        <v/>
      </c>
      <c r="AA44" s="101" t="str">
        <f t="shared" si="3"/>
        <v>SI</v>
      </c>
      <c r="AB44" s="182"/>
      <c r="AC44" s="504"/>
      <c r="AD44" s="504"/>
      <c r="AE44" s="505"/>
      <c r="AF44" s="505"/>
      <c r="AG44" s="506"/>
      <c r="AH44" s="506"/>
      <c r="AI44" s="498"/>
      <c r="AJ44" s="498"/>
      <c r="AK44" s="502"/>
      <c r="AL44" s="500"/>
      <c r="AM44" s="508"/>
      <c r="AN44" s="185"/>
      <c r="AO44" s="176"/>
      <c r="AP44" s="188"/>
      <c r="AQ44" s="188"/>
      <c r="AR44" s="185"/>
      <c r="AS44" s="188"/>
      <c r="AT44" s="185"/>
      <c r="AU44" s="188"/>
      <c r="AV44" s="185"/>
      <c r="AW44" s="99"/>
      <c r="AX44" s="170"/>
      <c r="AY44" s="131"/>
      <c r="AZ44" s="185"/>
      <c r="BA44" s="185"/>
      <c r="BB44" s="176"/>
      <c r="BC44" s="188"/>
      <c r="BD44" s="188"/>
      <c r="BE44" s="185"/>
      <c r="BF44" s="185"/>
      <c r="BG44" s="176"/>
      <c r="BH44" s="188"/>
      <c r="BI44" s="188"/>
      <c r="BJ44" s="185"/>
      <c r="BK44" s="185"/>
      <c r="BL44" s="176"/>
      <c r="BM44" s="188"/>
      <c r="BN44" s="188"/>
      <c r="BO44" s="170"/>
      <c r="BP44" s="170"/>
      <c r="BQ44" s="131"/>
      <c r="BR44" s="99"/>
      <c r="BS44" s="99"/>
      <c r="BT44" s="99"/>
      <c r="BU44" s="170"/>
      <c r="BV44" s="170"/>
      <c r="BW44" s="170"/>
      <c r="BX44" s="99"/>
      <c r="BY44" s="170"/>
      <c r="BZ44" s="170"/>
      <c r="CA44" s="302"/>
      <c r="CB44" s="303"/>
      <c r="CC44" s="304"/>
      <c r="CD44" s="30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row>
    <row r="45" spans="1:108" ht="21" customHeight="1" thickTop="1" thickBot="1" x14ac:dyDescent="0.35">
      <c r="A45" s="445"/>
      <c r="B45" s="446"/>
      <c r="C45" s="446"/>
      <c r="D45" s="446"/>
      <c r="E45" s="472"/>
      <c r="F45" s="446"/>
      <c r="G45" s="446"/>
      <c r="H45" s="446"/>
      <c r="I45" s="446"/>
      <c r="J45" s="445"/>
      <c r="K45" s="445"/>
      <c r="L45" s="502"/>
      <c r="M45" s="500"/>
      <c r="N45" s="176">
        <v>5</v>
      </c>
      <c r="O45" s="184"/>
      <c r="P45" s="182"/>
      <c r="Q45" s="182"/>
      <c r="R45" s="182"/>
      <c r="S45" s="182"/>
      <c r="T45" s="182"/>
      <c r="U45" s="182"/>
      <c r="V45" s="182"/>
      <c r="W45" s="101">
        <f t="shared" si="1"/>
        <v>0</v>
      </c>
      <c r="X45" s="102" t="str">
        <f t="shared" si="0"/>
        <v>DEBIL</v>
      </c>
      <c r="Y45" s="180"/>
      <c r="Z45" s="103" t="str">
        <f t="shared" si="2"/>
        <v/>
      </c>
      <c r="AA45" s="101" t="str">
        <f t="shared" si="3"/>
        <v>SI</v>
      </c>
      <c r="AB45" s="182"/>
      <c r="AC45" s="504"/>
      <c r="AD45" s="504"/>
      <c r="AE45" s="505"/>
      <c r="AF45" s="505"/>
      <c r="AG45" s="506"/>
      <c r="AH45" s="506"/>
      <c r="AI45" s="498"/>
      <c r="AJ45" s="498"/>
      <c r="AK45" s="502"/>
      <c r="AL45" s="500"/>
      <c r="AM45" s="508"/>
      <c r="AN45" s="185"/>
      <c r="AO45" s="176"/>
      <c r="AP45" s="188"/>
      <c r="AQ45" s="188"/>
      <c r="AR45" s="185"/>
      <c r="AS45" s="188"/>
      <c r="AT45" s="185"/>
      <c r="AU45" s="188"/>
      <c r="AV45" s="185"/>
      <c r="AW45" s="99"/>
      <c r="AX45" s="170"/>
      <c r="AY45" s="131"/>
      <c r="AZ45" s="185"/>
      <c r="BA45" s="185"/>
      <c r="BB45" s="176"/>
      <c r="BC45" s="188"/>
      <c r="BD45" s="188"/>
      <c r="BE45" s="185"/>
      <c r="BF45" s="185"/>
      <c r="BG45" s="176"/>
      <c r="BH45" s="188"/>
      <c r="BI45" s="188"/>
      <c r="BJ45" s="185"/>
      <c r="BK45" s="185"/>
      <c r="BL45" s="176"/>
      <c r="BM45" s="188"/>
      <c r="BN45" s="188"/>
      <c r="BO45" s="170"/>
      <c r="BP45" s="170"/>
      <c r="BQ45" s="131"/>
      <c r="BR45" s="99"/>
      <c r="BS45" s="99"/>
      <c r="BT45" s="99"/>
      <c r="BU45" s="170"/>
      <c r="BV45" s="170"/>
      <c r="BW45" s="170"/>
      <c r="BX45" s="99"/>
      <c r="BY45" s="170"/>
      <c r="BZ45" s="170"/>
      <c r="CA45" s="302"/>
      <c r="CB45" s="303"/>
      <c r="CC45" s="304"/>
      <c r="CD45" s="30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row>
    <row r="46" spans="1:108" ht="21" customHeight="1" thickTop="1" thickBot="1" x14ac:dyDescent="0.35">
      <c r="A46" s="445"/>
      <c r="B46" s="446"/>
      <c r="C46" s="446"/>
      <c r="D46" s="446"/>
      <c r="E46" s="472"/>
      <c r="F46" s="446"/>
      <c r="G46" s="446"/>
      <c r="H46" s="446"/>
      <c r="I46" s="446"/>
      <c r="J46" s="445"/>
      <c r="K46" s="445"/>
      <c r="L46" s="502"/>
      <c r="M46" s="501"/>
      <c r="N46" s="176">
        <v>6</v>
      </c>
      <c r="O46" s="184"/>
      <c r="P46" s="182"/>
      <c r="Q46" s="182"/>
      <c r="R46" s="182"/>
      <c r="S46" s="182"/>
      <c r="T46" s="182"/>
      <c r="U46" s="182"/>
      <c r="V46" s="182"/>
      <c r="W46" s="101">
        <f t="shared" si="1"/>
        <v>0</v>
      </c>
      <c r="X46" s="102" t="str">
        <f t="shared" si="0"/>
        <v>DEBIL</v>
      </c>
      <c r="Y46" s="180"/>
      <c r="Z46" s="103" t="str">
        <f t="shared" si="2"/>
        <v/>
      </c>
      <c r="AA46" s="101" t="str">
        <f t="shared" si="3"/>
        <v>SI</v>
      </c>
      <c r="AB46" s="182"/>
      <c r="AC46" s="504"/>
      <c r="AD46" s="504"/>
      <c r="AE46" s="505"/>
      <c r="AF46" s="505"/>
      <c r="AG46" s="506"/>
      <c r="AH46" s="506"/>
      <c r="AI46" s="498"/>
      <c r="AJ46" s="498"/>
      <c r="AK46" s="502"/>
      <c r="AL46" s="501"/>
      <c r="AM46" s="509"/>
      <c r="AN46" s="185"/>
      <c r="AO46" s="176"/>
      <c r="AP46" s="188"/>
      <c r="AQ46" s="188"/>
      <c r="AR46" s="185"/>
      <c r="AS46" s="188"/>
      <c r="AT46" s="185"/>
      <c r="AU46" s="188"/>
      <c r="AV46" s="185"/>
      <c r="AW46" s="99"/>
      <c r="AX46" s="170"/>
      <c r="AY46" s="131"/>
      <c r="AZ46" s="185"/>
      <c r="BA46" s="185"/>
      <c r="BB46" s="176"/>
      <c r="BC46" s="188"/>
      <c r="BD46" s="188"/>
      <c r="BE46" s="185"/>
      <c r="BF46" s="185"/>
      <c r="BG46" s="176"/>
      <c r="BH46" s="188"/>
      <c r="BI46" s="188"/>
      <c r="BJ46" s="185"/>
      <c r="BK46" s="185"/>
      <c r="BL46" s="176"/>
      <c r="BM46" s="188"/>
      <c r="BN46" s="188"/>
      <c r="BO46" s="170"/>
      <c r="BP46" s="170"/>
      <c r="BQ46" s="131"/>
      <c r="BR46" s="99"/>
      <c r="BS46" s="99"/>
      <c r="BT46" s="99"/>
      <c r="BU46" s="170"/>
      <c r="BV46" s="170"/>
      <c r="BW46" s="170"/>
      <c r="BX46" s="99"/>
      <c r="BY46" s="170"/>
      <c r="BZ46" s="170"/>
      <c r="CA46" s="302"/>
      <c r="CB46" s="303"/>
      <c r="CC46" s="304"/>
      <c r="CD46" s="30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row>
    <row r="47" spans="1:108" ht="21" customHeight="1" thickTop="1" thickBot="1" x14ac:dyDescent="0.35">
      <c r="A47" s="445">
        <v>8</v>
      </c>
      <c r="B47" s="446"/>
      <c r="C47" s="446"/>
      <c r="D47" s="446"/>
      <c r="E47" s="472"/>
      <c r="F47" s="446"/>
      <c r="G47" s="446"/>
      <c r="H47" s="446"/>
      <c r="I47" s="446"/>
      <c r="J47" s="445"/>
      <c r="K47" s="445"/>
      <c r="L47" s="502">
        <f>+(J47*K47)*4</f>
        <v>0</v>
      </c>
      <c r="M47" s="499" t="b">
        <f>IF(OR(AND(J47=3,K47=4),AND(J47=2,K47=5),AND(J47=2,K47=5),AND(L47=20),AND(L47&gt;=52,L47&lt;=100)),"ZONA RIESGO EXTREMA",IF(OR(AND(J47=5,K47=2),AND(J47=4,K47=3),AND(J47=1,K47=4),AND(L47=16),AND(L47&gt;=28,L47&lt;=48)),"ZONA RIESGO ALTA",IF(OR(AND(J47=1,K47=3),AND(J47=4,K47=1),AND(L47=24)),"ZONA RIESGO MODERADA",IF(AND(L47&gt;=4,L47&lt;=16),"ZONA RIESGO BAJA"))))</f>
        <v>0</v>
      </c>
      <c r="N47" s="176">
        <v>1</v>
      </c>
      <c r="O47" s="184"/>
      <c r="P47" s="182"/>
      <c r="Q47" s="182"/>
      <c r="R47" s="182"/>
      <c r="S47" s="182"/>
      <c r="T47" s="182"/>
      <c r="U47" s="182"/>
      <c r="V47" s="182"/>
      <c r="W47" s="101">
        <f t="shared" si="1"/>
        <v>0</v>
      </c>
      <c r="X47" s="102" t="str">
        <f t="shared" si="0"/>
        <v>DEBIL</v>
      </c>
      <c r="Y47" s="180"/>
      <c r="Z47" s="103" t="str">
        <f t="shared" si="2"/>
        <v/>
      </c>
      <c r="AA47" s="101" t="str">
        <f t="shared" si="3"/>
        <v>SI</v>
      </c>
      <c r="AB47" s="182"/>
      <c r="AC47" s="504">
        <f>IF(AND(W47&gt;0,SUM(W48:W52)=0),W47,IF(AND(SUM(W47:W48)&gt;0,SUM(W49:W52)=0),AVERAGE(W47:W48),IF(AND(SUM(W47:W49)&gt;0,SUM(W50:W52)=0),AVERAGE(W47:W49),IF(AND(SUM(W47:W50)&gt;0,SUM(W51:W52)=0),AVERAGE(W47:W50),IF(AND(SUM(W47:W51)&gt;0,W52=0),AVERAGE(W47:W51),AVERAGE(W47:W52))))))</f>
        <v>0</v>
      </c>
      <c r="AD47" s="504" t="str">
        <f>IF(AND(AC47&gt;=50,AC47&lt;=99),"MODERADO",IF(AND(AC47=100), "FUERTE",IF(AND(AC47&lt;50), "DEBIL")))</f>
        <v>DEBIL</v>
      </c>
      <c r="AE47" s="505"/>
      <c r="AF47" s="505"/>
      <c r="AG47" s="506" t="str">
        <f>IFERROR(_xlfn.IFS(AND(AD47="MODERADO",AE47="Directamente"),1,AND(AD47="FUERTE",AE47="Directamente"),2),"0")</f>
        <v>0</v>
      </c>
      <c r="AH47" s="506" t="str">
        <f>IFERROR(_xlfn.IFS(AND(AD47="MODERADO",AF47="Directamente"),1,AND(AD47="FUERTE",AF47="Directamente"),2,AND(AD47="FUERTE",AF47="Indirectamente"),1),"0")</f>
        <v>0</v>
      </c>
      <c r="AI47" s="498"/>
      <c r="AJ47" s="498"/>
      <c r="AK47" s="502">
        <f>+(AI47*AJ47)*4</f>
        <v>0</v>
      </c>
      <c r="AL47" s="499"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511"/>
      <c r="AN47" s="185"/>
      <c r="AO47" s="176"/>
      <c r="AP47" s="188"/>
      <c r="AQ47" s="188"/>
      <c r="AR47" s="185"/>
      <c r="AS47" s="188"/>
      <c r="AT47" s="185"/>
      <c r="AU47" s="188"/>
      <c r="AV47" s="185"/>
      <c r="AW47" s="99"/>
      <c r="AX47" s="170"/>
      <c r="AY47" s="131"/>
      <c r="AZ47" s="185"/>
      <c r="BA47" s="185"/>
      <c r="BB47" s="176"/>
      <c r="BC47" s="188"/>
      <c r="BD47" s="188"/>
      <c r="BE47" s="185"/>
      <c r="BF47" s="185"/>
      <c r="BG47" s="176"/>
      <c r="BH47" s="188"/>
      <c r="BI47" s="188"/>
      <c r="BJ47" s="185"/>
      <c r="BK47" s="185"/>
      <c r="BL47" s="176"/>
      <c r="BM47" s="188"/>
      <c r="BN47" s="188"/>
      <c r="BO47" s="170"/>
      <c r="BP47" s="170"/>
      <c r="BQ47" s="131"/>
      <c r="BR47" s="99"/>
      <c r="BS47" s="99"/>
      <c r="BT47" s="99"/>
      <c r="BU47" s="170"/>
      <c r="BV47" s="170"/>
      <c r="BW47" s="170"/>
      <c r="BX47" s="99"/>
      <c r="BY47" s="170"/>
      <c r="BZ47" s="170"/>
      <c r="CA47" s="302"/>
      <c r="CB47" s="303"/>
      <c r="CC47" s="304"/>
      <c r="CD47" s="30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row>
    <row r="48" spans="1:108" ht="21" customHeight="1" thickTop="1" thickBot="1" x14ac:dyDescent="0.35">
      <c r="A48" s="445"/>
      <c r="B48" s="446"/>
      <c r="C48" s="446"/>
      <c r="D48" s="446"/>
      <c r="E48" s="472"/>
      <c r="F48" s="446"/>
      <c r="G48" s="446"/>
      <c r="H48" s="446"/>
      <c r="I48" s="446"/>
      <c r="J48" s="445"/>
      <c r="K48" s="445"/>
      <c r="L48" s="502"/>
      <c r="M48" s="500"/>
      <c r="N48" s="176">
        <v>2</v>
      </c>
      <c r="O48" s="184"/>
      <c r="P48" s="182"/>
      <c r="Q48" s="182"/>
      <c r="R48" s="182"/>
      <c r="S48" s="182"/>
      <c r="T48" s="182"/>
      <c r="U48" s="182"/>
      <c r="V48" s="182"/>
      <c r="W48" s="101">
        <f t="shared" si="1"/>
        <v>0</v>
      </c>
      <c r="X48" s="102" t="str">
        <f t="shared" si="0"/>
        <v>DEBIL</v>
      </c>
      <c r="Y48" s="180"/>
      <c r="Z48" s="103" t="str">
        <f t="shared" si="2"/>
        <v/>
      </c>
      <c r="AA48" s="101" t="str">
        <f t="shared" si="3"/>
        <v>SI</v>
      </c>
      <c r="AB48" s="182"/>
      <c r="AC48" s="504"/>
      <c r="AD48" s="504"/>
      <c r="AE48" s="505"/>
      <c r="AF48" s="505"/>
      <c r="AG48" s="506"/>
      <c r="AH48" s="506"/>
      <c r="AI48" s="498"/>
      <c r="AJ48" s="498"/>
      <c r="AK48" s="502"/>
      <c r="AL48" s="500"/>
      <c r="AM48" s="508"/>
      <c r="AN48" s="185"/>
      <c r="AO48" s="176"/>
      <c r="AP48" s="188"/>
      <c r="AQ48" s="99"/>
      <c r="AR48" s="170"/>
      <c r="AS48" s="188"/>
      <c r="AT48" s="185"/>
      <c r="AU48" s="188"/>
      <c r="AV48" s="185"/>
      <c r="AW48" s="99"/>
      <c r="AX48" s="170"/>
      <c r="AY48" s="131"/>
      <c r="AZ48" s="185"/>
      <c r="BA48" s="185"/>
      <c r="BB48" s="176"/>
      <c r="BC48" s="188"/>
      <c r="BD48" s="188"/>
      <c r="BE48" s="185"/>
      <c r="BF48" s="185"/>
      <c r="BG48" s="176"/>
      <c r="BH48" s="188"/>
      <c r="BI48" s="188"/>
      <c r="BJ48" s="185"/>
      <c r="BK48" s="185"/>
      <c r="BL48" s="176"/>
      <c r="BM48" s="188"/>
      <c r="BN48" s="188"/>
      <c r="BO48" s="170"/>
      <c r="BP48" s="170"/>
      <c r="BQ48" s="131"/>
      <c r="BR48" s="99"/>
      <c r="BS48" s="99"/>
      <c r="BT48" s="99"/>
      <c r="BU48" s="170"/>
      <c r="BV48" s="170"/>
      <c r="BW48" s="170"/>
      <c r="BX48" s="99"/>
      <c r="BY48" s="170"/>
      <c r="BZ48" s="170"/>
      <c r="CA48" s="302"/>
      <c r="CB48" s="303"/>
      <c r="CC48" s="304"/>
      <c r="CD48" s="30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row>
    <row r="49" spans="1:108" ht="21" customHeight="1" thickTop="1" thickBot="1" x14ac:dyDescent="0.35">
      <c r="A49" s="445"/>
      <c r="B49" s="446"/>
      <c r="C49" s="446"/>
      <c r="D49" s="446"/>
      <c r="E49" s="472"/>
      <c r="F49" s="446"/>
      <c r="G49" s="446"/>
      <c r="H49" s="446"/>
      <c r="I49" s="446"/>
      <c r="J49" s="445"/>
      <c r="K49" s="445"/>
      <c r="L49" s="502"/>
      <c r="M49" s="500"/>
      <c r="N49" s="176">
        <v>3</v>
      </c>
      <c r="O49" s="183"/>
      <c r="P49" s="182"/>
      <c r="Q49" s="182"/>
      <c r="R49" s="182"/>
      <c r="S49" s="182"/>
      <c r="T49" s="182"/>
      <c r="U49" s="182"/>
      <c r="V49" s="182"/>
      <c r="W49" s="101">
        <f t="shared" si="1"/>
        <v>0</v>
      </c>
      <c r="X49" s="102" t="str">
        <f t="shared" si="0"/>
        <v>DEBIL</v>
      </c>
      <c r="Y49" s="180"/>
      <c r="Z49" s="103" t="str">
        <f t="shared" si="2"/>
        <v/>
      </c>
      <c r="AA49" s="101" t="str">
        <f t="shared" si="3"/>
        <v>SI</v>
      </c>
      <c r="AB49" s="182"/>
      <c r="AC49" s="504"/>
      <c r="AD49" s="504"/>
      <c r="AE49" s="505"/>
      <c r="AF49" s="505"/>
      <c r="AG49" s="506"/>
      <c r="AH49" s="506"/>
      <c r="AI49" s="498"/>
      <c r="AJ49" s="498"/>
      <c r="AK49" s="502"/>
      <c r="AL49" s="500"/>
      <c r="AM49" s="508"/>
      <c r="AN49" s="185"/>
      <c r="AO49" s="176"/>
      <c r="AP49" s="188"/>
      <c r="AQ49" s="99"/>
      <c r="AR49" s="170"/>
      <c r="AS49" s="188"/>
      <c r="AT49" s="185"/>
      <c r="AU49" s="188"/>
      <c r="AV49" s="185"/>
      <c r="AW49" s="99"/>
      <c r="AX49" s="170"/>
      <c r="AY49" s="131"/>
      <c r="AZ49" s="185"/>
      <c r="BA49" s="185"/>
      <c r="BB49" s="176"/>
      <c r="BC49" s="188"/>
      <c r="BD49" s="188"/>
      <c r="BE49" s="185"/>
      <c r="BF49" s="185"/>
      <c r="BG49" s="176"/>
      <c r="BH49" s="188"/>
      <c r="BI49" s="188"/>
      <c r="BJ49" s="185"/>
      <c r="BK49" s="185"/>
      <c r="BL49" s="176"/>
      <c r="BM49" s="188"/>
      <c r="BN49" s="188"/>
      <c r="BO49" s="170"/>
      <c r="BP49" s="170"/>
      <c r="BQ49" s="131"/>
      <c r="BR49" s="99"/>
      <c r="BS49" s="99"/>
      <c r="BT49" s="99"/>
      <c r="BU49" s="170"/>
      <c r="BV49" s="170"/>
      <c r="BW49" s="170"/>
      <c r="BX49" s="99"/>
      <c r="BY49" s="170"/>
      <c r="BZ49" s="170"/>
      <c r="CA49" s="302"/>
      <c r="CB49" s="303"/>
      <c r="CC49" s="304"/>
      <c r="CD49" s="30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row>
    <row r="50" spans="1:108" ht="21" customHeight="1" thickTop="1" thickBot="1" x14ac:dyDescent="0.35">
      <c r="A50" s="445"/>
      <c r="B50" s="446"/>
      <c r="C50" s="446"/>
      <c r="D50" s="446"/>
      <c r="E50" s="472"/>
      <c r="F50" s="446"/>
      <c r="G50" s="446"/>
      <c r="H50" s="446"/>
      <c r="I50" s="446"/>
      <c r="J50" s="445"/>
      <c r="K50" s="445"/>
      <c r="L50" s="502"/>
      <c r="M50" s="500"/>
      <c r="N50" s="176">
        <v>4</v>
      </c>
      <c r="O50" s="184"/>
      <c r="P50" s="182"/>
      <c r="Q50" s="182"/>
      <c r="R50" s="182"/>
      <c r="S50" s="182"/>
      <c r="T50" s="182"/>
      <c r="U50" s="182"/>
      <c r="V50" s="182"/>
      <c r="W50" s="101">
        <f t="shared" si="1"/>
        <v>0</v>
      </c>
      <c r="X50" s="102" t="str">
        <f t="shared" si="0"/>
        <v>DEBIL</v>
      </c>
      <c r="Y50" s="180"/>
      <c r="Z50" s="103" t="str">
        <f t="shared" si="2"/>
        <v/>
      </c>
      <c r="AA50" s="101" t="str">
        <f t="shared" si="3"/>
        <v>SI</v>
      </c>
      <c r="AB50" s="182"/>
      <c r="AC50" s="504"/>
      <c r="AD50" s="504"/>
      <c r="AE50" s="505"/>
      <c r="AF50" s="505"/>
      <c r="AG50" s="506"/>
      <c r="AH50" s="506"/>
      <c r="AI50" s="498"/>
      <c r="AJ50" s="498"/>
      <c r="AK50" s="502"/>
      <c r="AL50" s="500"/>
      <c r="AM50" s="508"/>
      <c r="AN50" s="185"/>
      <c r="AO50" s="176"/>
      <c r="AP50" s="188"/>
      <c r="AQ50" s="99"/>
      <c r="AR50" s="170"/>
      <c r="AS50" s="188"/>
      <c r="AT50" s="185"/>
      <c r="AU50" s="188"/>
      <c r="AV50" s="185"/>
      <c r="AW50" s="99"/>
      <c r="AX50" s="170"/>
      <c r="AY50" s="131"/>
      <c r="AZ50" s="185"/>
      <c r="BA50" s="185"/>
      <c r="BB50" s="176"/>
      <c r="BC50" s="188"/>
      <c r="BD50" s="188"/>
      <c r="BE50" s="185"/>
      <c r="BF50" s="185"/>
      <c r="BG50" s="176"/>
      <c r="BH50" s="188"/>
      <c r="BI50" s="188"/>
      <c r="BJ50" s="185"/>
      <c r="BK50" s="185"/>
      <c r="BL50" s="176"/>
      <c r="BM50" s="188"/>
      <c r="BN50" s="188"/>
      <c r="BO50" s="170"/>
      <c r="BP50" s="170"/>
      <c r="BQ50" s="131"/>
      <c r="BR50" s="99"/>
      <c r="BS50" s="99"/>
      <c r="BT50" s="99"/>
      <c r="BU50" s="170"/>
      <c r="BV50" s="170"/>
      <c r="BW50" s="170"/>
      <c r="BX50" s="99"/>
      <c r="BY50" s="170"/>
      <c r="BZ50" s="170"/>
      <c r="CA50" s="99"/>
      <c r="CB50" s="289"/>
      <c r="CC50" s="290"/>
      <c r="CD50" s="289"/>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row>
    <row r="51" spans="1:108" ht="21" customHeight="1" thickTop="1" thickBot="1" x14ac:dyDescent="0.35">
      <c r="A51" s="445"/>
      <c r="B51" s="446"/>
      <c r="C51" s="446"/>
      <c r="D51" s="446"/>
      <c r="E51" s="472"/>
      <c r="F51" s="446"/>
      <c r="G51" s="446"/>
      <c r="H51" s="446"/>
      <c r="I51" s="446"/>
      <c r="J51" s="445"/>
      <c r="K51" s="445"/>
      <c r="L51" s="502"/>
      <c r="M51" s="500"/>
      <c r="N51" s="176">
        <v>5</v>
      </c>
      <c r="O51" s="184"/>
      <c r="P51" s="182"/>
      <c r="Q51" s="182"/>
      <c r="R51" s="182"/>
      <c r="S51" s="182"/>
      <c r="T51" s="182"/>
      <c r="U51" s="182"/>
      <c r="V51" s="182"/>
      <c r="W51" s="101">
        <f t="shared" si="1"/>
        <v>0</v>
      </c>
      <c r="X51" s="102" t="str">
        <f t="shared" si="0"/>
        <v>DEBIL</v>
      </c>
      <c r="Y51" s="180"/>
      <c r="Z51" s="103" t="str">
        <f t="shared" si="2"/>
        <v/>
      </c>
      <c r="AA51" s="101" t="str">
        <f t="shared" si="3"/>
        <v>SI</v>
      </c>
      <c r="AB51" s="182"/>
      <c r="AC51" s="504"/>
      <c r="AD51" s="504"/>
      <c r="AE51" s="505"/>
      <c r="AF51" s="505"/>
      <c r="AG51" s="506"/>
      <c r="AH51" s="506"/>
      <c r="AI51" s="498"/>
      <c r="AJ51" s="498"/>
      <c r="AK51" s="502"/>
      <c r="AL51" s="500"/>
      <c r="AM51" s="508"/>
      <c r="AN51" s="185"/>
      <c r="AO51" s="176"/>
      <c r="AP51" s="188"/>
      <c r="AQ51" s="99"/>
      <c r="AR51" s="170"/>
      <c r="AS51" s="188"/>
      <c r="AT51" s="185"/>
      <c r="AU51" s="188"/>
      <c r="AV51" s="185"/>
      <c r="AW51" s="99"/>
      <c r="AX51" s="170"/>
      <c r="AY51" s="131"/>
      <c r="AZ51" s="185"/>
      <c r="BA51" s="185"/>
      <c r="BB51" s="176"/>
      <c r="BC51" s="188"/>
      <c r="BD51" s="188"/>
      <c r="BE51" s="185"/>
      <c r="BF51" s="185"/>
      <c r="BG51" s="176"/>
      <c r="BH51" s="188"/>
      <c r="BI51" s="188"/>
      <c r="BJ51" s="185"/>
      <c r="BK51" s="185"/>
      <c r="BL51" s="176"/>
      <c r="BM51" s="188"/>
      <c r="BN51" s="188"/>
      <c r="BO51" s="170"/>
      <c r="BP51" s="170"/>
      <c r="BQ51" s="131"/>
      <c r="BR51" s="99"/>
      <c r="BS51" s="99"/>
      <c r="BT51" s="99"/>
      <c r="BU51" s="170"/>
      <c r="BV51" s="170"/>
      <c r="BW51" s="170"/>
      <c r="BX51" s="99"/>
      <c r="BY51" s="170"/>
      <c r="BZ51" s="170"/>
      <c r="CA51" s="99"/>
      <c r="CB51" s="289"/>
      <c r="CC51" s="290"/>
      <c r="CD51" s="289"/>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row>
    <row r="52" spans="1:108" ht="21" customHeight="1" thickTop="1" thickBot="1" x14ac:dyDescent="0.35">
      <c r="A52" s="445"/>
      <c r="B52" s="446"/>
      <c r="C52" s="446"/>
      <c r="D52" s="446"/>
      <c r="E52" s="472"/>
      <c r="F52" s="446"/>
      <c r="G52" s="446"/>
      <c r="H52" s="446"/>
      <c r="I52" s="446"/>
      <c r="J52" s="445"/>
      <c r="K52" s="445"/>
      <c r="L52" s="502"/>
      <c r="M52" s="501"/>
      <c r="N52" s="176">
        <v>6</v>
      </c>
      <c r="O52" s="184"/>
      <c r="P52" s="182"/>
      <c r="Q52" s="182"/>
      <c r="R52" s="182"/>
      <c r="S52" s="182"/>
      <c r="T52" s="182"/>
      <c r="U52" s="182"/>
      <c r="V52" s="182"/>
      <c r="W52" s="101">
        <f t="shared" si="1"/>
        <v>0</v>
      </c>
      <c r="X52" s="102" t="str">
        <f t="shared" si="0"/>
        <v>DEBIL</v>
      </c>
      <c r="Y52" s="180"/>
      <c r="Z52" s="103" t="str">
        <f t="shared" si="2"/>
        <v/>
      </c>
      <c r="AA52" s="101" t="str">
        <f t="shared" si="3"/>
        <v>SI</v>
      </c>
      <c r="AB52" s="182"/>
      <c r="AC52" s="504"/>
      <c r="AD52" s="504"/>
      <c r="AE52" s="505"/>
      <c r="AF52" s="505"/>
      <c r="AG52" s="506"/>
      <c r="AH52" s="506"/>
      <c r="AI52" s="498"/>
      <c r="AJ52" s="498"/>
      <c r="AK52" s="502"/>
      <c r="AL52" s="501"/>
      <c r="AM52" s="509"/>
      <c r="AN52" s="185"/>
      <c r="AO52" s="176"/>
      <c r="AP52" s="188"/>
      <c r="AQ52" s="99"/>
      <c r="AR52" s="170"/>
      <c r="AS52" s="188"/>
      <c r="AT52" s="185"/>
      <c r="AU52" s="188"/>
      <c r="AV52" s="185"/>
      <c r="AW52" s="99"/>
      <c r="AX52" s="170"/>
      <c r="AY52" s="131"/>
      <c r="AZ52" s="185"/>
      <c r="BA52" s="185"/>
      <c r="BB52" s="176"/>
      <c r="BC52" s="188"/>
      <c r="BD52" s="188"/>
      <c r="BE52" s="185"/>
      <c r="BF52" s="185"/>
      <c r="BG52" s="176"/>
      <c r="BH52" s="188"/>
      <c r="BI52" s="188"/>
      <c r="BJ52" s="185"/>
      <c r="BK52" s="185"/>
      <c r="BL52" s="176"/>
      <c r="BM52" s="188"/>
      <c r="BN52" s="188"/>
      <c r="BO52" s="170"/>
      <c r="BP52" s="170"/>
      <c r="BQ52" s="131"/>
      <c r="BR52" s="99"/>
      <c r="BS52" s="99"/>
      <c r="BT52" s="99"/>
      <c r="BU52" s="170"/>
      <c r="BV52" s="170"/>
      <c r="BW52" s="170"/>
      <c r="BX52" s="99"/>
      <c r="BY52" s="170"/>
      <c r="BZ52" s="170"/>
      <c r="CA52" s="99"/>
      <c r="CB52" s="289"/>
      <c r="CC52" s="290"/>
      <c r="CD52" s="289"/>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row>
    <row r="53" spans="1:108" ht="21" customHeight="1" thickTop="1" thickBot="1" x14ac:dyDescent="0.35">
      <c r="A53" s="445">
        <v>9</v>
      </c>
      <c r="B53" s="446"/>
      <c r="C53" s="446"/>
      <c r="D53" s="446"/>
      <c r="E53" s="472"/>
      <c r="F53" s="446"/>
      <c r="G53" s="446"/>
      <c r="H53" s="446"/>
      <c r="I53" s="446"/>
      <c r="J53" s="445"/>
      <c r="K53" s="445"/>
      <c r="L53" s="502">
        <f>+(J53*K53)*4</f>
        <v>0</v>
      </c>
      <c r="M53" s="499" t="b">
        <f>IF(OR(AND(J53=3,K53=4),AND(J53=2,K53=5),AND(J53=2,K53=5),AND(L53=20),AND(L53&gt;=52,L53&lt;=100)),"ZONA RIESGO EXTREMA",IF(OR(AND(J53=5,K53=2),AND(J53=4,K53=3),AND(J53=1,K53=4),AND(L53=16),AND(L53&gt;=28,L53&lt;=48)),"ZONA RIESGO ALTA",IF(OR(AND(J53=1,K53=3),AND(J53=4,K53=1),AND(L53=24)),"ZONA RIESGO MODERADA",IF(AND(L53&gt;=4,L53&lt;=16),"ZONA RIESGO BAJA"))))</f>
        <v>0</v>
      </c>
      <c r="N53" s="176">
        <v>1</v>
      </c>
      <c r="O53" s="184"/>
      <c r="P53" s="182"/>
      <c r="Q53" s="182"/>
      <c r="R53" s="182"/>
      <c r="S53" s="182"/>
      <c r="T53" s="182"/>
      <c r="U53" s="182"/>
      <c r="V53" s="182"/>
      <c r="W53" s="101">
        <f t="shared" si="1"/>
        <v>0</v>
      </c>
      <c r="X53" s="102" t="str">
        <f t="shared" si="0"/>
        <v>DEBIL</v>
      </c>
      <c r="Y53" s="180"/>
      <c r="Z53" s="103" t="str">
        <f t="shared" si="2"/>
        <v/>
      </c>
      <c r="AA53" s="101" t="str">
        <f t="shared" si="3"/>
        <v>SI</v>
      </c>
      <c r="AB53" s="182"/>
      <c r="AC53" s="504">
        <f>IF(AND(W53&gt;0,SUM(W54:W58)=0),W53,IF(AND(SUM(W53:W54)&gt;0,SUM(W55:W58)=0),AVERAGE(W53:W54),IF(AND(SUM(W53:W55)&gt;0,SUM(W56:W58)=0),AVERAGE(W53:W55),IF(AND(SUM(W53:W56)&gt;0,SUM(W57:W58)=0),AVERAGE(W53:W56),IF(AND(SUM(W53:W57)&gt;0,W58=0),AVERAGE(W53:W57),AVERAGE(W53:W58))))))</f>
        <v>0</v>
      </c>
      <c r="AD53" s="504" t="str">
        <f>IF(AND(AC53&gt;=50,AC53&lt;=99),"MODERADO",IF(AND(AC53=100), "FUERTE",IF(AND(AC53&lt;50), "DEBIL")))</f>
        <v>DEBIL</v>
      </c>
      <c r="AE53" s="505"/>
      <c r="AF53" s="505"/>
      <c r="AG53" s="506" t="str">
        <f>IFERROR(_xlfn.IFS(AND(AD53="MODERADO",AE53="Directamente"),1,AND(AD53="FUERTE",AE53="Directamente"),2),"0")</f>
        <v>0</v>
      </c>
      <c r="AH53" s="506" t="str">
        <f>IFERROR(_xlfn.IFS(AND(AD53="MODERADO",AF53="Directamente"),1,AND(AD53="FUERTE",AF53="Directamente"),2,AND(AD53="FUERTE",AF53="Indirectamente"),1),"0")</f>
        <v>0</v>
      </c>
      <c r="AI53" s="498"/>
      <c r="AJ53" s="498"/>
      <c r="AK53" s="502">
        <f>+(AI53*AJ53)*4</f>
        <v>0</v>
      </c>
      <c r="AL53" s="499"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511"/>
      <c r="AN53" s="185"/>
      <c r="AO53" s="176"/>
      <c r="AP53" s="188"/>
      <c r="AQ53" s="99"/>
      <c r="AR53" s="170"/>
      <c r="AS53" s="188"/>
      <c r="AT53" s="185"/>
      <c r="AU53" s="188"/>
      <c r="AV53" s="185"/>
      <c r="AW53" s="99"/>
      <c r="AX53" s="170"/>
      <c r="AY53" s="131"/>
      <c r="AZ53" s="185"/>
      <c r="BA53" s="185"/>
      <c r="BB53" s="176"/>
      <c r="BC53" s="188"/>
      <c r="BD53" s="188"/>
      <c r="BE53" s="185"/>
      <c r="BF53" s="185"/>
      <c r="BG53" s="176"/>
      <c r="BH53" s="188"/>
      <c r="BI53" s="188"/>
      <c r="BJ53" s="185"/>
      <c r="BK53" s="185"/>
      <c r="BL53" s="176"/>
      <c r="BM53" s="188"/>
      <c r="BN53" s="188"/>
      <c r="BO53" s="170"/>
      <c r="BP53" s="170"/>
      <c r="BQ53" s="131"/>
      <c r="BR53" s="99"/>
      <c r="BS53" s="99"/>
      <c r="BT53" s="99"/>
      <c r="BU53" s="170"/>
      <c r="BV53" s="170"/>
      <c r="BW53" s="170"/>
      <c r="BX53" s="99"/>
      <c r="BY53" s="170"/>
      <c r="BZ53" s="170"/>
      <c r="CA53" s="99"/>
      <c r="CB53" s="289"/>
      <c r="CC53" s="290"/>
      <c r="CD53" s="289"/>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row>
    <row r="54" spans="1:108" ht="21" customHeight="1" thickTop="1" thickBot="1" x14ac:dyDescent="0.35">
      <c r="A54" s="445"/>
      <c r="B54" s="446"/>
      <c r="C54" s="446"/>
      <c r="D54" s="446"/>
      <c r="E54" s="472"/>
      <c r="F54" s="446"/>
      <c r="G54" s="446"/>
      <c r="H54" s="446"/>
      <c r="I54" s="446"/>
      <c r="J54" s="445"/>
      <c r="K54" s="445"/>
      <c r="L54" s="502"/>
      <c r="M54" s="500"/>
      <c r="N54" s="176">
        <v>2</v>
      </c>
      <c r="O54" s="184"/>
      <c r="P54" s="182"/>
      <c r="Q54" s="182"/>
      <c r="R54" s="182"/>
      <c r="S54" s="182"/>
      <c r="T54" s="182"/>
      <c r="U54" s="182"/>
      <c r="V54" s="182"/>
      <c r="W54" s="101">
        <f t="shared" si="1"/>
        <v>0</v>
      </c>
      <c r="X54" s="102" t="str">
        <f t="shared" si="0"/>
        <v>DEBIL</v>
      </c>
      <c r="Y54" s="180"/>
      <c r="Z54" s="103" t="str">
        <f t="shared" si="2"/>
        <v/>
      </c>
      <c r="AA54" s="101" t="str">
        <f t="shared" si="3"/>
        <v>SI</v>
      </c>
      <c r="AB54" s="182"/>
      <c r="AC54" s="504"/>
      <c r="AD54" s="504"/>
      <c r="AE54" s="505"/>
      <c r="AF54" s="505"/>
      <c r="AG54" s="506"/>
      <c r="AH54" s="506"/>
      <c r="AI54" s="498"/>
      <c r="AJ54" s="498"/>
      <c r="AK54" s="502"/>
      <c r="AL54" s="500"/>
      <c r="AM54" s="508"/>
      <c r="AN54" s="185"/>
      <c r="AO54" s="176"/>
      <c r="AP54" s="188"/>
      <c r="AQ54" s="99"/>
      <c r="AR54" s="170"/>
      <c r="AS54" s="188"/>
      <c r="AT54" s="185"/>
      <c r="AU54" s="188"/>
      <c r="AV54" s="185"/>
      <c r="AW54" s="99"/>
      <c r="AX54" s="170"/>
      <c r="AY54" s="131"/>
      <c r="AZ54" s="185"/>
      <c r="BA54" s="185"/>
      <c r="BB54" s="176"/>
      <c r="BC54" s="188"/>
      <c r="BD54" s="188"/>
      <c r="BE54" s="185"/>
      <c r="BF54" s="185"/>
      <c r="BG54" s="176"/>
      <c r="BH54" s="188"/>
      <c r="BI54" s="188"/>
      <c r="BJ54" s="185"/>
      <c r="BK54" s="185"/>
      <c r="BL54" s="176"/>
      <c r="BM54" s="188"/>
      <c r="BN54" s="188"/>
      <c r="BO54" s="170"/>
      <c r="BP54" s="170"/>
      <c r="BQ54" s="131"/>
      <c r="BR54" s="99"/>
      <c r="BS54" s="99"/>
      <c r="BT54" s="99"/>
      <c r="BU54" s="170"/>
      <c r="BV54" s="170"/>
      <c r="BW54" s="170"/>
      <c r="BX54" s="99"/>
      <c r="BY54" s="170"/>
      <c r="BZ54" s="170"/>
      <c r="CA54" s="99"/>
      <c r="CB54" s="289"/>
      <c r="CC54" s="290"/>
      <c r="CD54" s="289"/>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row>
    <row r="55" spans="1:108" ht="21" customHeight="1" thickTop="1" thickBot="1" x14ac:dyDescent="0.35">
      <c r="A55" s="445"/>
      <c r="B55" s="446"/>
      <c r="C55" s="446"/>
      <c r="D55" s="446"/>
      <c r="E55" s="472"/>
      <c r="F55" s="446"/>
      <c r="G55" s="446"/>
      <c r="H55" s="446"/>
      <c r="I55" s="446"/>
      <c r="J55" s="445"/>
      <c r="K55" s="445"/>
      <c r="L55" s="502"/>
      <c r="M55" s="500"/>
      <c r="N55" s="176">
        <v>3</v>
      </c>
      <c r="O55" s="183"/>
      <c r="P55" s="182"/>
      <c r="Q55" s="182"/>
      <c r="R55" s="182"/>
      <c r="S55" s="182"/>
      <c r="T55" s="182"/>
      <c r="U55" s="182"/>
      <c r="V55" s="182"/>
      <c r="W55" s="101">
        <f t="shared" si="1"/>
        <v>0</v>
      </c>
      <c r="X55" s="102" t="str">
        <f t="shared" si="0"/>
        <v>DEBIL</v>
      </c>
      <c r="Y55" s="180"/>
      <c r="Z55" s="103" t="str">
        <f t="shared" si="2"/>
        <v/>
      </c>
      <c r="AA55" s="101" t="str">
        <f t="shared" si="3"/>
        <v>SI</v>
      </c>
      <c r="AB55" s="182"/>
      <c r="AC55" s="504"/>
      <c r="AD55" s="504"/>
      <c r="AE55" s="505"/>
      <c r="AF55" s="505"/>
      <c r="AG55" s="506"/>
      <c r="AH55" s="506"/>
      <c r="AI55" s="498"/>
      <c r="AJ55" s="498"/>
      <c r="AK55" s="502"/>
      <c r="AL55" s="500"/>
      <c r="AM55" s="508"/>
      <c r="AN55" s="185"/>
      <c r="AO55" s="176"/>
      <c r="AP55" s="188"/>
      <c r="AQ55" s="99"/>
      <c r="AR55" s="170"/>
      <c r="AS55" s="188"/>
      <c r="AT55" s="185"/>
      <c r="AU55" s="188"/>
      <c r="AV55" s="185"/>
      <c r="AW55" s="99"/>
      <c r="AX55" s="170"/>
      <c r="AY55" s="131"/>
      <c r="AZ55" s="185"/>
      <c r="BA55" s="185"/>
      <c r="BB55" s="176"/>
      <c r="BC55" s="188"/>
      <c r="BD55" s="188"/>
      <c r="BE55" s="185"/>
      <c r="BF55" s="185"/>
      <c r="BG55" s="176"/>
      <c r="BH55" s="188"/>
      <c r="BI55" s="188"/>
      <c r="BJ55" s="185"/>
      <c r="BK55" s="185"/>
      <c r="BL55" s="176"/>
      <c r="BM55" s="188"/>
      <c r="BN55" s="188"/>
      <c r="BO55" s="170"/>
      <c r="BP55" s="170"/>
      <c r="BQ55" s="131"/>
      <c r="BR55" s="99"/>
      <c r="BS55" s="99"/>
      <c r="BT55" s="99"/>
      <c r="BU55" s="170"/>
      <c r="BV55" s="170"/>
      <c r="BW55" s="170"/>
      <c r="BX55" s="99"/>
      <c r="BY55" s="170"/>
      <c r="BZ55" s="170"/>
      <c r="CA55" s="99"/>
      <c r="CB55" s="289"/>
      <c r="CC55" s="290"/>
      <c r="CD55" s="289"/>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row>
    <row r="56" spans="1:108" ht="21" customHeight="1" thickTop="1" thickBot="1" x14ac:dyDescent="0.35">
      <c r="A56" s="445"/>
      <c r="B56" s="446"/>
      <c r="C56" s="446"/>
      <c r="D56" s="446"/>
      <c r="E56" s="472"/>
      <c r="F56" s="446"/>
      <c r="G56" s="446"/>
      <c r="H56" s="446"/>
      <c r="I56" s="446"/>
      <c r="J56" s="445"/>
      <c r="K56" s="445"/>
      <c r="L56" s="502"/>
      <c r="M56" s="500"/>
      <c r="N56" s="176">
        <v>4</v>
      </c>
      <c r="O56" s="184"/>
      <c r="P56" s="182"/>
      <c r="Q56" s="182"/>
      <c r="R56" s="182"/>
      <c r="S56" s="182"/>
      <c r="T56" s="182"/>
      <c r="U56" s="182"/>
      <c r="V56" s="182"/>
      <c r="W56" s="101">
        <f t="shared" si="1"/>
        <v>0</v>
      </c>
      <c r="X56" s="102" t="str">
        <f t="shared" si="0"/>
        <v>DEBIL</v>
      </c>
      <c r="Y56" s="180"/>
      <c r="Z56" s="103" t="str">
        <f t="shared" si="2"/>
        <v/>
      </c>
      <c r="AA56" s="101" t="str">
        <f t="shared" si="3"/>
        <v>SI</v>
      </c>
      <c r="AB56" s="182"/>
      <c r="AC56" s="504"/>
      <c r="AD56" s="504"/>
      <c r="AE56" s="505"/>
      <c r="AF56" s="505"/>
      <c r="AG56" s="506"/>
      <c r="AH56" s="506"/>
      <c r="AI56" s="498"/>
      <c r="AJ56" s="498"/>
      <c r="AK56" s="502"/>
      <c r="AL56" s="500"/>
      <c r="AM56" s="508"/>
      <c r="AN56" s="185"/>
      <c r="AO56" s="176"/>
      <c r="AP56" s="188"/>
      <c r="AQ56" s="99"/>
      <c r="AR56" s="170"/>
      <c r="AS56" s="188"/>
      <c r="AT56" s="185"/>
      <c r="AU56" s="188"/>
      <c r="AV56" s="185"/>
      <c r="AW56" s="99"/>
      <c r="AX56" s="170"/>
      <c r="AY56" s="131"/>
      <c r="AZ56" s="185"/>
      <c r="BA56" s="185"/>
      <c r="BB56" s="176"/>
      <c r="BC56" s="188"/>
      <c r="BD56" s="188"/>
      <c r="BE56" s="185"/>
      <c r="BF56" s="185"/>
      <c r="BG56" s="176"/>
      <c r="BH56" s="188"/>
      <c r="BI56" s="188"/>
      <c r="BJ56" s="185"/>
      <c r="BK56" s="185"/>
      <c r="BL56" s="176"/>
      <c r="BM56" s="188"/>
      <c r="BN56" s="188"/>
      <c r="BO56" s="170"/>
      <c r="BP56" s="170"/>
      <c r="BQ56" s="131"/>
      <c r="BR56" s="99"/>
      <c r="BS56" s="99"/>
      <c r="BT56" s="99"/>
      <c r="BU56" s="170"/>
      <c r="BV56" s="170"/>
      <c r="BW56" s="170"/>
      <c r="BX56" s="99"/>
      <c r="BY56" s="170"/>
      <c r="BZ56" s="170"/>
      <c r="CA56" s="99"/>
      <c r="CB56" s="289"/>
      <c r="CC56" s="290"/>
      <c r="CD56" s="289"/>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row>
    <row r="57" spans="1:108" ht="21" customHeight="1" thickTop="1" thickBot="1" x14ac:dyDescent="0.35">
      <c r="A57" s="445"/>
      <c r="B57" s="446"/>
      <c r="C57" s="446"/>
      <c r="D57" s="446"/>
      <c r="E57" s="472"/>
      <c r="F57" s="446"/>
      <c r="G57" s="446"/>
      <c r="H57" s="446"/>
      <c r="I57" s="446"/>
      <c r="J57" s="445"/>
      <c r="K57" s="445"/>
      <c r="L57" s="502"/>
      <c r="M57" s="500"/>
      <c r="N57" s="176">
        <v>5</v>
      </c>
      <c r="O57" s="184"/>
      <c r="P57" s="182"/>
      <c r="Q57" s="182"/>
      <c r="R57" s="182"/>
      <c r="S57" s="182"/>
      <c r="T57" s="182"/>
      <c r="U57" s="182"/>
      <c r="V57" s="182"/>
      <c r="W57" s="101">
        <f t="shared" si="1"/>
        <v>0</v>
      </c>
      <c r="X57" s="102" t="str">
        <f t="shared" si="0"/>
        <v>DEBIL</v>
      </c>
      <c r="Y57" s="180"/>
      <c r="Z57" s="103" t="str">
        <f t="shared" si="2"/>
        <v/>
      </c>
      <c r="AA57" s="101" t="str">
        <f t="shared" si="3"/>
        <v>SI</v>
      </c>
      <c r="AB57" s="182"/>
      <c r="AC57" s="504"/>
      <c r="AD57" s="504"/>
      <c r="AE57" s="505"/>
      <c r="AF57" s="505"/>
      <c r="AG57" s="506"/>
      <c r="AH57" s="506"/>
      <c r="AI57" s="498"/>
      <c r="AJ57" s="498"/>
      <c r="AK57" s="502"/>
      <c r="AL57" s="500"/>
      <c r="AM57" s="508"/>
      <c r="AN57" s="185"/>
      <c r="AO57" s="176"/>
      <c r="AP57" s="188"/>
      <c r="AQ57" s="99"/>
      <c r="AR57" s="170"/>
      <c r="AS57" s="188"/>
      <c r="AT57" s="185"/>
      <c r="AU57" s="188"/>
      <c r="AV57" s="185"/>
      <c r="AW57" s="99"/>
      <c r="AX57" s="170"/>
      <c r="AY57" s="131"/>
      <c r="AZ57" s="185"/>
      <c r="BA57" s="185"/>
      <c r="BB57" s="176"/>
      <c r="BC57" s="188"/>
      <c r="BD57" s="188"/>
      <c r="BE57" s="185"/>
      <c r="BF57" s="185"/>
      <c r="BG57" s="176"/>
      <c r="BH57" s="188"/>
      <c r="BI57" s="188"/>
      <c r="BJ57" s="185"/>
      <c r="BK57" s="185"/>
      <c r="BL57" s="176"/>
      <c r="BM57" s="188"/>
      <c r="BN57" s="188"/>
      <c r="BO57" s="170"/>
      <c r="BP57" s="170"/>
      <c r="BQ57" s="131"/>
      <c r="BR57" s="99"/>
      <c r="BS57" s="99"/>
      <c r="BT57" s="99"/>
      <c r="BU57" s="170"/>
      <c r="BV57" s="170"/>
      <c r="BW57" s="170"/>
      <c r="BX57" s="99"/>
      <c r="BY57" s="170"/>
      <c r="BZ57" s="170"/>
      <c r="CA57" s="99"/>
      <c r="CB57" s="289"/>
      <c r="CC57" s="290"/>
      <c r="CD57" s="289"/>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row>
    <row r="58" spans="1:108" ht="21" customHeight="1" thickTop="1" thickBot="1" x14ac:dyDescent="0.35">
      <c r="A58" s="445"/>
      <c r="B58" s="446"/>
      <c r="C58" s="446"/>
      <c r="D58" s="446"/>
      <c r="E58" s="472"/>
      <c r="F58" s="446"/>
      <c r="G58" s="446"/>
      <c r="H58" s="446"/>
      <c r="I58" s="446"/>
      <c r="J58" s="445"/>
      <c r="K58" s="445"/>
      <c r="L58" s="502"/>
      <c r="M58" s="501"/>
      <c r="N58" s="176">
        <v>6</v>
      </c>
      <c r="O58" s="184"/>
      <c r="P58" s="182"/>
      <c r="Q58" s="182"/>
      <c r="R58" s="182"/>
      <c r="S58" s="182"/>
      <c r="T58" s="182"/>
      <c r="U58" s="182"/>
      <c r="V58" s="182"/>
      <c r="W58" s="101">
        <f t="shared" si="1"/>
        <v>0</v>
      </c>
      <c r="X58" s="102" t="str">
        <f t="shared" si="0"/>
        <v>DEBIL</v>
      </c>
      <c r="Y58" s="180"/>
      <c r="Z58" s="103" t="str">
        <f t="shared" si="2"/>
        <v/>
      </c>
      <c r="AA58" s="101" t="str">
        <f t="shared" si="3"/>
        <v>SI</v>
      </c>
      <c r="AB58" s="182"/>
      <c r="AC58" s="504"/>
      <c r="AD58" s="504"/>
      <c r="AE58" s="505"/>
      <c r="AF58" s="505"/>
      <c r="AG58" s="506"/>
      <c r="AH58" s="506"/>
      <c r="AI58" s="498"/>
      <c r="AJ58" s="498"/>
      <c r="AK58" s="502"/>
      <c r="AL58" s="501"/>
      <c r="AM58" s="509"/>
      <c r="AN58" s="185"/>
      <c r="AO58" s="176"/>
      <c r="AP58" s="188"/>
      <c r="AQ58" s="99"/>
      <c r="AR58" s="170"/>
      <c r="AS58" s="188"/>
      <c r="AT58" s="185"/>
      <c r="AU58" s="188"/>
      <c r="AV58" s="185"/>
      <c r="AW58" s="99"/>
      <c r="AX58" s="170"/>
      <c r="AY58" s="131"/>
      <c r="AZ58" s="185"/>
      <c r="BA58" s="185"/>
      <c r="BB58" s="176"/>
      <c r="BC58" s="188"/>
      <c r="BD58" s="188"/>
      <c r="BE58" s="185"/>
      <c r="BF58" s="185"/>
      <c r="BG58" s="176"/>
      <c r="BH58" s="188"/>
      <c r="BI58" s="188"/>
      <c r="BJ58" s="185"/>
      <c r="BK58" s="185"/>
      <c r="BL58" s="176"/>
      <c r="BM58" s="188"/>
      <c r="BN58" s="188"/>
      <c r="BO58" s="170"/>
      <c r="BP58" s="170"/>
      <c r="BQ58" s="131"/>
      <c r="BR58" s="99"/>
      <c r="BS58" s="99"/>
      <c r="BT58" s="99"/>
      <c r="BU58" s="170"/>
      <c r="BV58" s="170"/>
      <c r="BW58" s="170"/>
      <c r="BX58" s="99"/>
      <c r="BY58" s="170"/>
      <c r="BZ58" s="170"/>
      <c r="CA58" s="99"/>
      <c r="CB58" s="289"/>
      <c r="CC58" s="290"/>
      <c r="CD58" s="289"/>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row>
    <row r="59" spans="1:108" ht="21" customHeight="1" thickTop="1" thickBot="1" x14ac:dyDescent="0.35">
      <c r="A59" s="445">
        <v>10</v>
      </c>
      <c r="B59" s="446"/>
      <c r="C59" s="446"/>
      <c r="D59" s="446"/>
      <c r="E59" s="472"/>
      <c r="F59" s="446"/>
      <c r="G59" s="446"/>
      <c r="H59" s="446"/>
      <c r="I59" s="446"/>
      <c r="J59" s="445"/>
      <c r="K59" s="445"/>
      <c r="L59" s="502">
        <f>+(J59*K59)*4</f>
        <v>0</v>
      </c>
      <c r="M59" s="499" t="b">
        <f>IF(OR(AND(J59=3,K59=4),AND(J59=2,K59=5),AND(J59=2,K59=5),AND(L59=20),AND(L59&gt;=52,L59&lt;=100)),"ZONA RIESGO EXTREMA",IF(OR(AND(J59=5,K59=2),AND(J59=4,K59=3),AND(J59=1,K59=4),AND(L59=16),AND(L59&gt;=28,L59&lt;=48)),"ZONA RIESGO ALTA",IF(OR(AND(J59=1,K59=3),AND(J59=4,K59=1),AND(L59=24)),"ZONA RIESGO MODERADA",IF(AND(L59&gt;=4,L59&lt;=16),"ZONA RIESGO BAJA"))))</f>
        <v>0</v>
      </c>
      <c r="N59" s="176">
        <v>1</v>
      </c>
      <c r="O59" s="184"/>
      <c r="P59" s="182"/>
      <c r="Q59" s="182"/>
      <c r="R59" s="182"/>
      <c r="S59" s="182"/>
      <c r="T59" s="182"/>
      <c r="U59" s="182"/>
      <c r="V59" s="182"/>
      <c r="W59" s="101">
        <f t="shared" si="1"/>
        <v>0</v>
      </c>
      <c r="X59" s="102" t="str">
        <f t="shared" si="0"/>
        <v>DEBIL</v>
      </c>
      <c r="Y59" s="180"/>
      <c r="Z59" s="103" t="str">
        <f t="shared" si="2"/>
        <v/>
      </c>
      <c r="AA59" s="101" t="str">
        <f t="shared" si="3"/>
        <v>SI</v>
      </c>
      <c r="AB59" s="182"/>
      <c r="AC59" s="504">
        <f>IF(AND(W59&gt;0,SUM(W60:W64)=0),W59,IF(AND(SUM(W59:W60)&gt;0,SUM(W61:W64)=0),AVERAGE(W59:W60),IF(AND(SUM(W59:W61)&gt;0,SUM(W62:W64)=0),AVERAGE(W59:W61),IF(AND(SUM(W59:W62)&gt;0,SUM(W63:W64)=0),AVERAGE(W59:W62),IF(AND(SUM(W59:W63)&gt;0,W64=0),AVERAGE(W59:W63),AVERAGE(W59:W64))))))</f>
        <v>0</v>
      </c>
      <c r="AD59" s="504" t="str">
        <f>IF(AND(AC59&gt;=50,AC59&lt;=99),"MODERADO",IF(AND(AC59=100), "FUERTE",IF(AND(AC59&lt;50), "DEBIL")))</f>
        <v>DEBIL</v>
      </c>
      <c r="AE59" s="505"/>
      <c r="AF59" s="505"/>
      <c r="AG59" s="506" t="str">
        <f>IFERROR(_xlfn.IFS(AND(AD59="MODERADO",AE59="Directamente"),1,AND(AD59="FUERTE",AE59="Directamente"),2),"0")</f>
        <v>0</v>
      </c>
      <c r="AH59" s="506" t="str">
        <f>IFERROR(_xlfn.IFS(AND(AD59="MODERADO",AF59="Directamente"),1,AND(AD59="FUERTE",AF59="Directamente"),2,AND(AD59="FUERTE",AF59="Indirectamente"),1),"0")</f>
        <v>0</v>
      </c>
      <c r="AI59" s="498"/>
      <c r="AJ59" s="498"/>
      <c r="AK59" s="502">
        <f>+(AI59*AJ59)*4</f>
        <v>0</v>
      </c>
      <c r="AL59" s="499"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511"/>
      <c r="AN59" s="185"/>
      <c r="AO59" s="176"/>
      <c r="AP59" s="188"/>
      <c r="AQ59" s="99"/>
      <c r="AR59" s="170"/>
      <c r="AS59" s="99"/>
      <c r="AT59" s="170"/>
      <c r="AU59" s="188"/>
      <c r="AV59" s="185"/>
      <c r="AW59" s="99"/>
      <c r="AX59" s="170"/>
      <c r="AY59" s="131"/>
      <c r="AZ59" s="185"/>
      <c r="BA59" s="185"/>
      <c r="BB59" s="176"/>
      <c r="BC59" s="188"/>
      <c r="BD59" s="188"/>
      <c r="BE59" s="185"/>
      <c r="BF59" s="185"/>
      <c r="BG59" s="176"/>
      <c r="BH59" s="188"/>
      <c r="BI59" s="188"/>
      <c r="BJ59" s="185"/>
      <c r="BK59" s="185"/>
      <c r="BL59" s="176"/>
      <c r="BM59" s="188"/>
      <c r="BN59" s="188"/>
      <c r="BO59" s="170"/>
      <c r="BP59" s="170"/>
      <c r="BQ59" s="131"/>
      <c r="BR59" s="99"/>
      <c r="BS59" s="99"/>
      <c r="BT59" s="99"/>
      <c r="BU59" s="170"/>
      <c r="BV59" s="170"/>
      <c r="BW59" s="170"/>
      <c r="BX59" s="99"/>
      <c r="BY59" s="170"/>
      <c r="BZ59" s="170"/>
      <c r="CA59" s="99"/>
      <c r="CB59" s="170"/>
      <c r="CC59" s="131"/>
      <c r="CD59" s="170"/>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row>
    <row r="60" spans="1:108" ht="21" customHeight="1" thickTop="1" thickBot="1" x14ac:dyDescent="0.35">
      <c r="A60" s="445"/>
      <c r="B60" s="446"/>
      <c r="C60" s="446"/>
      <c r="D60" s="446"/>
      <c r="E60" s="472"/>
      <c r="F60" s="446"/>
      <c r="G60" s="446"/>
      <c r="H60" s="446"/>
      <c r="I60" s="446"/>
      <c r="J60" s="445"/>
      <c r="K60" s="445"/>
      <c r="L60" s="502"/>
      <c r="M60" s="500"/>
      <c r="N60" s="176">
        <v>2</v>
      </c>
      <c r="O60" s="184"/>
      <c r="P60" s="182"/>
      <c r="Q60" s="182"/>
      <c r="R60" s="182"/>
      <c r="S60" s="182"/>
      <c r="T60" s="182"/>
      <c r="U60" s="182"/>
      <c r="V60" s="182"/>
      <c r="W60" s="101">
        <f t="shared" si="1"/>
        <v>0</v>
      </c>
      <c r="X60" s="102" t="str">
        <f t="shared" si="0"/>
        <v>DEBIL</v>
      </c>
      <c r="Y60" s="180"/>
      <c r="Z60" s="103" t="str">
        <f t="shared" si="2"/>
        <v/>
      </c>
      <c r="AA60" s="101" t="str">
        <f t="shared" si="3"/>
        <v>SI</v>
      </c>
      <c r="AB60" s="182"/>
      <c r="AC60" s="504"/>
      <c r="AD60" s="504"/>
      <c r="AE60" s="505"/>
      <c r="AF60" s="505"/>
      <c r="AG60" s="506"/>
      <c r="AH60" s="506"/>
      <c r="AI60" s="498"/>
      <c r="AJ60" s="498"/>
      <c r="AK60" s="502"/>
      <c r="AL60" s="500"/>
      <c r="AM60" s="508"/>
      <c r="AN60" s="185"/>
      <c r="AO60" s="176"/>
      <c r="AP60" s="188"/>
      <c r="AQ60" s="99"/>
      <c r="AR60" s="170"/>
      <c r="AS60" s="99"/>
      <c r="AT60" s="170"/>
      <c r="AU60" s="188"/>
      <c r="AV60" s="185"/>
      <c r="AW60" s="99"/>
      <c r="AX60" s="170"/>
      <c r="AY60" s="131"/>
      <c r="AZ60" s="185"/>
      <c r="BA60" s="185"/>
      <c r="BB60" s="176"/>
      <c r="BC60" s="188"/>
      <c r="BD60" s="188"/>
      <c r="BE60" s="185"/>
      <c r="BF60" s="185"/>
      <c r="BG60" s="176"/>
      <c r="BH60" s="188"/>
      <c r="BI60" s="188"/>
      <c r="BJ60" s="185"/>
      <c r="BK60" s="185"/>
      <c r="BL60" s="176"/>
      <c r="BM60" s="188"/>
      <c r="BN60" s="188"/>
      <c r="BO60" s="170"/>
      <c r="BP60" s="170"/>
      <c r="BQ60" s="131"/>
      <c r="BR60" s="99"/>
      <c r="BS60" s="99"/>
      <c r="BT60" s="99"/>
      <c r="BU60" s="170"/>
      <c r="BV60" s="170"/>
      <c r="BW60" s="170"/>
      <c r="BX60" s="99"/>
      <c r="BY60" s="170"/>
      <c r="BZ60" s="170"/>
      <c r="CA60" s="99"/>
      <c r="CB60" s="170"/>
      <c r="CC60" s="131"/>
      <c r="CD60" s="170"/>
    </row>
    <row r="61" spans="1:108" ht="21" customHeight="1" thickTop="1" thickBot="1" x14ac:dyDescent="0.35">
      <c r="A61" s="445"/>
      <c r="B61" s="446"/>
      <c r="C61" s="446"/>
      <c r="D61" s="446"/>
      <c r="E61" s="472"/>
      <c r="F61" s="446"/>
      <c r="G61" s="446"/>
      <c r="H61" s="446"/>
      <c r="I61" s="446"/>
      <c r="J61" s="445"/>
      <c r="K61" s="445"/>
      <c r="L61" s="502"/>
      <c r="M61" s="500"/>
      <c r="N61" s="176">
        <v>3</v>
      </c>
      <c r="O61" s="183"/>
      <c r="P61" s="182"/>
      <c r="Q61" s="182"/>
      <c r="R61" s="182"/>
      <c r="S61" s="182"/>
      <c r="T61" s="182"/>
      <c r="U61" s="182"/>
      <c r="V61" s="182"/>
      <c r="W61" s="101">
        <f t="shared" si="1"/>
        <v>0</v>
      </c>
      <c r="X61" s="102" t="str">
        <f t="shared" si="0"/>
        <v>DEBIL</v>
      </c>
      <c r="Y61" s="180"/>
      <c r="Z61" s="103" t="str">
        <f t="shared" si="2"/>
        <v/>
      </c>
      <c r="AA61" s="101" t="str">
        <f t="shared" si="3"/>
        <v>SI</v>
      </c>
      <c r="AB61" s="182"/>
      <c r="AC61" s="504"/>
      <c r="AD61" s="504"/>
      <c r="AE61" s="505"/>
      <c r="AF61" s="505"/>
      <c r="AG61" s="506"/>
      <c r="AH61" s="506"/>
      <c r="AI61" s="498"/>
      <c r="AJ61" s="498"/>
      <c r="AK61" s="502"/>
      <c r="AL61" s="500"/>
      <c r="AM61" s="508"/>
      <c r="AN61" s="185"/>
      <c r="AO61" s="176"/>
      <c r="AP61" s="188"/>
      <c r="AQ61" s="99"/>
      <c r="AR61" s="170"/>
      <c r="AS61" s="99"/>
      <c r="AT61" s="170"/>
      <c r="AU61" s="188"/>
      <c r="AV61" s="185"/>
      <c r="AW61" s="99"/>
      <c r="AX61" s="170"/>
      <c r="AY61" s="131"/>
      <c r="AZ61" s="185"/>
      <c r="BA61" s="185"/>
      <c r="BB61" s="176"/>
      <c r="BC61" s="188"/>
      <c r="BD61" s="188"/>
      <c r="BE61" s="185"/>
      <c r="BF61" s="185"/>
      <c r="BG61" s="176"/>
      <c r="BH61" s="188"/>
      <c r="BI61" s="188"/>
      <c r="BJ61" s="185"/>
      <c r="BK61" s="185"/>
      <c r="BL61" s="176"/>
      <c r="BM61" s="188"/>
      <c r="BN61" s="188"/>
      <c r="BO61" s="170"/>
      <c r="BP61" s="170"/>
      <c r="BQ61" s="131"/>
      <c r="BR61" s="99"/>
      <c r="BS61" s="99"/>
      <c r="BT61" s="99"/>
      <c r="BU61" s="170"/>
      <c r="BV61" s="170"/>
      <c r="BW61" s="170"/>
      <c r="BX61" s="99"/>
      <c r="BY61" s="170"/>
      <c r="BZ61" s="170"/>
      <c r="CA61" s="99"/>
      <c r="CB61" s="170"/>
      <c r="CC61" s="131"/>
      <c r="CD61" s="170"/>
    </row>
    <row r="62" spans="1:108" ht="21" customHeight="1" thickTop="1" thickBot="1" x14ac:dyDescent="0.35">
      <c r="A62" s="445"/>
      <c r="B62" s="446"/>
      <c r="C62" s="446"/>
      <c r="D62" s="446"/>
      <c r="E62" s="472"/>
      <c r="F62" s="446"/>
      <c r="G62" s="446"/>
      <c r="H62" s="446"/>
      <c r="I62" s="446"/>
      <c r="J62" s="445"/>
      <c r="K62" s="445"/>
      <c r="L62" s="502"/>
      <c r="M62" s="500"/>
      <c r="N62" s="176">
        <v>4</v>
      </c>
      <c r="O62" s="184"/>
      <c r="P62" s="182"/>
      <c r="Q62" s="182"/>
      <c r="R62" s="182"/>
      <c r="S62" s="182"/>
      <c r="T62" s="182"/>
      <c r="U62" s="182"/>
      <c r="V62" s="182"/>
      <c r="W62" s="101">
        <f t="shared" si="1"/>
        <v>0</v>
      </c>
      <c r="X62" s="102" t="str">
        <f t="shared" si="0"/>
        <v>DEBIL</v>
      </c>
      <c r="Y62" s="180"/>
      <c r="Z62" s="103" t="str">
        <f t="shared" si="2"/>
        <v/>
      </c>
      <c r="AA62" s="101" t="str">
        <f t="shared" si="3"/>
        <v>SI</v>
      </c>
      <c r="AB62" s="182"/>
      <c r="AC62" s="504"/>
      <c r="AD62" s="504"/>
      <c r="AE62" s="505"/>
      <c r="AF62" s="505"/>
      <c r="AG62" s="506"/>
      <c r="AH62" s="506"/>
      <c r="AI62" s="498"/>
      <c r="AJ62" s="498"/>
      <c r="AK62" s="502"/>
      <c r="AL62" s="500"/>
      <c r="AM62" s="508"/>
      <c r="AN62" s="185"/>
      <c r="AO62" s="176"/>
      <c r="AP62" s="188"/>
      <c r="AQ62" s="99"/>
      <c r="AR62" s="170"/>
      <c r="AS62" s="99"/>
      <c r="AT62" s="170"/>
      <c r="AU62" s="188"/>
      <c r="AV62" s="185"/>
      <c r="AW62" s="99"/>
      <c r="AX62" s="170"/>
      <c r="AY62" s="131"/>
      <c r="AZ62" s="185"/>
      <c r="BA62" s="185"/>
      <c r="BB62" s="176"/>
      <c r="BC62" s="188"/>
      <c r="BD62" s="188"/>
      <c r="BE62" s="185"/>
      <c r="BF62" s="185"/>
      <c r="BG62" s="176"/>
      <c r="BH62" s="188"/>
      <c r="BI62" s="188"/>
      <c r="BJ62" s="185"/>
      <c r="BK62" s="185"/>
      <c r="BL62" s="176"/>
      <c r="BM62" s="188"/>
      <c r="BN62" s="188"/>
      <c r="BO62" s="170"/>
      <c r="BP62" s="170"/>
      <c r="BQ62" s="131"/>
      <c r="BR62" s="99"/>
      <c r="BS62" s="99"/>
      <c r="BT62" s="99"/>
      <c r="BU62" s="170"/>
      <c r="BV62" s="170"/>
      <c r="BW62" s="170"/>
      <c r="BX62" s="99"/>
      <c r="BY62" s="170"/>
      <c r="BZ62" s="170"/>
      <c r="CA62" s="99"/>
      <c r="CB62" s="170"/>
      <c r="CC62" s="131"/>
      <c r="CD62" s="170"/>
    </row>
    <row r="63" spans="1:108" ht="21" customHeight="1" thickTop="1" thickBot="1" x14ac:dyDescent="0.35">
      <c r="A63" s="445"/>
      <c r="B63" s="446"/>
      <c r="C63" s="446"/>
      <c r="D63" s="446"/>
      <c r="E63" s="472"/>
      <c r="F63" s="446"/>
      <c r="G63" s="446"/>
      <c r="H63" s="446"/>
      <c r="I63" s="446"/>
      <c r="J63" s="445"/>
      <c r="K63" s="445"/>
      <c r="L63" s="502"/>
      <c r="M63" s="500"/>
      <c r="N63" s="176">
        <v>5</v>
      </c>
      <c r="O63" s="184"/>
      <c r="P63" s="182"/>
      <c r="Q63" s="182"/>
      <c r="R63" s="182"/>
      <c r="S63" s="182"/>
      <c r="T63" s="182"/>
      <c r="U63" s="182"/>
      <c r="V63" s="182"/>
      <c r="W63" s="101">
        <f t="shared" si="1"/>
        <v>0</v>
      </c>
      <c r="X63" s="102" t="str">
        <f t="shared" si="0"/>
        <v>DEBIL</v>
      </c>
      <c r="Y63" s="180"/>
      <c r="Z63" s="103" t="str">
        <f t="shared" si="2"/>
        <v/>
      </c>
      <c r="AA63" s="101" t="str">
        <f t="shared" si="3"/>
        <v>SI</v>
      </c>
      <c r="AB63" s="182"/>
      <c r="AC63" s="504"/>
      <c r="AD63" s="504"/>
      <c r="AE63" s="505"/>
      <c r="AF63" s="505"/>
      <c r="AG63" s="506"/>
      <c r="AH63" s="506"/>
      <c r="AI63" s="498"/>
      <c r="AJ63" s="498"/>
      <c r="AK63" s="502"/>
      <c r="AL63" s="500"/>
      <c r="AM63" s="508"/>
      <c r="AN63" s="185"/>
      <c r="AO63" s="176"/>
      <c r="AP63" s="188"/>
      <c r="AQ63" s="99"/>
      <c r="AR63" s="170"/>
      <c r="AS63" s="99"/>
      <c r="AT63" s="170"/>
      <c r="AU63" s="188"/>
      <c r="AV63" s="185"/>
      <c r="AW63" s="99"/>
      <c r="AX63" s="170"/>
      <c r="AY63" s="131"/>
      <c r="AZ63" s="185"/>
      <c r="BA63" s="185"/>
      <c r="BB63" s="176"/>
      <c r="BC63" s="188"/>
      <c r="BD63" s="188"/>
      <c r="BE63" s="185"/>
      <c r="BF63" s="185"/>
      <c r="BG63" s="176"/>
      <c r="BH63" s="188"/>
      <c r="BI63" s="188"/>
      <c r="BJ63" s="185"/>
      <c r="BK63" s="185"/>
      <c r="BL63" s="176"/>
      <c r="BM63" s="188"/>
      <c r="BN63" s="188"/>
      <c r="BO63" s="170"/>
      <c r="BP63" s="170"/>
      <c r="BQ63" s="131"/>
      <c r="BR63" s="99"/>
      <c r="BS63" s="99"/>
      <c r="BT63" s="99"/>
      <c r="BU63" s="170"/>
      <c r="BV63" s="170"/>
      <c r="BW63" s="170"/>
      <c r="BX63" s="99"/>
      <c r="BY63" s="170"/>
      <c r="BZ63" s="170"/>
      <c r="CA63" s="99"/>
      <c r="CB63" s="170"/>
      <c r="CC63" s="131"/>
      <c r="CD63" s="170"/>
    </row>
    <row r="64" spans="1:108" ht="21" customHeight="1" thickTop="1" thickBot="1" x14ac:dyDescent="0.35">
      <c r="A64" s="445"/>
      <c r="B64" s="446"/>
      <c r="C64" s="446"/>
      <c r="D64" s="446"/>
      <c r="E64" s="472"/>
      <c r="F64" s="446"/>
      <c r="G64" s="446"/>
      <c r="H64" s="446"/>
      <c r="I64" s="446"/>
      <c r="J64" s="445"/>
      <c r="K64" s="445"/>
      <c r="L64" s="502"/>
      <c r="M64" s="501"/>
      <c r="N64" s="176">
        <v>6</v>
      </c>
      <c r="O64" s="184"/>
      <c r="P64" s="182"/>
      <c r="Q64" s="182"/>
      <c r="R64" s="182"/>
      <c r="S64" s="182"/>
      <c r="T64" s="182"/>
      <c r="U64" s="182"/>
      <c r="V64" s="182"/>
      <c r="W64" s="101">
        <f t="shared" si="1"/>
        <v>0</v>
      </c>
      <c r="X64" s="102" t="str">
        <f t="shared" si="0"/>
        <v>DEBIL</v>
      </c>
      <c r="Y64" s="180"/>
      <c r="Z64" s="103" t="str">
        <f t="shared" si="2"/>
        <v/>
      </c>
      <c r="AA64" s="101" t="str">
        <f t="shared" si="3"/>
        <v>SI</v>
      </c>
      <c r="AB64" s="182"/>
      <c r="AC64" s="504"/>
      <c r="AD64" s="504"/>
      <c r="AE64" s="505"/>
      <c r="AF64" s="505"/>
      <c r="AG64" s="506"/>
      <c r="AH64" s="506"/>
      <c r="AI64" s="498"/>
      <c r="AJ64" s="498"/>
      <c r="AK64" s="502"/>
      <c r="AL64" s="501"/>
      <c r="AM64" s="509"/>
      <c r="AN64" s="185"/>
      <c r="AO64" s="176"/>
      <c r="AP64" s="188"/>
      <c r="AQ64" s="99"/>
      <c r="AR64" s="170"/>
      <c r="AS64" s="99"/>
      <c r="AT64" s="170"/>
      <c r="AU64" s="188"/>
      <c r="AV64" s="185"/>
      <c r="AW64" s="99"/>
      <c r="AX64" s="170"/>
      <c r="AY64" s="131"/>
      <c r="AZ64" s="185"/>
      <c r="BA64" s="185"/>
      <c r="BB64" s="176"/>
      <c r="BC64" s="188"/>
      <c r="BD64" s="188"/>
      <c r="BE64" s="185"/>
      <c r="BF64" s="185"/>
      <c r="BG64" s="176"/>
      <c r="BH64" s="188"/>
      <c r="BI64" s="188"/>
      <c r="BJ64" s="185"/>
      <c r="BK64" s="185"/>
      <c r="BL64" s="176"/>
      <c r="BM64" s="188"/>
      <c r="BN64" s="188"/>
      <c r="BO64" s="170"/>
      <c r="BP64" s="170"/>
      <c r="BQ64" s="131"/>
      <c r="BR64" s="99"/>
      <c r="BS64" s="99"/>
      <c r="BT64" s="99"/>
      <c r="BU64" s="170"/>
      <c r="BV64" s="170"/>
      <c r="BW64" s="170"/>
      <c r="BX64" s="99"/>
      <c r="BY64" s="170"/>
      <c r="BZ64" s="170"/>
      <c r="CA64" s="99"/>
      <c r="CB64" s="170"/>
      <c r="CC64" s="131"/>
      <c r="CD64" s="170"/>
    </row>
    <row r="65" ht="21" customHeight="1" thickTop="1" x14ac:dyDescent="0.3"/>
  </sheetData>
  <sheetProtection algorithmName="SHA-512" hashValue="OCMDFkVc1tDASd3/n0yVFTeOnto0XadoOmr/imsu1R2RtcrD0A+tKvZg9T6iiu7cmCeOwNaxq6HrjKncYKSJ1A==" saltValue="EDzJTwmW6kT5JM53qdC3vg==" spinCount="100000" sheet="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131" priority="32" stopIfTrue="1" operator="equal">
      <formula>"Muy Alta"</formula>
    </cfRule>
    <cfRule type="containsText" dxfId="130" priority="33" operator="containsText" text="ZONA RIESGO ALTA">
      <formula>NOT(ISERROR(SEARCH("ZONA RIESGO ALTA",M5)))</formula>
    </cfRule>
    <cfRule type="containsText" dxfId="129" priority="34" operator="containsText" text="ZONA RIESGO MODERADA">
      <formula>NOT(ISERROR(SEARCH("ZONA RIESGO MODERADA",M5)))</formula>
    </cfRule>
    <cfRule type="containsText" dxfId="128" priority="35" operator="containsText" text="ZONA RIESGO BAJA">
      <formula>NOT(ISERROR(SEARCH("ZONA RIESGO BAJA",M5)))</formula>
    </cfRule>
    <cfRule type="cellIs" dxfId="127" priority="36" operator="equal">
      <formula>"Muy Baja"</formula>
    </cfRule>
  </conditionalFormatting>
  <conditionalFormatting sqref="M5:M64">
    <cfRule type="containsText" dxfId="126" priority="31" operator="containsText" text="ZONA RIESGO EXTREMA">
      <formula>NOT(ISERROR(SEARCH("ZONA RIESGO EXTREMA",M5)))</formula>
    </cfRule>
  </conditionalFormatting>
  <conditionalFormatting sqref="X5:X64">
    <cfRule type="containsText" dxfId="125" priority="28" operator="containsText" text="DEBIL">
      <formula>NOT(ISERROR(SEARCH("DEBIL",X5)))</formula>
    </cfRule>
    <cfRule type="containsText" dxfId="124" priority="29" operator="containsText" text="MODERADO">
      <formula>NOT(ISERROR(SEARCH("MODERADO",X5)))</formula>
    </cfRule>
    <cfRule type="containsText" dxfId="123" priority="30" operator="containsText" text="FUERTE">
      <formula>NOT(ISERROR(SEARCH("FUERTE",X5)))</formula>
    </cfRule>
  </conditionalFormatting>
  <conditionalFormatting sqref="AC5:AD5 AC11:AD11 AC17:AD17 AC23:AD23 AC29:AD29 AC35:AD35 AC41:AD41 AC47:AD47 AC53:AD53 AC59:AD59">
    <cfRule type="containsText" dxfId="122" priority="17" operator="containsText" text="DEBIL">
      <formula>NOT(ISERROR(SEARCH("DEBIL",AC5)))</formula>
    </cfRule>
    <cfRule type="containsText" dxfId="121" priority="18" operator="containsText" text="MODERADO">
      <formula>NOT(ISERROR(SEARCH("MODERADO",AC5)))</formula>
    </cfRule>
    <cfRule type="containsText" dxfId="120" priority="19" operator="containsText" text="FUERTE">
      <formula>NOT(ISERROR(SEARCH("FUERTE",AC5)))</formula>
    </cfRule>
  </conditionalFormatting>
  <conditionalFormatting sqref="AI5:AJ5 AI11:AJ11 AI17:AJ17 AI23:AJ23 AI29:AJ29 AI35:AJ35 AI41:AJ41 AI47:AJ47 AI53:AJ53 AI59:AJ59">
    <cfRule type="containsText" dxfId="119" priority="1" operator="containsText" text="casi seguro">
      <formula>NOT(ISERROR(SEARCH("casi seguro",AI5)))</formula>
    </cfRule>
    <cfRule type="containsText" dxfId="118" priority="2" operator="containsText" text="PROBABLE">
      <formula>NOT(ISERROR(SEARCH("PROBABLE",AI5)))</formula>
    </cfRule>
    <cfRule type="containsText" dxfId="117" priority="3" operator="containsText" text="posible">
      <formula>NOT(ISERROR(SEARCH("posible",AI5)))</formula>
    </cfRule>
    <cfRule type="containsText" dxfId="116" priority="4" operator="containsText" text="Improbable">
      <formula>NOT(ISERROR(SEARCH("Improbable",AI5)))</formula>
    </cfRule>
    <cfRule type="containsText" dxfId="115" priority="5" operator="containsText" text="Rara vez">
      <formula>NOT(ISERROR(SEARCH("Rara vez",AI5)))</formula>
    </cfRule>
  </conditionalFormatting>
  <conditionalFormatting sqref="AL5 AL11 AL17 AL23 AL29 AL35 AL41 AL47 AL53 AL59">
    <cfRule type="cellIs" dxfId="110" priority="12" stopIfTrue="1" operator="equal">
      <formula>"Muy Alta"</formula>
    </cfRule>
    <cfRule type="containsText" dxfId="109" priority="13" operator="containsText" text="ZONA RIESGO ALTA">
      <formula>NOT(ISERROR(SEARCH("ZONA RIESGO ALTA",AL5)))</formula>
    </cfRule>
    <cfRule type="containsText" dxfId="108" priority="14" operator="containsText" text="ZONA RIESGO MODERADA">
      <formula>NOT(ISERROR(SEARCH("ZONA RIESGO MODERADA",AL5)))</formula>
    </cfRule>
    <cfRule type="containsText" dxfId="107" priority="15" operator="containsText" text="ZONA RIESGO BAJA">
      <formula>NOT(ISERROR(SEARCH("ZONA RIESGO BAJA",AL5)))</formula>
    </cfRule>
    <cfRule type="cellIs" dxfId="106" priority="16" operator="equal">
      <formula>"Muy Baja"</formula>
    </cfRule>
  </conditionalFormatting>
  <conditionalFormatting sqref="AL5:AL64">
    <cfRule type="containsText" dxfId="105"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BS1" zoomScale="70" zoomScaleNormal="70" zoomScaleSheetLayoutView="10" zoomScalePageLayoutView="55" workbookViewId="0">
      <pane ySplit="4" topLeftCell="A5" activePane="bottomLeft" state="frozen"/>
      <selection pane="bottomLeft" activeCell="CB6" sqref="CB6"/>
    </sheetView>
  </sheetViews>
  <sheetFormatPr baseColWidth="10" defaultColWidth="11.42578125" defaultRowHeight="33" customHeight="1" x14ac:dyDescent="0.3"/>
  <cols>
    <col min="1" max="1" width="4" style="2" bestFit="1" customWidth="1"/>
    <col min="2" max="4" width="18.7109375" style="93" customWidth="1"/>
    <col min="5" max="5" width="32.42578125" style="1" customWidth="1"/>
    <col min="6" max="7" width="18.7109375" style="93" customWidth="1"/>
    <col min="8" max="9" width="14.140625" style="2" customWidth="1"/>
    <col min="10" max="10" width="43.42578125" style="2" customWidth="1"/>
    <col min="11" max="11" width="19" style="172" customWidth="1"/>
    <col min="12" max="12" width="32.42578125" style="1" customWidth="1"/>
    <col min="13" max="13" width="17.85546875" style="1" customWidth="1"/>
    <col min="14" max="14" width="18.85546875" style="1" customWidth="1"/>
    <col min="15" max="15" width="6.28515625" style="1" customWidth="1"/>
    <col min="16" max="16" width="27" style="1" customWidth="1"/>
    <col min="17" max="17" width="16.140625" style="1" customWidth="1"/>
    <col min="18" max="18" width="17.5703125" style="1" customWidth="1"/>
    <col min="19" max="19" width="6.28515625" style="1" customWidth="1"/>
    <col min="20" max="20" width="16" style="1" customWidth="1"/>
    <col min="21" max="21" width="5.85546875" style="1" customWidth="1"/>
    <col min="22" max="22" width="31" style="1" customWidth="1"/>
    <col min="23" max="24" width="15.140625" style="1" hidden="1" customWidth="1"/>
    <col min="25" max="25" width="21" style="1" hidden="1" customWidth="1"/>
    <col min="26" max="26" width="19.28515625" style="1" hidden="1" customWidth="1"/>
    <col min="27" max="27" width="28.42578125" style="1" hidden="1" customWidth="1"/>
    <col min="28" max="28" width="6.85546875" style="1" hidden="1" customWidth="1"/>
    <col min="29" max="29" width="5" style="1" hidden="1" customWidth="1"/>
    <col min="30" max="30" width="5.5703125" style="1" hidden="1" customWidth="1"/>
    <col min="31" max="31" width="7.140625" style="1" hidden="1" customWidth="1"/>
    <col min="32" max="32" width="6.7109375" style="1" hidden="1" customWidth="1"/>
    <col min="33" max="33" width="7.5703125" style="1" hidden="1" customWidth="1"/>
    <col min="34" max="34" width="8.140625" style="1" hidden="1" customWidth="1"/>
    <col min="35" max="35" width="8.7109375" style="1" hidden="1" customWidth="1"/>
    <col min="36" max="36" width="10.42578125" style="1" hidden="1" customWidth="1"/>
    <col min="37" max="37" width="9.28515625" style="1" hidden="1" customWidth="1"/>
    <col min="38" max="38" width="9.140625" style="1" hidden="1" customWidth="1"/>
    <col min="39" max="39" width="8.42578125" style="1" hidden="1" customWidth="1"/>
    <col min="40" max="40" width="7.28515625" style="1" hidden="1" customWidth="1"/>
    <col min="41" max="41" width="23" style="1" customWidth="1"/>
    <col min="42" max="42" width="18.85546875" style="1" customWidth="1"/>
    <col min="43" max="43" width="22.140625" style="1" customWidth="1"/>
    <col min="44" max="44" width="20.5703125" style="135" hidden="1" customWidth="1"/>
    <col min="45" max="45" width="51.42578125" style="135" hidden="1" customWidth="1"/>
    <col min="46" max="46" width="20.5703125" style="135" hidden="1" customWidth="1"/>
    <col min="47" max="49" width="45.7109375" style="135" hidden="1" customWidth="1"/>
    <col min="50" max="52" width="45.7109375" style="135" customWidth="1"/>
    <col min="53" max="53" width="45.7109375" style="135" hidden="1" customWidth="1"/>
    <col min="54" max="54" width="74.5703125" style="135" hidden="1" customWidth="1"/>
    <col min="55" max="55" width="18.85546875" style="135" hidden="1" customWidth="1"/>
    <col min="56" max="56" width="16.85546875" style="135" hidden="1" customWidth="1"/>
    <col min="57" max="57" width="19.5703125" style="135" hidden="1" customWidth="1"/>
    <col min="58" max="58" width="23" style="135" hidden="1" customWidth="1"/>
    <col min="59" max="59" width="55" style="135" hidden="1" customWidth="1"/>
    <col min="60" max="60" width="18.85546875" style="135" hidden="1" customWidth="1"/>
    <col min="61" max="61" width="34.7109375" style="135" hidden="1" customWidth="1"/>
    <col min="62" max="62" width="19.5703125" style="135" hidden="1" customWidth="1"/>
    <col min="63" max="63" width="23" style="1" hidden="1" customWidth="1"/>
    <col min="64" max="64" width="54.5703125" style="1" hidden="1" customWidth="1"/>
    <col min="65" max="65" width="18.85546875" style="1" hidden="1" customWidth="1"/>
    <col min="66" max="66" width="38.85546875" style="1" hidden="1" customWidth="1"/>
    <col min="67" max="67" width="19.5703125" style="1" hidden="1" customWidth="1"/>
    <col min="68" max="68" width="28.42578125" style="135" customWidth="1"/>
    <col min="69" max="69" width="70.140625" style="135" customWidth="1"/>
    <col min="70" max="70" width="27.42578125" style="135" customWidth="1"/>
    <col min="71" max="71" width="45.42578125" style="135" customWidth="1"/>
    <col min="72" max="72" width="19.5703125" style="135" customWidth="1"/>
    <col min="73" max="73" width="20.5703125" style="135" customWidth="1"/>
    <col min="74" max="75" width="23" style="135" customWidth="1"/>
    <col min="76" max="76" width="18.5703125" style="135" customWidth="1"/>
    <col min="77" max="77" width="24.42578125" style="135" customWidth="1"/>
    <col min="78" max="78" width="23" style="135" customWidth="1"/>
    <col min="79" max="79" width="18.5703125" style="135" customWidth="1"/>
    <col min="80" max="80" width="30.28515625" style="135" customWidth="1"/>
    <col min="81" max="81" width="69.140625" style="135" customWidth="1"/>
    <col min="82" max="82" width="41.85546875" style="135" customWidth="1"/>
    <col min="83" max="83" width="45.85546875" style="135" customWidth="1"/>
    <col min="84" max="16384" width="11.42578125" style="135"/>
  </cols>
  <sheetData>
    <row r="1" spans="1:109" ht="33" customHeight="1" x14ac:dyDescent="0.3">
      <c r="A1" s="189"/>
      <c r="B1" s="190"/>
      <c r="C1" s="190"/>
      <c r="D1" s="190"/>
      <c r="E1" s="3"/>
      <c r="F1" s="190"/>
      <c r="G1" s="190"/>
      <c r="H1" s="191"/>
      <c r="I1" s="191"/>
      <c r="J1" s="191"/>
      <c r="K1" s="192"/>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134"/>
      <c r="AP1" s="134"/>
      <c r="AQ1" s="134"/>
      <c r="AR1" s="134"/>
      <c r="AS1" s="134"/>
      <c r="AT1" s="134"/>
      <c r="AU1" s="134"/>
      <c r="AV1" s="134"/>
      <c r="AW1" s="134"/>
      <c r="AX1" s="134"/>
      <c r="AY1" s="134"/>
      <c r="AZ1" s="134"/>
      <c r="BA1" s="134"/>
      <c r="BB1" s="134"/>
      <c r="BC1" s="134"/>
      <c r="BD1" s="134"/>
      <c r="BE1" s="134"/>
      <c r="BF1" s="134"/>
      <c r="BG1" s="134"/>
      <c r="BH1" s="134"/>
      <c r="BI1" s="134"/>
      <c r="BJ1" s="134"/>
      <c r="BK1" s="3"/>
      <c r="BL1" s="3"/>
      <c r="BM1" s="3"/>
      <c r="BN1" s="3"/>
      <c r="BO1" s="3"/>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row>
    <row r="2" spans="1:109" ht="33" customHeight="1" x14ac:dyDescent="0.3">
      <c r="A2" s="450" t="s">
        <v>137</v>
      </c>
      <c r="B2" s="451"/>
      <c r="C2" s="451"/>
      <c r="D2" s="451"/>
      <c r="E2" s="451"/>
      <c r="F2" s="451"/>
      <c r="G2" s="451"/>
      <c r="H2" s="451"/>
      <c r="I2" s="451"/>
      <c r="J2" s="451"/>
      <c r="K2" s="451"/>
      <c r="L2" s="452"/>
      <c r="M2" s="450" t="s">
        <v>138</v>
      </c>
      <c r="N2" s="451"/>
      <c r="O2" s="451"/>
      <c r="P2" s="451"/>
      <c r="Q2" s="451"/>
      <c r="R2" s="451"/>
      <c r="S2" s="451"/>
      <c r="T2" s="452"/>
      <c r="U2" s="479" t="s">
        <v>139</v>
      </c>
      <c r="V2" s="479"/>
      <c r="W2" s="479"/>
      <c r="X2" s="479"/>
      <c r="Y2" s="479"/>
      <c r="Z2" s="479"/>
      <c r="AA2" s="479"/>
      <c r="AB2" s="479"/>
      <c r="AC2" s="479"/>
      <c r="AD2" s="479"/>
      <c r="AE2" s="479"/>
      <c r="AF2" s="479"/>
      <c r="AG2" s="479"/>
      <c r="AH2" s="479" t="s">
        <v>140</v>
      </c>
      <c r="AI2" s="479"/>
      <c r="AJ2" s="479"/>
      <c r="AK2" s="479"/>
      <c r="AL2" s="479"/>
      <c r="AM2" s="479"/>
      <c r="AN2" s="479"/>
      <c r="AO2" s="489" t="s">
        <v>141</v>
      </c>
      <c r="AP2" s="489"/>
      <c r="AQ2" s="489"/>
      <c r="AR2" s="489"/>
      <c r="AS2" s="489"/>
      <c r="AT2" s="489"/>
      <c r="AU2" s="489"/>
      <c r="AV2" s="489"/>
      <c r="AW2" s="489"/>
      <c r="AX2" s="489"/>
      <c r="AY2" s="489"/>
      <c r="AZ2" s="489"/>
      <c r="BA2" s="443" t="s">
        <v>142</v>
      </c>
      <c r="BB2" s="443"/>
      <c r="BC2" s="443"/>
      <c r="BD2" s="443"/>
      <c r="BE2" s="443"/>
      <c r="BF2" s="443" t="s">
        <v>143</v>
      </c>
      <c r="BG2" s="443"/>
      <c r="BH2" s="443"/>
      <c r="BI2" s="443"/>
      <c r="BJ2" s="443"/>
      <c r="BK2" s="443" t="s">
        <v>144</v>
      </c>
      <c r="BL2" s="443"/>
      <c r="BM2" s="443"/>
      <c r="BN2" s="443"/>
      <c r="BO2" s="443"/>
      <c r="BP2" s="443" t="s">
        <v>145</v>
      </c>
      <c r="BQ2" s="443"/>
      <c r="BR2" s="443"/>
      <c r="BS2" s="443"/>
      <c r="BT2" s="443"/>
      <c r="BU2" s="487" t="s">
        <v>146</v>
      </c>
      <c r="BV2" s="487"/>
      <c r="BW2" s="487"/>
      <c r="BX2" s="487"/>
      <c r="BY2" s="456" t="s">
        <v>147</v>
      </c>
      <c r="BZ2" s="456"/>
      <c r="CA2" s="456"/>
      <c r="CB2" s="447" t="s">
        <v>148</v>
      </c>
      <c r="CC2" s="448"/>
      <c r="CD2" s="448"/>
      <c r="CE2" s="449"/>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row>
    <row r="3" spans="1:109" ht="33" customHeight="1" x14ac:dyDescent="0.3">
      <c r="A3" s="475" t="s">
        <v>149</v>
      </c>
      <c r="B3" s="476" t="s">
        <v>7</v>
      </c>
      <c r="C3" s="476" t="s">
        <v>9</v>
      </c>
      <c r="D3" s="476" t="s">
        <v>11</v>
      </c>
      <c r="E3" s="479" t="s">
        <v>21</v>
      </c>
      <c r="F3" s="476" t="s">
        <v>514</v>
      </c>
      <c r="G3" s="476" t="s">
        <v>515</v>
      </c>
      <c r="H3" s="479" t="s">
        <v>15</v>
      </c>
      <c r="I3" s="479" t="s">
        <v>516</v>
      </c>
      <c r="J3" s="479" t="s">
        <v>517</v>
      </c>
      <c r="K3" s="476" t="s">
        <v>23</v>
      </c>
      <c r="L3" s="479" t="s">
        <v>518</v>
      </c>
      <c r="M3" s="476" t="s">
        <v>152</v>
      </c>
      <c r="N3" s="476" t="s">
        <v>153</v>
      </c>
      <c r="O3" s="479" t="s">
        <v>154</v>
      </c>
      <c r="P3" s="476" t="s">
        <v>155</v>
      </c>
      <c r="Q3" s="476" t="s">
        <v>156</v>
      </c>
      <c r="R3" s="476" t="s">
        <v>157</v>
      </c>
      <c r="S3" s="479" t="s">
        <v>154</v>
      </c>
      <c r="T3" s="476" t="s">
        <v>29</v>
      </c>
      <c r="U3" s="478" t="s">
        <v>158</v>
      </c>
      <c r="V3" s="476" t="s">
        <v>31</v>
      </c>
      <c r="W3" s="476" t="s">
        <v>33</v>
      </c>
      <c r="X3" s="480" t="s">
        <v>159</v>
      </c>
      <c r="Y3" s="481"/>
      <c r="Z3" s="481"/>
      <c r="AA3" s="482"/>
      <c r="AB3" s="476" t="s">
        <v>160</v>
      </c>
      <c r="AC3" s="476"/>
      <c r="AD3" s="476"/>
      <c r="AE3" s="476"/>
      <c r="AF3" s="476"/>
      <c r="AG3" s="476"/>
      <c r="AH3" s="478" t="s">
        <v>161</v>
      </c>
      <c r="AI3" s="478" t="s">
        <v>162</v>
      </c>
      <c r="AJ3" s="478" t="s">
        <v>154</v>
      </c>
      <c r="AK3" s="478" t="s">
        <v>163</v>
      </c>
      <c r="AL3" s="478" t="s">
        <v>154</v>
      </c>
      <c r="AM3" s="478" t="s">
        <v>164</v>
      </c>
      <c r="AN3" s="478" t="s">
        <v>49</v>
      </c>
      <c r="AO3" s="465" t="s">
        <v>165</v>
      </c>
      <c r="AP3" s="465" t="s">
        <v>166</v>
      </c>
      <c r="AQ3" s="465" t="s">
        <v>167</v>
      </c>
      <c r="AR3" s="465" t="s">
        <v>168</v>
      </c>
      <c r="AS3" s="465" t="s">
        <v>169</v>
      </c>
      <c r="AT3" s="465" t="s">
        <v>168</v>
      </c>
      <c r="AU3" s="466" t="s">
        <v>170</v>
      </c>
      <c r="AV3" s="465" t="s">
        <v>168</v>
      </c>
      <c r="AW3" s="465" t="s">
        <v>171</v>
      </c>
      <c r="AX3" s="465" t="s">
        <v>168</v>
      </c>
      <c r="AY3" s="466" t="s">
        <v>172</v>
      </c>
      <c r="AZ3" s="465" t="s">
        <v>53</v>
      </c>
      <c r="BA3" s="444" t="s">
        <v>173</v>
      </c>
      <c r="BB3" s="444" t="s">
        <v>174</v>
      </c>
      <c r="BC3" s="444" t="s">
        <v>166</v>
      </c>
      <c r="BD3" s="444" t="s">
        <v>175</v>
      </c>
      <c r="BE3" s="444" t="s">
        <v>176</v>
      </c>
      <c r="BF3" s="444" t="s">
        <v>173</v>
      </c>
      <c r="BG3" s="444" t="s">
        <v>174</v>
      </c>
      <c r="BH3" s="444" t="s">
        <v>166</v>
      </c>
      <c r="BI3" s="444" t="s">
        <v>175</v>
      </c>
      <c r="BJ3" s="444" t="s">
        <v>176</v>
      </c>
      <c r="BK3" s="444" t="s">
        <v>173</v>
      </c>
      <c r="BL3" s="444" t="s">
        <v>174</v>
      </c>
      <c r="BM3" s="444" t="s">
        <v>166</v>
      </c>
      <c r="BN3" s="444" t="s">
        <v>175</v>
      </c>
      <c r="BO3" s="444" t="s">
        <v>176</v>
      </c>
      <c r="BP3" s="444" t="s">
        <v>173</v>
      </c>
      <c r="BQ3" s="444" t="s">
        <v>174</v>
      </c>
      <c r="BR3" s="444" t="s">
        <v>166</v>
      </c>
      <c r="BS3" s="444" t="s">
        <v>175</v>
      </c>
      <c r="BT3" s="444" t="s">
        <v>176</v>
      </c>
      <c r="BU3" s="488" t="s">
        <v>178</v>
      </c>
      <c r="BV3" s="488" t="s">
        <v>367</v>
      </c>
      <c r="BW3" s="488" t="s">
        <v>179</v>
      </c>
      <c r="BX3" s="488" t="s">
        <v>174</v>
      </c>
      <c r="BY3" s="457" t="s">
        <v>168</v>
      </c>
      <c r="BZ3" s="457" t="s">
        <v>180</v>
      </c>
      <c r="CA3" s="457" t="s">
        <v>181</v>
      </c>
      <c r="CB3" s="492" t="s">
        <v>182</v>
      </c>
      <c r="CC3" s="492" t="s">
        <v>183</v>
      </c>
      <c r="CD3" s="492" t="s">
        <v>184</v>
      </c>
      <c r="CE3" s="492" t="s">
        <v>185</v>
      </c>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row>
    <row r="4" spans="1:109" s="137" customFormat="1" ht="60.75" customHeight="1" x14ac:dyDescent="0.25">
      <c r="A4" s="475"/>
      <c r="B4" s="476"/>
      <c r="C4" s="476"/>
      <c r="D4" s="476"/>
      <c r="E4" s="479"/>
      <c r="F4" s="476"/>
      <c r="G4" s="476"/>
      <c r="H4" s="479"/>
      <c r="I4" s="479"/>
      <c r="J4" s="479"/>
      <c r="K4" s="476"/>
      <c r="L4" s="479"/>
      <c r="M4" s="476"/>
      <c r="N4" s="476"/>
      <c r="O4" s="479"/>
      <c r="P4" s="476"/>
      <c r="Q4" s="476"/>
      <c r="R4" s="479"/>
      <c r="S4" s="479"/>
      <c r="T4" s="476"/>
      <c r="U4" s="478"/>
      <c r="V4" s="476"/>
      <c r="W4" s="476"/>
      <c r="X4" s="193" t="s">
        <v>519</v>
      </c>
      <c r="Y4" s="193" t="s">
        <v>520</v>
      </c>
      <c r="Z4" s="193" t="s">
        <v>188</v>
      </c>
      <c r="AA4" s="193" t="s">
        <v>189</v>
      </c>
      <c r="AB4" s="194" t="s">
        <v>70</v>
      </c>
      <c r="AC4" s="194" t="s">
        <v>190</v>
      </c>
      <c r="AD4" s="194" t="s">
        <v>191</v>
      </c>
      <c r="AE4" s="194" t="s">
        <v>192</v>
      </c>
      <c r="AF4" s="194" t="s">
        <v>193</v>
      </c>
      <c r="AG4" s="194" t="s">
        <v>175</v>
      </c>
      <c r="AH4" s="478"/>
      <c r="AI4" s="478"/>
      <c r="AJ4" s="478"/>
      <c r="AK4" s="478"/>
      <c r="AL4" s="478"/>
      <c r="AM4" s="478"/>
      <c r="AN4" s="478"/>
      <c r="AO4" s="465"/>
      <c r="AP4" s="465"/>
      <c r="AQ4" s="465"/>
      <c r="AR4" s="465"/>
      <c r="AS4" s="465"/>
      <c r="AT4" s="465"/>
      <c r="AU4" s="467"/>
      <c r="AV4" s="465"/>
      <c r="AW4" s="465"/>
      <c r="AX4" s="465"/>
      <c r="AY4" s="467"/>
      <c r="AZ4" s="465"/>
      <c r="BA4" s="444"/>
      <c r="BB4" s="444"/>
      <c r="BC4" s="444"/>
      <c r="BD4" s="444"/>
      <c r="BE4" s="444"/>
      <c r="BF4" s="444"/>
      <c r="BG4" s="444"/>
      <c r="BH4" s="444"/>
      <c r="BI4" s="444"/>
      <c r="BJ4" s="444"/>
      <c r="BK4" s="444"/>
      <c r="BL4" s="444"/>
      <c r="BM4" s="444"/>
      <c r="BN4" s="444"/>
      <c r="BO4" s="444"/>
      <c r="BP4" s="444"/>
      <c r="BQ4" s="444"/>
      <c r="BR4" s="444"/>
      <c r="BS4" s="444"/>
      <c r="BT4" s="444"/>
      <c r="BU4" s="488"/>
      <c r="BV4" s="488"/>
      <c r="BW4" s="488"/>
      <c r="BX4" s="488"/>
      <c r="BY4" s="457"/>
      <c r="BZ4" s="457"/>
      <c r="CA4" s="457"/>
      <c r="CB4" s="492"/>
      <c r="CC4" s="492"/>
      <c r="CD4" s="492"/>
      <c r="CE4" s="492"/>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row>
    <row r="5" spans="1:109" s="139" customFormat="1" ht="237" customHeight="1" x14ac:dyDescent="0.25">
      <c r="A5" s="445">
        <v>1</v>
      </c>
      <c r="B5" s="446" t="s">
        <v>72</v>
      </c>
      <c r="C5" s="446" t="s">
        <v>125</v>
      </c>
      <c r="D5" s="446" t="s">
        <v>194</v>
      </c>
      <c r="E5" s="472" t="s">
        <v>521</v>
      </c>
      <c r="F5" s="446" t="s">
        <v>522</v>
      </c>
      <c r="G5" s="446" t="s">
        <v>523</v>
      </c>
      <c r="H5" s="446" t="s">
        <v>196</v>
      </c>
      <c r="I5" s="185" t="s">
        <v>524</v>
      </c>
      <c r="J5" s="185" t="s">
        <v>525</v>
      </c>
      <c r="K5" s="446" t="s">
        <v>199</v>
      </c>
      <c r="L5" s="472" t="s">
        <v>526</v>
      </c>
      <c r="M5" s="445">
        <v>1</v>
      </c>
      <c r="N5" s="473" t="str">
        <f>IF(M5&lt;=0,"",IF(M5&lt;=2,"Muy Baja",IF(M5&lt;=24,"Baja",IF(M5&lt;=500,"Media",IF(M5&lt;=5000,"Alta","Muy Alta")))))</f>
        <v>Muy Baja</v>
      </c>
      <c r="O5" s="470">
        <f>IF(N5="","",IF(N5="Muy Baja",0.2,IF(N5="Baja",0.4,IF(N5="Media",0.6,IF(N5="Alta",0.8,IF(N5="Muy Alta",1,))))))</f>
        <v>0.2</v>
      </c>
      <c r="P5" s="542" t="s">
        <v>293</v>
      </c>
      <c r="Q5" s="470" t="str">
        <f ca="1">IF(NOT(ISERROR(MATCH(P5,'Tabla Impacto'!$B$221:$B$223,0))),'Tabla Impacto'!$F$223&amp;"Por favor no seleccionar los criterios de impacto(Afectación Económica o presupuestal y Pérdida Reputacional)",P5)</f>
        <v xml:space="preserve">     El riesgo afecta la imagen de la entidad con algunos usuarios de relevancia frente al logro de los objetivos</v>
      </c>
      <c r="R5" s="473" t="str">
        <f ca="1">IF(OR(Q5='Tabla Impacto'!$C$11,Q5='Tabla Impacto'!$D$11),"Leve",IF(OR(Q5='Tabla Impacto'!$C$12,Q5='Tabla Impacto'!$D$12),"Menor",IF(OR(Q5='Tabla Impacto'!$C$13,Q5='Tabla Impacto'!$D$13),"Moderado",IF(OR(Q5='Tabla Impacto'!$C$14,Q5='Tabla Impacto'!$D$14),"Mayor",IF(OR(Q5='Tabla Impacto'!$C$15,Q5='Tabla Impacto'!$D$15),"Catastrófico","")))))</f>
        <v>Moderado</v>
      </c>
      <c r="S5" s="470">
        <f ca="1">IF(R5="","",IF(R5="Leve",0.2,IF(R5="Menor",0.4,IF(R5="Moderado",0.6,IF(R5="Mayor",0.8,IF(R5="Catastrófico",1,))))))</f>
        <v>0.6</v>
      </c>
      <c r="T5" s="471"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Moderado</v>
      </c>
      <c r="U5" s="176">
        <v>1</v>
      </c>
      <c r="V5" s="184" t="s">
        <v>527</v>
      </c>
      <c r="W5" s="169" t="str">
        <f t="shared" ref="W5:W36" si="0">IF(OR(AB5="Preventivo",AB5="Detectivo"),"Probabilidad",IF(AB5="Correctivo","Impacto",""))</f>
        <v>Probabilidad</v>
      </c>
      <c r="X5" s="169" t="s">
        <v>202</v>
      </c>
      <c r="Y5" s="169" t="s">
        <v>202</v>
      </c>
      <c r="Z5" s="169" t="s">
        <v>202</v>
      </c>
      <c r="AA5" s="169" t="s">
        <v>202</v>
      </c>
      <c r="AB5" s="195" t="s">
        <v>203</v>
      </c>
      <c r="AC5" s="195" t="s">
        <v>204</v>
      </c>
      <c r="AD5" s="97" t="str">
        <f t="shared" ref="AD5" si="1">IF(AND(AB5="Preventivo",AC5="Automático"),"50%",IF(AND(AB5="Preventivo",AC5="Manual"),"40%",IF(AND(AB5="Detectivo",AC5="Automático"),"40%",IF(AND(AB5="Detectivo",AC5="Manual"),"30%",IF(AND(AB5="Correctivo",AC5="Automático"),"35%",IF(AND(AB5="Correctivo",AC5="Manual"),"25%",""))))))</f>
        <v>40%</v>
      </c>
      <c r="AE5" s="195" t="s">
        <v>528</v>
      </c>
      <c r="AF5" s="195" t="s">
        <v>206</v>
      </c>
      <c r="AG5" s="195" t="s">
        <v>207</v>
      </c>
      <c r="AH5" s="141">
        <f>IFERROR(IF(W5="Probabilidad",(O5-(+O5*AD5)),IF(W5="Impacto",O5,"")),"")</f>
        <v>0.12</v>
      </c>
      <c r="AI5" s="130" t="str">
        <f>IFERROR(IF(AH5="","",IF(AH5&lt;=0.2,"Muy Baja",IF(AH5&lt;=0.4,"Baja",IF(AH5&lt;=0.6,"Media",IF(AH5&lt;=0.8,"Alta","Muy Alta"))))),"")</f>
        <v>Muy Baja</v>
      </c>
      <c r="AJ5" s="97">
        <f t="shared" ref="AJ5" si="2">+AH5</f>
        <v>0.12</v>
      </c>
      <c r="AK5" s="130" t="str">
        <f ca="1">IFERROR(IF(AL5="","",IF(AL5&lt;=0.2,"Leve",IF(AL5&lt;=0.4,"Menor",IF(AL5&lt;=0.6,"Moderado",IF(AL5&lt;=0.8,"Mayor","Catastrófico"))))),"")</f>
        <v>Moderado</v>
      </c>
      <c r="AL5" s="97">
        <f ca="1">IFERROR(IF(W5="Impacto",(S5-(+S5*AD5)),IF(W5="Probabilidad",S5,"")),"")</f>
        <v>0.6</v>
      </c>
      <c r="AM5" s="98" t="str">
        <f t="shared" ref="AM5" ca="1"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Moderado</v>
      </c>
      <c r="AN5" s="453" t="s">
        <v>208</v>
      </c>
      <c r="AO5" s="185" t="s">
        <v>529</v>
      </c>
      <c r="AP5" s="185" t="s">
        <v>530</v>
      </c>
      <c r="AQ5" s="188">
        <v>45291</v>
      </c>
      <c r="AR5" s="188"/>
      <c r="AS5" s="185"/>
      <c r="AT5" s="99"/>
      <c r="AU5" s="170"/>
      <c r="AV5" s="188"/>
      <c r="AW5" s="185"/>
      <c r="AX5" s="99"/>
      <c r="AY5" s="170"/>
      <c r="AZ5" s="131"/>
      <c r="BA5" s="272"/>
      <c r="BB5" s="272"/>
      <c r="BC5" s="268"/>
      <c r="BD5" s="269"/>
      <c r="BE5" s="269"/>
      <c r="BF5" s="170"/>
      <c r="BG5" s="170"/>
      <c r="BH5" s="131"/>
      <c r="BI5" s="99"/>
      <c r="BJ5" s="99"/>
      <c r="BK5" s="185"/>
      <c r="BL5" s="185"/>
      <c r="BM5" s="176"/>
      <c r="BN5" s="188"/>
      <c r="BO5" s="188"/>
      <c r="BP5" s="170"/>
      <c r="BQ5" s="170"/>
      <c r="BR5" s="131"/>
      <c r="BS5" s="99"/>
      <c r="BT5" s="99"/>
      <c r="BU5" s="99"/>
      <c r="BV5" s="170"/>
      <c r="BW5" s="170"/>
      <c r="BX5" s="170"/>
      <c r="BY5" s="133" t="s">
        <v>861</v>
      </c>
      <c r="BZ5" s="170" t="s">
        <v>862</v>
      </c>
      <c r="CA5" s="170" t="s">
        <v>863</v>
      </c>
      <c r="CB5" s="133" t="s">
        <v>531</v>
      </c>
      <c r="CC5" s="289" t="s">
        <v>532</v>
      </c>
      <c r="CD5" s="289" t="s">
        <v>533</v>
      </c>
      <c r="CE5" s="289" t="s">
        <v>534</v>
      </c>
      <c r="CF5" s="138"/>
      <c r="CG5" s="138"/>
      <c r="CH5" s="138"/>
      <c r="CI5" s="138"/>
      <c r="CJ5" s="138"/>
      <c r="CK5" s="138"/>
      <c r="CL5" s="138"/>
      <c r="CM5" s="138"/>
      <c r="CN5" s="138"/>
      <c r="CO5" s="138"/>
      <c r="CP5" s="138"/>
      <c r="CQ5" s="138"/>
      <c r="CR5" s="138"/>
      <c r="CS5" s="138"/>
      <c r="CT5" s="138"/>
      <c r="CU5" s="138"/>
      <c r="CV5" s="138"/>
      <c r="CW5" s="138"/>
      <c r="CX5" s="138"/>
      <c r="CY5" s="138"/>
      <c r="CZ5" s="138"/>
      <c r="DA5" s="138"/>
      <c r="DB5" s="138"/>
      <c r="DC5" s="138"/>
      <c r="DD5" s="138"/>
      <c r="DE5" s="138"/>
    </row>
    <row r="6" spans="1:109" ht="409.5" customHeight="1" x14ac:dyDescent="0.3">
      <c r="A6" s="445"/>
      <c r="B6" s="446"/>
      <c r="C6" s="446"/>
      <c r="D6" s="446"/>
      <c r="E6" s="472"/>
      <c r="F6" s="446"/>
      <c r="G6" s="446"/>
      <c r="H6" s="446"/>
      <c r="I6" s="185" t="s">
        <v>535</v>
      </c>
      <c r="J6" s="185" t="s">
        <v>536</v>
      </c>
      <c r="K6" s="446"/>
      <c r="L6" s="472"/>
      <c r="M6" s="445"/>
      <c r="N6" s="473"/>
      <c r="O6" s="470"/>
      <c r="P6" s="542"/>
      <c r="Q6" s="470">
        <f>IF(NOT(ISERROR(MATCH(P6,_xlfn.ANCHORARRAY(E17),0))),O19&amp;"Por favor no seleccionar los criterios de impacto",P6)</f>
        <v>0</v>
      </c>
      <c r="R6" s="473"/>
      <c r="S6" s="470"/>
      <c r="T6" s="471"/>
      <c r="U6" s="176">
        <v>2</v>
      </c>
      <c r="V6" s="256" t="s">
        <v>537</v>
      </c>
      <c r="W6" s="239" t="str">
        <f t="shared" si="0"/>
        <v>Probabilidad</v>
      </c>
      <c r="X6" s="239" t="s">
        <v>202</v>
      </c>
      <c r="Y6" s="239" t="s">
        <v>202</v>
      </c>
      <c r="Z6" s="239" t="s">
        <v>202</v>
      </c>
      <c r="AA6" s="239" t="s">
        <v>202</v>
      </c>
      <c r="AB6" s="240" t="s">
        <v>203</v>
      </c>
      <c r="AC6" s="240" t="s">
        <v>204</v>
      </c>
      <c r="AD6" s="241" t="str">
        <f t="shared" ref="AD6:AD64" si="4">IF(AND(AB6="Preventivo",AC6="Automático"),"50%",IF(AND(AB6="Preventivo",AC6="Manual"),"40%",IF(AND(AB6="Detectivo",AC6="Automático"),"40%",IF(AND(AB6="Detectivo",AC6="Manual"),"30%",IF(AND(AB6="Correctivo",AC6="Automático"),"35%",IF(AND(AB6="Correctivo",AC6="Manual"),"25%",""))))))</f>
        <v>40%</v>
      </c>
      <c r="AE6" s="240" t="s">
        <v>528</v>
      </c>
      <c r="AF6" s="240" t="s">
        <v>206</v>
      </c>
      <c r="AG6" s="240" t="s">
        <v>538</v>
      </c>
      <c r="AH6" s="242">
        <f>IFERROR(IF(AND(W5="Probabilidad",W6="Probabilidad"),(AJ5-(+AJ5*AD6)),IF(W6="Probabilidad",(O5-(+O5*AD6)),IF(W6="Impacto",AJ5,""))),"")</f>
        <v>7.1999999999999995E-2</v>
      </c>
      <c r="AI6" s="243" t="str">
        <f t="shared" ref="AI6:AI64" si="5">IFERROR(IF(AH6="","",IF(AH6&lt;=0.2,"Muy Baja",IF(AH6&lt;=0.4,"Baja",IF(AH6&lt;=0.6,"Media",IF(AH6&lt;=0.8,"Alta","Muy Alta"))))),"")</f>
        <v>Muy Baja</v>
      </c>
      <c r="AJ6" s="241">
        <f t="shared" ref="AJ6:AJ36" si="6">+AH6</f>
        <v>7.1999999999999995E-2</v>
      </c>
      <c r="AK6" s="243" t="str">
        <f t="shared" ref="AK6:AK64" ca="1" si="7">IFERROR(IF(AL6="","",IF(AL6&lt;=0.2,"Leve",IF(AL6&lt;=0.4,"Menor",IF(AL6&lt;=0.6,"Moderado",IF(AL6&lt;=0.8,"Mayor","Catastrófico"))))),"")</f>
        <v>Moderado</v>
      </c>
      <c r="AL6" s="241">
        <f ca="1">IFERROR(IF(AND(W5="Impacto",W6="Impacto"),(AL5-(+AL5*AD6)),IF(W6="Impacto",($S$5-(+$S$5*AD6)),IF(W6="Probabilidad",AL5,""))),"")</f>
        <v>0.6</v>
      </c>
      <c r="AM6" s="244" t="str">
        <f t="shared" ref="AM6:AM36" ca="1"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Moderado</v>
      </c>
      <c r="AN6" s="541"/>
      <c r="AO6" s="257" t="s">
        <v>539</v>
      </c>
      <c r="AP6" s="257" t="s">
        <v>540</v>
      </c>
      <c r="AQ6" s="188">
        <v>45291</v>
      </c>
      <c r="AR6" s="266">
        <v>44992</v>
      </c>
      <c r="AS6" s="270" t="s">
        <v>541</v>
      </c>
      <c r="AT6" s="279">
        <v>45056</v>
      </c>
      <c r="AU6" s="307" t="s">
        <v>542</v>
      </c>
      <c r="AV6" s="315" t="s">
        <v>543</v>
      </c>
      <c r="AW6" s="318" t="s">
        <v>544</v>
      </c>
      <c r="AX6" s="133" t="s">
        <v>545</v>
      </c>
      <c r="AY6" s="343" t="s">
        <v>546</v>
      </c>
      <c r="AZ6" s="131"/>
      <c r="BA6" s="271">
        <v>44992</v>
      </c>
      <c r="BB6" s="267" t="s">
        <v>547</v>
      </c>
      <c r="BC6" s="176"/>
      <c r="BD6" s="188"/>
      <c r="BE6" s="188"/>
      <c r="BF6" s="280">
        <v>45056</v>
      </c>
      <c r="BG6" s="281" t="s">
        <v>548</v>
      </c>
      <c r="BH6" s="282" t="s">
        <v>549</v>
      </c>
      <c r="BI6" s="280" t="s">
        <v>550</v>
      </c>
      <c r="BJ6" s="99" t="s">
        <v>223</v>
      </c>
      <c r="BK6" s="185" t="s">
        <v>551</v>
      </c>
      <c r="BL6" s="328" t="s">
        <v>552</v>
      </c>
      <c r="BM6" s="329" t="s">
        <v>549</v>
      </c>
      <c r="BN6" s="330" t="s">
        <v>553</v>
      </c>
      <c r="BO6" s="188"/>
      <c r="BP6" s="709" t="s">
        <v>864</v>
      </c>
      <c r="BQ6" s="344" t="s">
        <v>554</v>
      </c>
      <c r="BR6" s="282" t="s">
        <v>549</v>
      </c>
      <c r="BS6" s="280" t="s">
        <v>555</v>
      </c>
      <c r="BT6" s="99"/>
      <c r="BU6" s="99"/>
      <c r="BV6" s="170"/>
      <c r="BW6" s="170"/>
      <c r="BX6" s="170"/>
      <c r="BY6" s="133" t="s">
        <v>861</v>
      </c>
      <c r="BZ6" s="259" t="s">
        <v>865</v>
      </c>
      <c r="CA6" s="259" t="s">
        <v>866</v>
      </c>
      <c r="CB6" s="133" t="s">
        <v>556</v>
      </c>
      <c r="CC6" s="289" t="s">
        <v>557</v>
      </c>
      <c r="CD6" s="289" t="s">
        <v>558</v>
      </c>
      <c r="CE6" s="289" t="s">
        <v>559</v>
      </c>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row>
    <row r="7" spans="1:109" ht="16.5" x14ac:dyDescent="0.3">
      <c r="A7" s="445"/>
      <c r="B7" s="446"/>
      <c r="C7" s="446"/>
      <c r="D7" s="446"/>
      <c r="E7" s="472"/>
      <c r="F7" s="446"/>
      <c r="G7" s="446"/>
      <c r="H7" s="446"/>
      <c r="I7" s="185"/>
      <c r="J7" s="185"/>
      <c r="K7" s="446"/>
      <c r="L7" s="472"/>
      <c r="M7" s="445"/>
      <c r="N7" s="473"/>
      <c r="O7" s="470"/>
      <c r="P7" s="542"/>
      <c r="Q7" s="470">
        <f>IF(NOT(ISERROR(MATCH(P7,_xlfn.ANCHORARRAY(E18),0))),O20&amp;"Por favor no seleccionar los criterios de impacto",P7)</f>
        <v>0</v>
      </c>
      <c r="R7" s="473"/>
      <c r="S7" s="470"/>
      <c r="T7" s="471"/>
      <c r="U7" s="176">
        <v>3</v>
      </c>
      <c r="V7" s="183"/>
      <c r="W7" s="169" t="str">
        <f t="shared" si="0"/>
        <v/>
      </c>
      <c r="X7" s="169"/>
      <c r="Y7" s="169"/>
      <c r="Z7" s="169"/>
      <c r="AA7" s="169"/>
      <c r="AB7" s="195"/>
      <c r="AC7" s="195"/>
      <c r="AD7" s="97" t="str">
        <f t="shared" si="4"/>
        <v/>
      </c>
      <c r="AE7" s="195"/>
      <c r="AF7" s="195"/>
      <c r="AG7" s="195"/>
      <c r="AH7" s="141" t="str">
        <f>IFERROR(IF(AND(W6="Probabilidad",W7="Probabilidad"),(AJ6-(+AJ6*AD7)),IF(AND(W6="Impacto",W7="Probabilidad"),(AJ5-(+AJ5*AD7)),IF(W7="Impacto",AJ6,""))),"")</f>
        <v/>
      </c>
      <c r="AI7" s="130" t="str">
        <f t="shared" si="5"/>
        <v/>
      </c>
      <c r="AJ7" s="97" t="str">
        <f t="shared" si="6"/>
        <v/>
      </c>
      <c r="AK7" s="130" t="str">
        <f t="shared" si="7"/>
        <v/>
      </c>
      <c r="AL7" s="97" t="str">
        <f>IFERROR(IF(AND(W6="Impacto",W7="Impacto"),(AL6-(+AL6*AD7)),IF(AND(W6="Probabilidad",W7="Impacto"),(AL5-(+AL5*AD7)),IF(W7="Probabilidad",AL6,""))),"")</f>
        <v/>
      </c>
      <c r="AM7" s="98" t="str">
        <f t="shared" si="8"/>
        <v/>
      </c>
      <c r="AN7" s="454"/>
      <c r="AO7" s="185"/>
      <c r="AP7" s="176"/>
      <c r="AQ7" s="188"/>
      <c r="AR7" s="188"/>
      <c r="AS7" s="185"/>
      <c r="AT7" s="99"/>
      <c r="AU7" s="170"/>
      <c r="AV7" s="188"/>
      <c r="AW7" s="185"/>
      <c r="AX7" s="99"/>
      <c r="AY7" s="170"/>
      <c r="AZ7" s="131"/>
      <c r="BA7" s="185"/>
      <c r="BB7" s="185"/>
      <c r="BC7" s="176"/>
      <c r="BD7" s="188"/>
      <c r="BE7" s="188"/>
      <c r="BF7" s="170"/>
      <c r="BG7" s="170"/>
      <c r="BH7" s="131"/>
      <c r="BI7" s="99"/>
      <c r="BJ7" s="99"/>
      <c r="BK7" s="185"/>
      <c r="BL7" s="185"/>
      <c r="BM7" s="176"/>
      <c r="BN7" s="188"/>
      <c r="BO7" s="188"/>
      <c r="BP7" s="170"/>
      <c r="BQ7" s="170"/>
      <c r="BR7" s="131"/>
      <c r="BS7" s="99"/>
      <c r="BT7" s="99"/>
      <c r="BU7" s="99"/>
      <c r="BV7" s="170"/>
      <c r="BW7" s="170"/>
      <c r="BX7" s="170"/>
      <c r="BY7" s="99"/>
      <c r="BZ7" s="170"/>
      <c r="CA7" s="170"/>
      <c r="CB7" s="99"/>
      <c r="CC7" s="170"/>
      <c r="CD7" s="131"/>
      <c r="CE7" s="170"/>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row>
    <row r="8" spans="1:109" ht="15.75" customHeight="1" x14ac:dyDescent="0.3">
      <c r="A8" s="445"/>
      <c r="B8" s="446"/>
      <c r="C8" s="446"/>
      <c r="D8" s="446"/>
      <c r="E8" s="472"/>
      <c r="F8" s="446"/>
      <c r="G8" s="446"/>
      <c r="H8" s="446"/>
      <c r="I8" s="185"/>
      <c r="J8" s="185"/>
      <c r="K8" s="446"/>
      <c r="L8" s="472"/>
      <c r="M8" s="445"/>
      <c r="N8" s="473"/>
      <c r="O8" s="470"/>
      <c r="P8" s="542"/>
      <c r="Q8" s="470">
        <f>IF(NOT(ISERROR(MATCH(P8,_xlfn.ANCHORARRAY(E19),0))),O21&amp;"Por favor no seleccionar los criterios de impacto",P8)</f>
        <v>0</v>
      </c>
      <c r="R8" s="473"/>
      <c r="S8" s="470"/>
      <c r="T8" s="471"/>
      <c r="U8" s="176">
        <v>4</v>
      </c>
      <c r="V8" s="184"/>
      <c r="W8" s="169" t="str">
        <f t="shared" si="0"/>
        <v/>
      </c>
      <c r="X8" s="169"/>
      <c r="Y8" s="169"/>
      <c r="Z8" s="169"/>
      <c r="AA8" s="169"/>
      <c r="AB8" s="195"/>
      <c r="AC8" s="195"/>
      <c r="AD8" s="97" t="str">
        <f t="shared" si="4"/>
        <v/>
      </c>
      <c r="AE8" s="195"/>
      <c r="AF8" s="195"/>
      <c r="AG8" s="195"/>
      <c r="AH8" s="141" t="str">
        <f>IFERROR(IF(AND(W7="Probabilidad",W8="Probabilidad"),(AJ7-(+AJ7*AD8)),IF(AND(W7="Impacto",W8="Probabilidad"),(AJ6-(+AJ6*AD8)),IF(W8="Impacto",AJ7,""))),"")</f>
        <v/>
      </c>
      <c r="AI8" s="130" t="str">
        <f t="shared" si="5"/>
        <v/>
      </c>
      <c r="AJ8" s="97" t="str">
        <f t="shared" si="6"/>
        <v/>
      </c>
      <c r="AK8" s="130" t="str">
        <f t="shared" si="7"/>
        <v/>
      </c>
      <c r="AL8" s="97" t="str">
        <f>IFERROR(IF(AND(W7="Impacto",W8="Impacto"),(AL7-(+AL7*AD8)),IF(AND(W7="Probabilidad",W8="Impacto"),(AL6-(+AL6*AD8)),IF(W8="Probabilidad",AL7,""))),"")</f>
        <v/>
      </c>
      <c r="AM8" s="98" t="str">
        <f t="shared" si="8"/>
        <v/>
      </c>
      <c r="AN8" s="454"/>
      <c r="AO8" s="185"/>
      <c r="AP8" s="176"/>
      <c r="AQ8" s="188"/>
      <c r="AR8" s="188"/>
      <c r="AS8" s="185"/>
      <c r="AT8" s="99"/>
      <c r="AU8" s="170"/>
      <c r="AV8" s="188"/>
      <c r="AW8" s="185"/>
      <c r="AX8" s="99"/>
      <c r="AY8" s="170"/>
      <c r="AZ8" s="131"/>
      <c r="BA8" s="185"/>
      <c r="BB8" s="185"/>
      <c r="BC8" s="176"/>
      <c r="BD8" s="188"/>
      <c r="BE8" s="188"/>
      <c r="BF8" s="170"/>
      <c r="BG8" s="170"/>
      <c r="BH8" s="131"/>
      <c r="BI8" s="99"/>
      <c r="BJ8" s="99"/>
      <c r="BK8" s="185"/>
      <c r="BL8" s="185"/>
      <c r="BM8" s="176"/>
      <c r="BN8" s="188"/>
      <c r="BO8" s="188"/>
      <c r="BP8" s="170"/>
      <c r="BQ8" s="170"/>
      <c r="BR8" s="131"/>
      <c r="BS8" s="99"/>
      <c r="BT8" s="99"/>
      <c r="BU8" s="99"/>
      <c r="BV8" s="170"/>
      <c r="BW8" s="170"/>
      <c r="BX8" s="170"/>
      <c r="BY8" s="99"/>
      <c r="BZ8" s="170"/>
      <c r="CA8" s="170"/>
      <c r="CB8" s="99"/>
      <c r="CC8" s="170"/>
      <c r="CD8" s="131"/>
      <c r="CE8" s="170"/>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row>
    <row r="9" spans="1:109" ht="15.75" customHeight="1" x14ac:dyDescent="0.3">
      <c r="A9" s="445"/>
      <c r="B9" s="446"/>
      <c r="C9" s="446"/>
      <c r="D9" s="446"/>
      <c r="E9" s="472"/>
      <c r="F9" s="446"/>
      <c r="G9" s="446"/>
      <c r="H9" s="446"/>
      <c r="I9" s="185"/>
      <c r="J9" s="185"/>
      <c r="K9" s="446"/>
      <c r="L9" s="472"/>
      <c r="M9" s="445"/>
      <c r="N9" s="473"/>
      <c r="O9" s="470"/>
      <c r="P9" s="542"/>
      <c r="Q9" s="470">
        <f>IF(NOT(ISERROR(MATCH(P9,_xlfn.ANCHORARRAY(E20),0))),O22&amp;"Por favor no seleccionar los criterios de impacto",P9)</f>
        <v>0</v>
      </c>
      <c r="R9" s="473"/>
      <c r="S9" s="470"/>
      <c r="T9" s="471"/>
      <c r="U9" s="176">
        <v>5</v>
      </c>
      <c r="V9" s="184"/>
      <c r="W9" s="169" t="str">
        <f t="shared" si="0"/>
        <v/>
      </c>
      <c r="X9" s="169"/>
      <c r="Y9" s="169"/>
      <c r="Z9" s="169"/>
      <c r="AA9" s="169"/>
      <c r="AB9" s="195"/>
      <c r="AC9" s="195"/>
      <c r="AD9" s="97" t="str">
        <f t="shared" si="4"/>
        <v/>
      </c>
      <c r="AE9" s="195"/>
      <c r="AF9" s="195"/>
      <c r="AG9" s="195"/>
      <c r="AH9" s="141" t="str">
        <f>IFERROR(IF(AND(W8="Probabilidad",W9="Probabilidad"),(AJ8-(+AJ8*AD9)),IF(AND(W8="Impacto",W9="Probabilidad"),(AJ7-(+AJ7*AD9)),IF(W9="Impacto",AJ8,""))),"")</f>
        <v/>
      </c>
      <c r="AI9" s="130" t="str">
        <f t="shared" si="5"/>
        <v/>
      </c>
      <c r="AJ9" s="97" t="str">
        <f t="shared" si="6"/>
        <v/>
      </c>
      <c r="AK9" s="130" t="str">
        <f t="shared" si="7"/>
        <v/>
      </c>
      <c r="AL9" s="97" t="str">
        <f>IFERROR(IF(AND(W8="Impacto",W9="Impacto"),(AL8-(+AL8*AD9)),IF(AND(W8="Probabilidad",W9="Impacto"),(AL7-(+AL7*AD9)),IF(W9="Probabilidad",AL8,""))),"")</f>
        <v/>
      </c>
      <c r="AM9" s="98" t="str">
        <f t="shared" si="8"/>
        <v/>
      </c>
      <c r="AN9" s="454"/>
      <c r="AO9" s="185"/>
      <c r="AP9" s="176"/>
      <c r="AQ9" s="188"/>
      <c r="AR9" s="188"/>
      <c r="AS9" s="185"/>
      <c r="AT9" s="99"/>
      <c r="AU9" s="170"/>
      <c r="AV9" s="188"/>
      <c r="AW9" s="185"/>
      <c r="AX9" s="99"/>
      <c r="AY9" s="170"/>
      <c r="AZ9" s="131"/>
      <c r="BA9" s="185"/>
      <c r="BB9" s="185"/>
      <c r="BC9" s="176"/>
      <c r="BD9" s="188"/>
      <c r="BE9" s="188"/>
      <c r="BF9" s="170"/>
      <c r="BG9" s="170"/>
      <c r="BH9" s="131"/>
      <c r="BI9" s="99"/>
      <c r="BJ9" s="99"/>
      <c r="BK9" s="185"/>
      <c r="BL9" s="185"/>
      <c r="BM9" s="176"/>
      <c r="BN9" s="188"/>
      <c r="BO9" s="188"/>
      <c r="BP9" s="170"/>
      <c r="BQ9" s="170"/>
      <c r="BR9" s="131"/>
      <c r="BS9" s="99"/>
      <c r="BT9" s="99"/>
      <c r="BU9" s="99"/>
      <c r="BV9" s="170"/>
      <c r="BW9" s="170"/>
      <c r="BX9" s="170"/>
      <c r="BY9" s="99"/>
      <c r="BZ9" s="170"/>
      <c r="CA9" s="170"/>
      <c r="CB9" s="99"/>
      <c r="CC9" s="170"/>
      <c r="CD9" s="131"/>
      <c r="CE9" s="170"/>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row>
    <row r="10" spans="1:109" ht="15.75" hidden="1" customHeight="1" x14ac:dyDescent="0.3">
      <c r="A10" s="445"/>
      <c r="B10" s="446"/>
      <c r="C10" s="446"/>
      <c r="D10" s="446"/>
      <c r="E10" s="472"/>
      <c r="F10" s="446"/>
      <c r="G10" s="446"/>
      <c r="H10" s="446"/>
      <c r="I10" s="185"/>
      <c r="J10" s="185"/>
      <c r="K10" s="446"/>
      <c r="L10" s="472"/>
      <c r="M10" s="445"/>
      <c r="N10" s="473"/>
      <c r="O10" s="470"/>
      <c r="P10" s="542"/>
      <c r="Q10" s="470">
        <f>IF(NOT(ISERROR(MATCH(P10,_xlfn.ANCHORARRAY(E21),0))),O23&amp;"Por favor no seleccionar los criterios de impacto",P10)</f>
        <v>0</v>
      </c>
      <c r="R10" s="473"/>
      <c r="S10" s="470"/>
      <c r="T10" s="471"/>
      <c r="U10" s="176">
        <v>6</v>
      </c>
      <c r="V10" s="184"/>
      <c r="W10" s="169" t="str">
        <f t="shared" si="0"/>
        <v/>
      </c>
      <c r="X10" s="169"/>
      <c r="Y10" s="169"/>
      <c r="Z10" s="169"/>
      <c r="AA10" s="169"/>
      <c r="AB10" s="195"/>
      <c r="AC10" s="195"/>
      <c r="AD10" s="97" t="str">
        <f t="shared" si="4"/>
        <v/>
      </c>
      <c r="AE10" s="195"/>
      <c r="AF10" s="195"/>
      <c r="AG10" s="195"/>
      <c r="AH10" s="141" t="str">
        <f>IFERROR(IF(AND(W9="Probabilidad",W10="Probabilidad"),(AJ9-(+AJ9*AD10)),IF(AND(W9="Impacto",W10="Probabilidad"),(AJ8-(+AJ8*AD10)),IF(W10="Impacto",AJ9,""))),"")</f>
        <v/>
      </c>
      <c r="AI10" s="130" t="str">
        <f t="shared" si="5"/>
        <v/>
      </c>
      <c r="AJ10" s="97" t="str">
        <f t="shared" si="6"/>
        <v/>
      </c>
      <c r="AK10" s="130" t="str">
        <f t="shared" si="7"/>
        <v/>
      </c>
      <c r="AL10" s="97" t="str">
        <f>IFERROR(IF(AND(W9="Impacto",W10="Impacto"),(AL9-(+AL9*AD10)),IF(AND(W9="Probabilidad",W10="Impacto"),(AL8-(+AL8*AD10)),IF(W10="Probabilidad",AL9,""))),"")</f>
        <v/>
      </c>
      <c r="AM10" s="98" t="str">
        <f t="shared" si="8"/>
        <v/>
      </c>
      <c r="AN10" s="455"/>
      <c r="AO10" s="185"/>
      <c r="AP10" s="176"/>
      <c r="AQ10" s="188"/>
      <c r="AR10" s="188"/>
      <c r="AS10" s="185"/>
      <c r="AT10" s="99"/>
      <c r="AU10" s="170"/>
      <c r="AV10" s="188"/>
      <c r="AW10" s="185"/>
      <c r="AX10" s="99"/>
      <c r="AY10" s="170"/>
      <c r="AZ10" s="131"/>
      <c r="BA10" s="185"/>
      <c r="BB10" s="185"/>
      <c r="BC10" s="176"/>
      <c r="BD10" s="188"/>
      <c r="BE10" s="188"/>
      <c r="BF10" s="170"/>
      <c r="BG10" s="170"/>
      <c r="BH10" s="131"/>
      <c r="BI10" s="99"/>
      <c r="BJ10" s="99"/>
      <c r="BK10" s="185"/>
      <c r="BL10" s="185"/>
      <c r="BM10" s="176"/>
      <c r="BN10" s="188"/>
      <c r="BO10" s="188"/>
      <c r="BP10" s="170"/>
      <c r="BQ10" s="170"/>
      <c r="BR10" s="131"/>
      <c r="BS10" s="99"/>
      <c r="BT10" s="99"/>
      <c r="BU10" s="99"/>
      <c r="BV10" s="170"/>
      <c r="BW10" s="170"/>
      <c r="BX10" s="170"/>
      <c r="BY10" s="99"/>
      <c r="BZ10" s="170"/>
      <c r="CA10" s="170"/>
      <c r="CB10" s="99"/>
      <c r="CC10" s="170"/>
      <c r="CD10" s="131"/>
      <c r="CE10" s="170"/>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row>
    <row r="11" spans="1:109" ht="15.75" customHeight="1" x14ac:dyDescent="0.3">
      <c r="A11" s="445">
        <v>2</v>
      </c>
      <c r="B11" s="446"/>
      <c r="C11" s="446"/>
      <c r="D11" s="446"/>
      <c r="E11" s="472"/>
      <c r="F11" s="446"/>
      <c r="G11" s="446"/>
      <c r="H11" s="446"/>
      <c r="I11" s="185"/>
      <c r="J11" s="185"/>
      <c r="K11" s="446"/>
      <c r="L11" s="472"/>
      <c r="M11" s="445"/>
      <c r="N11" s="473" t="str">
        <f>IF(M11&lt;=0,"",IF(M11&lt;=2,"Muy Baja",IF(M11&lt;=24,"Baja",IF(M11&lt;=500,"Media",IF(M11&lt;=5000,"Alta","Muy Alta")))))</f>
        <v/>
      </c>
      <c r="O11" s="470" t="str">
        <f>IF(N11="","",IF(N11="Muy Baja",0.2,IF(N11="Baja",0.4,IF(N11="Media",0.6,IF(N11="Alta",0.8,IF(N11="Muy Alta",1,))))))</f>
        <v/>
      </c>
      <c r="P11" s="542"/>
      <c r="Q11" s="470">
        <f ca="1">IF(NOT(ISERROR(MATCH(P11,'Tabla Impacto'!$B$221:$B$223,0))),'Tabla Impacto'!$F$223&amp;"Por favor no seleccionar los criterios de impacto(Afectación Económica o presupuestal y Pérdida Reputacional)",P11)</f>
        <v>0</v>
      </c>
      <c r="R11" s="473" t="str">
        <f ca="1">IF(OR(Q11='Tabla Impacto'!$C$11,Q11='Tabla Impacto'!$D$11),"Leve",IF(OR(Q11='Tabla Impacto'!$C$12,Q11='Tabla Impacto'!$D$12),"Menor",IF(OR(Q11='Tabla Impacto'!$C$13,Q11='Tabla Impacto'!$D$13),"Moderado",IF(OR(Q11='Tabla Impacto'!$C$14,Q11='Tabla Impacto'!$D$14),"Mayor",IF(OR(Q11='Tabla Impacto'!$C$15,Q11='Tabla Impacto'!$D$15),"Catastrófico","")))))</f>
        <v/>
      </c>
      <c r="S11" s="470" t="str">
        <f ca="1">IF(R11="","",IF(R11="Leve",0.2,IF(R11="Menor",0.4,IF(R11="Moderado",0.6,IF(R11="Mayor",0.8,IF(R11="Catastrófico",1,))))))</f>
        <v/>
      </c>
      <c r="T11" s="471"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76">
        <v>1</v>
      </c>
      <c r="V11" s="184"/>
      <c r="W11" s="169" t="str">
        <f t="shared" si="0"/>
        <v/>
      </c>
      <c r="X11" s="169"/>
      <c r="Y11" s="169"/>
      <c r="Z11" s="169"/>
      <c r="AA11" s="169"/>
      <c r="AB11" s="195"/>
      <c r="AC11" s="195"/>
      <c r="AD11" s="97" t="str">
        <f t="shared" si="4"/>
        <v/>
      </c>
      <c r="AE11" s="195"/>
      <c r="AF11" s="195"/>
      <c r="AG11" s="195"/>
      <c r="AH11" s="142" t="str">
        <f>IFERROR(IF(W11="Probabilidad",(O11-(+O11*AD11)),IF(W11="Impacto",O11,"")),"")</f>
        <v/>
      </c>
      <c r="AI11" s="130" t="str">
        <f>IFERROR(IF(AH11="","",IF(AH11&lt;=0.2,"Muy Baja",IF(AH11&lt;=0.4,"Baja",IF(AH11&lt;=0.6,"Media",IF(AH11&lt;=0.8,"Alta","Muy Alta"))))),"")</f>
        <v/>
      </c>
      <c r="AJ11" s="97" t="str">
        <f t="shared" si="6"/>
        <v/>
      </c>
      <c r="AK11" s="130" t="str">
        <f>IFERROR(IF(AL11="","",IF(AL11&lt;=0.2,"Leve",IF(AL11&lt;=0.4,"Menor",IF(AL11&lt;=0.6,"Moderado",IF(AL11&lt;=0.8,"Mayor","Catastrófico"))))),"")</f>
        <v/>
      </c>
      <c r="AL11" s="97" t="str">
        <f>IFERROR(IF(W11="Impacto",(S11-(+S11*AD11)),IF(W11="Probabilidad",S11,"")),"")</f>
        <v/>
      </c>
      <c r="AM11" s="98" t="str">
        <f t="shared" si="8"/>
        <v/>
      </c>
      <c r="AN11" s="453"/>
      <c r="AO11" s="185"/>
      <c r="AP11" s="176"/>
      <c r="AQ11" s="188"/>
      <c r="AR11" s="188"/>
      <c r="AS11" s="185"/>
      <c r="AT11" s="99"/>
      <c r="AU11" s="170"/>
      <c r="AV11" s="188"/>
      <c r="AW11" s="185"/>
      <c r="AX11" s="99"/>
      <c r="AY11" s="170"/>
      <c r="AZ11" s="131"/>
      <c r="BA11" s="185"/>
      <c r="BB11" s="185"/>
      <c r="BC11" s="176"/>
      <c r="BD11" s="188"/>
      <c r="BE11" s="188"/>
      <c r="BF11" s="170"/>
      <c r="BG11" s="170"/>
      <c r="BH11" s="131"/>
      <c r="BI11" s="99"/>
      <c r="BJ11" s="99"/>
      <c r="BK11" s="185"/>
      <c r="BL11" s="185"/>
      <c r="BM11" s="176"/>
      <c r="BN11" s="188"/>
      <c r="BO11" s="188"/>
      <c r="BP11" s="170"/>
      <c r="BQ11" s="170"/>
      <c r="BR11" s="131"/>
      <c r="BS11" s="99"/>
      <c r="BT11" s="99"/>
      <c r="BU11" s="99"/>
      <c r="BV11" s="170"/>
      <c r="BW11" s="170"/>
      <c r="BX11" s="170"/>
      <c r="BY11" s="99"/>
      <c r="BZ11" s="170"/>
      <c r="CA11" s="170"/>
      <c r="CB11" s="99"/>
      <c r="CC11" s="170"/>
      <c r="CD11" s="131"/>
      <c r="CE11" s="170"/>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row>
    <row r="12" spans="1:109" ht="15.75" customHeight="1" x14ac:dyDescent="0.3">
      <c r="A12" s="445"/>
      <c r="B12" s="446"/>
      <c r="C12" s="446"/>
      <c r="D12" s="446"/>
      <c r="E12" s="472"/>
      <c r="F12" s="446"/>
      <c r="G12" s="446"/>
      <c r="H12" s="446"/>
      <c r="I12" s="185"/>
      <c r="J12" s="185"/>
      <c r="K12" s="446"/>
      <c r="L12" s="472"/>
      <c r="M12" s="445"/>
      <c r="N12" s="473"/>
      <c r="O12" s="470"/>
      <c r="P12" s="542"/>
      <c r="Q12" s="470">
        <f t="shared" ref="Q12:Q16" si="9">IF(NOT(ISERROR(MATCH(P12,_xlfn.ANCHORARRAY(E23),0))),O25&amp;"Por favor no seleccionar los criterios de impacto",P12)</f>
        <v>0</v>
      </c>
      <c r="R12" s="473"/>
      <c r="S12" s="470"/>
      <c r="T12" s="471"/>
      <c r="U12" s="176">
        <v>2</v>
      </c>
      <c r="V12" s="184"/>
      <c r="W12" s="169" t="str">
        <f t="shared" si="0"/>
        <v/>
      </c>
      <c r="X12" s="169"/>
      <c r="Y12" s="169"/>
      <c r="Z12" s="169"/>
      <c r="AA12" s="169"/>
      <c r="AB12" s="195"/>
      <c r="AC12" s="195"/>
      <c r="AD12" s="97" t="str">
        <f t="shared" si="4"/>
        <v/>
      </c>
      <c r="AE12" s="195"/>
      <c r="AF12" s="195"/>
      <c r="AG12" s="195"/>
      <c r="AH12" s="142" t="str">
        <f>IFERROR(IF(AND(W11="Probabilidad",W12="Probabilidad"),(AJ11-(+AJ11*AD12)),IF(W12="Probabilidad",(O11-(+O11*AD12)),IF(W12="Impacto",AJ11,""))),"")</f>
        <v/>
      </c>
      <c r="AI12" s="130" t="str">
        <f t="shared" si="5"/>
        <v/>
      </c>
      <c r="AJ12" s="97" t="str">
        <f t="shared" si="6"/>
        <v/>
      </c>
      <c r="AK12" s="130" t="str">
        <f t="shared" si="7"/>
        <v/>
      </c>
      <c r="AL12" s="97" t="str">
        <f>IFERROR(IF(AND(W11="Impacto",W12="Impacto"),(AL5-(+AL5*AD12)),IF(W12="Impacto",($S$11-(+$S$11*AD12)),IF(W12="Probabilidad",AL5,""))),"")</f>
        <v/>
      </c>
      <c r="AM12" s="98" t="str">
        <f t="shared" si="8"/>
        <v/>
      </c>
      <c r="AN12" s="454"/>
      <c r="AO12" s="185"/>
      <c r="AP12" s="176"/>
      <c r="AQ12" s="188"/>
      <c r="AR12" s="188"/>
      <c r="AS12" s="185"/>
      <c r="AT12" s="99"/>
      <c r="AU12" s="170"/>
      <c r="AV12" s="188"/>
      <c r="AW12" s="185"/>
      <c r="AX12" s="99"/>
      <c r="AY12" s="170"/>
      <c r="AZ12" s="131"/>
      <c r="BA12" s="185"/>
      <c r="BB12" s="185"/>
      <c r="BC12" s="176"/>
      <c r="BD12" s="188"/>
      <c r="BE12" s="188"/>
      <c r="BF12" s="170"/>
      <c r="BG12" s="170"/>
      <c r="BH12" s="131"/>
      <c r="BI12" s="99"/>
      <c r="BJ12" s="99"/>
      <c r="BK12" s="185"/>
      <c r="BL12" s="185"/>
      <c r="BM12" s="176"/>
      <c r="BN12" s="188"/>
      <c r="BO12" s="188"/>
      <c r="BP12" s="170"/>
      <c r="BR12" s="131"/>
      <c r="BS12" s="99"/>
      <c r="BT12" s="99"/>
      <c r="BU12" s="99"/>
      <c r="BV12" s="170"/>
      <c r="BW12" s="170"/>
      <c r="BX12" s="170"/>
      <c r="BY12" s="99"/>
      <c r="BZ12" s="170"/>
      <c r="CA12" s="170"/>
      <c r="CB12" s="99"/>
      <c r="CC12" s="170"/>
      <c r="CD12" s="131"/>
      <c r="CE12" s="170"/>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row>
    <row r="13" spans="1:109" ht="15.75" customHeight="1" x14ac:dyDescent="0.3">
      <c r="A13" s="445"/>
      <c r="B13" s="446"/>
      <c r="C13" s="446"/>
      <c r="D13" s="446"/>
      <c r="E13" s="472"/>
      <c r="F13" s="446"/>
      <c r="G13" s="446"/>
      <c r="H13" s="446"/>
      <c r="I13" s="185"/>
      <c r="J13" s="185"/>
      <c r="K13" s="446"/>
      <c r="L13" s="472"/>
      <c r="M13" s="445"/>
      <c r="N13" s="473"/>
      <c r="O13" s="470"/>
      <c r="P13" s="542"/>
      <c r="Q13" s="470">
        <f t="shared" si="9"/>
        <v>0</v>
      </c>
      <c r="R13" s="473"/>
      <c r="S13" s="470"/>
      <c r="T13" s="471"/>
      <c r="U13" s="176">
        <v>3</v>
      </c>
      <c r="V13" s="183"/>
      <c r="W13" s="169" t="str">
        <f t="shared" si="0"/>
        <v/>
      </c>
      <c r="X13" s="169"/>
      <c r="Y13" s="169"/>
      <c r="Z13" s="169"/>
      <c r="AA13" s="169"/>
      <c r="AB13" s="195"/>
      <c r="AC13" s="195"/>
      <c r="AD13" s="97" t="str">
        <f t="shared" si="4"/>
        <v/>
      </c>
      <c r="AE13" s="195"/>
      <c r="AF13" s="195"/>
      <c r="AG13" s="195"/>
      <c r="AH13" s="142" t="str">
        <f>IFERROR(IF(AND(W12="Probabilidad",W13="Probabilidad"),(AJ12-(+AJ12*AD13)),IF(AND(W12="Impacto",W13="Probabilidad"),(AJ11-(+AJ11*AD13)),IF(W13="Impacto",AJ12,""))),"")</f>
        <v/>
      </c>
      <c r="AI13" s="130" t="str">
        <f t="shared" si="5"/>
        <v/>
      </c>
      <c r="AJ13" s="97" t="str">
        <f t="shared" si="6"/>
        <v/>
      </c>
      <c r="AK13" s="130" t="str">
        <f t="shared" si="7"/>
        <v/>
      </c>
      <c r="AL13" s="97" t="str">
        <f>IFERROR(IF(AND(W12="Impacto",W13="Impacto"),(AL12-(+AL12*AD13)),IF(AND(W12="Probabilidad",W13="Impacto"),(AL11-(+AL11*AD13)),IF(W13="Probabilidad",AL12,""))),"")</f>
        <v/>
      </c>
      <c r="AM13" s="98" t="str">
        <f t="shared" si="8"/>
        <v/>
      </c>
      <c r="AN13" s="454"/>
      <c r="AO13" s="185"/>
      <c r="AP13" s="176"/>
      <c r="AQ13" s="188"/>
      <c r="AR13" s="188"/>
      <c r="AS13" s="185"/>
      <c r="AT13" s="99"/>
      <c r="AU13" s="170"/>
      <c r="AV13" s="188"/>
      <c r="AW13" s="185"/>
      <c r="AX13" s="99"/>
      <c r="AY13" s="170"/>
      <c r="AZ13" s="131"/>
      <c r="BA13" s="185"/>
      <c r="BB13" s="185"/>
      <c r="BC13" s="176"/>
      <c r="BD13" s="188"/>
      <c r="BE13" s="188"/>
      <c r="BF13" s="170"/>
      <c r="BG13" s="170"/>
      <c r="BH13" s="131"/>
      <c r="BI13" s="99"/>
      <c r="BJ13" s="99"/>
      <c r="BK13" s="185"/>
      <c r="BL13" s="185"/>
      <c r="BM13" s="176"/>
      <c r="BN13" s="188"/>
      <c r="BO13" s="188"/>
      <c r="BP13" s="170"/>
      <c r="BQ13" s="170"/>
      <c r="BR13" s="131"/>
      <c r="BS13" s="99"/>
      <c r="BT13" s="99"/>
      <c r="BU13" s="99"/>
      <c r="BV13" s="170"/>
      <c r="BW13" s="170"/>
      <c r="BX13" s="170"/>
      <c r="BY13" s="99"/>
      <c r="BZ13" s="170"/>
      <c r="CA13" s="170"/>
      <c r="CB13" s="99"/>
      <c r="CC13" s="170"/>
      <c r="CD13" s="131"/>
      <c r="CE13" s="170"/>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row>
    <row r="14" spans="1:109" ht="15.75" customHeight="1" x14ac:dyDescent="0.3">
      <c r="A14" s="445"/>
      <c r="B14" s="446"/>
      <c r="C14" s="446"/>
      <c r="D14" s="446"/>
      <c r="E14" s="472"/>
      <c r="F14" s="446"/>
      <c r="G14" s="446"/>
      <c r="H14" s="446"/>
      <c r="I14" s="185"/>
      <c r="J14" s="185"/>
      <c r="K14" s="446"/>
      <c r="L14" s="472"/>
      <c r="M14" s="445"/>
      <c r="N14" s="473"/>
      <c r="O14" s="470"/>
      <c r="P14" s="542"/>
      <c r="Q14" s="470">
        <f t="shared" si="9"/>
        <v>0</v>
      </c>
      <c r="R14" s="473"/>
      <c r="S14" s="470"/>
      <c r="T14" s="471"/>
      <c r="U14" s="176">
        <v>4</v>
      </c>
      <c r="V14" s="184"/>
      <c r="W14" s="169" t="str">
        <f t="shared" si="0"/>
        <v/>
      </c>
      <c r="X14" s="169"/>
      <c r="Y14" s="169"/>
      <c r="Z14" s="169"/>
      <c r="AA14" s="169"/>
      <c r="AB14" s="195"/>
      <c r="AC14" s="195"/>
      <c r="AD14" s="97" t="str">
        <f t="shared" si="4"/>
        <v/>
      </c>
      <c r="AE14" s="195"/>
      <c r="AF14" s="195"/>
      <c r="AG14" s="195"/>
      <c r="AH14" s="142" t="str">
        <f>IFERROR(IF(AND(W13="Probabilidad",W14="Probabilidad"),(AJ13-(+AJ13*AD14)),IF(AND(W13="Impacto",W14="Probabilidad"),(AJ12-(+AJ12*AD14)),IF(W14="Impacto",AJ13,""))),"")</f>
        <v/>
      </c>
      <c r="AI14" s="130" t="str">
        <f t="shared" si="5"/>
        <v/>
      </c>
      <c r="AJ14" s="97" t="str">
        <f t="shared" si="6"/>
        <v/>
      </c>
      <c r="AK14" s="130" t="str">
        <f t="shared" si="7"/>
        <v/>
      </c>
      <c r="AL14" s="97" t="str">
        <f>IFERROR(IF(AND(W13="Impacto",W14="Impacto"),(AL13-(+AL13*AD14)),IF(AND(W13="Probabilidad",W14="Impacto"),(AL12-(+AL12*AD14)),IF(W14="Probabilidad",AL13,""))),"")</f>
        <v/>
      </c>
      <c r="AM14" s="98" t="str">
        <f t="shared" si="8"/>
        <v/>
      </c>
      <c r="AN14" s="454"/>
      <c r="AO14" s="185"/>
      <c r="AP14" s="176"/>
      <c r="AQ14" s="188"/>
      <c r="AR14" s="188"/>
      <c r="AS14" s="185"/>
      <c r="AT14" s="99"/>
      <c r="AU14" s="170"/>
      <c r="AV14" s="188"/>
      <c r="AW14" s="185"/>
      <c r="AX14" s="99"/>
      <c r="AY14" s="170"/>
      <c r="AZ14" s="131"/>
      <c r="BA14" s="185"/>
      <c r="BB14" s="185"/>
      <c r="BC14" s="176"/>
      <c r="BD14" s="188"/>
      <c r="BE14" s="188"/>
      <c r="BF14" s="170"/>
      <c r="BG14" s="170"/>
      <c r="BH14" s="131"/>
      <c r="BI14" s="99"/>
      <c r="BJ14" s="99"/>
      <c r="BK14" s="185"/>
      <c r="BL14" s="185"/>
      <c r="BM14" s="176"/>
      <c r="BN14" s="188"/>
      <c r="BO14" s="188"/>
      <c r="BP14" s="170"/>
      <c r="BQ14" s="170"/>
      <c r="BR14" s="131"/>
      <c r="BS14" s="99"/>
      <c r="BT14" s="99"/>
      <c r="BU14" s="99"/>
      <c r="BV14" s="170"/>
      <c r="BW14" s="170"/>
      <c r="BX14" s="170"/>
      <c r="BY14" s="99"/>
      <c r="BZ14" s="170"/>
      <c r="CA14" s="170"/>
      <c r="CB14" s="99"/>
      <c r="CC14" s="170"/>
      <c r="CD14" s="131"/>
      <c r="CE14" s="170"/>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row>
    <row r="15" spans="1:109" ht="15.75" customHeight="1" x14ac:dyDescent="0.3">
      <c r="A15" s="445"/>
      <c r="B15" s="446"/>
      <c r="C15" s="446"/>
      <c r="D15" s="446"/>
      <c r="E15" s="472"/>
      <c r="F15" s="446"/>
      <c r="G15" s="446"/>
      <c r="H15" s="446"/>
      <c r="I15" s="185"/>
      <c r="J15" s="185"/>
      <c r="K15" s="446"/>
      <c r="L15" s="472"/>
      <c r="M15" s="445"/>
      <c r="N15" s="473"/>
      <c r="O15" s="470"/>
      <c r="P15" s="542"/>
      <c r="Q15" s="470">
        <f t="shared" si="9"/>
        <v>0</v>
      </c>
      <c r="R15" s="473"/>
      <c r="S15" s="470"/>
      <c r="T15" s="471"/>
      <c r="U15" s="176">
        <v>5</v>
      </c>
      <c r="V15" s="184"/>
      <c r="W15" s="169" t="str">
        <f t="shared" si="0"/>
        <v/>
      </c>
      <c r="X15" s="169"/>
      <c r="Y15" s="169"/>
      <c r="Z15" s="169"/>
      <c r="AA15" s="169"/>
      <c r="AB15" s="195"/>
      <c r="AC15" s="195"/>
      <c r="AD15" s="97" t="str">
        <f t="shared" si="4"/>
        <v/>
      </c>
      <c r="AE15" s="195"/>
      <c r="AF15" s="195"/>
      <c r="AG15" s="195"/>
      <c r="AH15" s="142" t="str">
        <f>IFERROR(IF(AND(W14="Probabilidad",W15="Probabilidad"),(AJ14-(+AJ14*AD15)),IF(AND(W14="Impacto",W15="Probabilidad"),(AJ13-(+AJ13*AD15)),IF(W15="Impacto",AJ14,""))),"")</f>
        <v/>
      </c>
      <c r="AI15" s="130" t="str">
        <f t="shared" si="5"/>
        <v/>
      </c>
      <c r="AJ15" s="97" t="str">
        <f t="shared" si="6"/>
        <v/>
      </c>
      <c r="AK15" s="130" t="str">
        <f t="shared" si="7"/>
        <v/>
      </c>
      <c r="AL15" s="97" t="str">
        <f>IFERROR(IF(AND(W14="Impacto",W15="Impacto"),(AL14-(+AL14*AD15)),IF(AND(W14="Probabilidad",W15="Impacto"),(AL13-(+AL13*AD15)),IF(W15="Probabilidad",AL14,""))),"")</f>
        <v/>
      </c>
      <c r="AM15" s="98" t="str">
        <f t="shared" si="8"/>
        <v/>
      </c>
      <c r="AN15" s="454"/>
      <c r="AO15" s="185"/>
      <c r="AP15" s="176"/>
      <c r="AQ15" s="188"/>
      <c r="AR15" s="188"/>
      <c r="AS15" s="185"/>
      <c r="AT15" s="99"/>
      <c r="AU15" s="170"/>
      <c r="AV15" s="188"/>
      <c r="AW15" s="185"/>
      <c r="AX15" s="99"/>
      <c r="AY15" s="170"/>
      <c r="AZ15" s="131"/>
      <c r="BA15" s="185"/>
      <c r="BB15" s="185"/>
      <c r="BC15" s="176"/>
      <c r="BD15" s="188"/>
      <c r="BE15" s="188"/>
      <c r="BF15" s="170"/>
      <c r="BG15" s="170"/>
      <c r="BH15" s="131"/>
      <c r="BI15" s="99"/>
      <c r="BJ15" s="99"/>
      <c r="BK15" s="185"/>
      <c r="BL15" s="185"/>
      <c r="BM15" s="176"/>
      <c r="BN15" s="188"/>
      <c r="BO15" s="188"/>
      <c r="BP15" s="170"/>
      <c r="BQ15" s="170"/>
      <c r="BR15" s="131"/>
      <c r="BS15" s="99"/>
      <c r="BT15" s="99"/>
      <c r="BU15" s="99"/>
      <c r="BV15" s="170"/>
      <c r="BW15" s="170"/>
      <c r="BX15" s="170"/>
      <c r="BY15" s="99"/>
      <c r="BZ15" s="170"/>
      <c r="CA15" s="170"/>
      <c r="CB15" s="99"/>
      <c r="CC15" s="170"/>
      <c r="CD15" s="131"/>
      <c r="CE15" s="170"/>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row>
    <row r="16" spans="1:109" ht="15.75" customHeight="1" x14ac:dyDescent="0.3">
      <c r="A16" s="445"/>
      <c r="B16" s="446"/>
      <c r="C16" s="446"/>
      <c r="D16" s="446"/>
      <c r="E16" s="472"/>
      <c r="F16" s="446"/>
      <c r="G16" s="446"/>
      <c r="H16" s="446"/>
      <c r="I16" s="185"/>
      <c r="J16" s="185"/>
      <c r="K16" s="446"/>
      <c r="L16" s="472"/>
      <c r="M16" s="445"/>
      <c r="N16" s="473"/>
      <c r="O16" s="470"/>
      <c r="P16" s="542"/>
      <c r="Q16" s="470">
        <f t="shared" si="9"/>
        <v>0</v>
      </c>
      <c r="R16" s="473"/>
      <c r="S16" s="470"/>
      <c r="T16" s="471"/>
      <c r="U16" s="176">
        <v>6</v>
      </c>
      <c r="V16" s="184"/>
      <c r="W16" s="169" t="str">
        <f t="shared" si="0"/>
        <v/>
      </c>
      <c r="X16" s="169"/>
      <c r="Y16" s="169"/>
      <c r="Z16" s="169"/>
      <c r="AA16" s="169"/>
      <c r="AB16" s="195"/>
      <c r="AC16" s="195"/>
      <c r="AD16" s="97" t="str">
        <f t="shared" si="4"/>
        <v/>
      </c>
      <c r="AE16" s="195"/>
      <c r="AF16" s="195"/>
      <c r="AG16" s="195"/>
      <c r="AH16" s="142" t="str">
        <f>IFERROR(IF(AND(W15="Probabilidad",W16="Probabilidad"),(AJ15-(+AJ15*AD16)),IF(AND(W15="Impacto",W16="Probabilidad"),(AJ14-(+AJ14*AD16)),IF(W16="Impacto",AJ15,""))),"")</f>
        <v/>
      </c>
      <c r="AI16" s="130" t="str">
        <f t="shared" si="5"/>
        <v/>
      </c>
      <c r="AJ16" s="97" t="str">
        <f t="shared" si="6"/>
        <v/>
      </c>
      <c r="AK16" s="130" t="str">
        <f t="shared" si="7"/>
        <v/>
      </c>
      <c r="AL16" s="97" t="str">
        <f>IFERROR(IF(AND(W15="Impacto",W16="Impacto"),(AL15-(+AL15*AD16)),IF(AND(W15="Probabilidad",W16="Impacto"),(AL14-(+AL14*AD16)),IF(W16="Probabilidad",AL15,""))),"")</f>
        <v/>
      </c>
      <c r="AM16" s="98" t="str">
        <f t="shared" si="8"/>
        <v/>
      </c>
      <c r="AN16" s="455"/>
      <c r="AO16" s="185"/>
      <c r="AP16" s="176"/>
      <c r="AQ16" s="188"/>
      <c r="AR16" s="188"/>
      <c r="AS16" s="185"/>
      <c r="AT16" s="99"/>
      <c r="AU16" s="170"/>
      <c r="AV16" s="188"/>
      <c r="AW16" s="185"/>
      <c r="AX16" s="99"/>
      <c r="AY16" s="170"/>
      <c r="AZ16" s="131"/>
      <c r="BA16" s="185"/>
      <c r="BB16" s="185"/>
      <c r="BC16" s="176"/>
      <c r="BD16" s="188"/>
      <c r="BE16" s="188"/>
      <c r="BF16" s="170"/>
      <c r="BG16" s="170"/>
      <c r="BH16" s="131"/>
      <c r="BI16" s="99"/>
      <c r="BJ16" s="99"/>
      <c r="BK16" s="185"/>
      <c r="BL16" s="185"/>
      <c r="BM16" s="176"/>
      <c r="BN16" s="188"/>
      <c r="BO16" s="188"/>
      <c r="BP16" s="170"/>
      <c r="BQ16" s="170"/>
      <c r="BR16" s="131"/>
      <c r="BS16" s="99"/>
      <c r="BT16" s="99"/>
      <c r="BU16" s="99"/>
      <c r="BV16" s="170"/>
      <c r="BW16" s="170"/>
      <c r="BX16" s="170"/>
      <c r="BY16" s="99"/>
      <c r="BZ16" s="170"/>
      <c r="CA16" s="170"/>
      <c r="CB16" s="99"/>
      <c r="CC16" s="170"/>
      <c r="CD16" s="131"/>
      <c r="CE16" s="170"/>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row>
    <row r="17" spans="1:109" ht="15.75" customHeight="1" x14ac:dyDescent="0.3">
      <c r="A17" s="445">
        <v>3</v>
      </c>
      <c r="B17" s="446"/>
      <c r="C17" s="446"/>
      <c r="D17" s="446"/>
      <c r="E17" s="472"/>
      <c r="F17" s="446"/>
      <c r="G17" s="446"/>
      <c r="H17" s="446"/>
      <c r="I17" s="185"/>
      <c r="J17" s="185"/>
      <c r="K17" s="446"/>
      <c r="L17" s="472"/>
      <c r="M17" s="445"/>
      <c r="N17" s="473" t="str">
        <f>IF(M17&lt;=0,"",IF(M17&lt;=2,"Muy Baja",IF(M17&lt;=24,"Baja",IF(M17&lt;=500,"Media",IF(M17&lt;=5000,"Alta","Muy Alta")))))</f>
        <v/>
      </c>
      <c r="O17" s="470" t="str">
        <f>IF(N17="","",IF(N17="Muy Baja",0.2,IF(N17="Baja",0.4,IF(N17="Media",0.6,IF(N17="Alta",0.8,IF(N17="Muy Alta",1,))))))</f>
        <v/>
      </c>
      <c r="P17" s="542"/>
      <c r="Q17" s="470">
        <f ca="1">IF(NOT(ISERROR(MATCH(P17,'Tabla Impacto'!$B$221:$B$223,0))),'Tabla Impacto'!$F$223&amp;"Por favor no seleccionar los criterios de impacto(Afectación Económica o presupuestal y Pérdida Reputacional)",P17)</f>
        <v>0</v>
      </c>
      <c r="R17" s="473" t="str">
        <f ca="1">IF(OR(Q17='Tabla Impacto'!$C$11,Q17='Tabla Impacto'!$D$11),"Leve",IF(OR(Q17='Tabla Impacto'!$C$12,Q17='Tabla Impacto'!$D$12),"Menor",IF(OR(Q17='Tabla Impacto'!$C$13,Q17='Tabla Impacto'!$D$13),"Moderado",IF(OR(Q17='Tabla Impacto'!$C$14,Q17='Tabla Impacto'!$D$14),"Mayor",IF(OR(Q17='Tabla Impacto'!$C$15,Q17='Tabla Impacto'!$D$15),"Catastrófico","")))))</f>
        <v/>
      </c>
      <c r="S17" s="470" t="str">
        <f ca="1">IF(R17="","",IF(R17="Leve",0.2,IF(R17="Menor",0.4,IF(R17="Moderado",0.6,IF(R17="Mayor",0.8,IF(R17="Catastrófico",1,))))))</f>
        <v/>
      </c>
      <c r="T17" s="471"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76">
        <v>1</v>
      </c>
      <c r="V17" s="184"/>
      <c r="W17" s="169" t="str">
        <f t="shared" si="0"/>
        <v/>
      </c>
      <c r="X17" s="169"/>
      <c r="Y17" s="169"/>
      <c r="Z17" s="169"/>
      <c r="AA17" s="169"/>
      <c r="AB17" s="195"/>
      <c r="AC17" s="195"/>
      <c r="AD17" s="97" t="str">
        <f t="shared" si="4"/>
        <v/>
      </c>
      <c r="AE17" s="195"/>
      <c r="AF17" s="195"/>
      <c r="AG17" s="195"/>
      <c r="AH17" s="142" t="str">
        <f>IFERROR(IF(W17="Probabilidad",(O17-(+O17*AD17)),IF(W17="Impacto",O17,"")),"")</f>
        <v/>
      </c>
      <c r="AI17" s="130" t="str">
        <f>IFERROR(IF(AH17="","",IF(AH17&lt;=0.2,"Muy Baja",IF(AH17&lt;=0.4,"Baja",IF(AH17&lt;=0.6,"Media",IF(AH17&lt;=0.8,"Alta","Muy Alta"))))),"")</f>
        <v/>
      </c>
      <c r="AJ17" s="97" t="str">
        <f t="shared" si="6"/>
        <v/>
      </c>
      <c r="AK17" s="130" t="str">
        <f>IFERROR(IF(AL17="","",IF(AL17&lt;=0.2,"Leve",IF(AL17&lt;=0.4,"Menor",IF(AL17&lt;=0.6,"Moderado",IF(AL17&lt;=0.8,"Mayor","Catastrófico"))))),"")</f>
        <v/>
      </c>
      <c r="AL17" s="97" t="str">
        <f>IFERROR(IF(W17="Impacto",(S17-(+S17*AD17)),IF(W17="Probabilidad",S17,"")),"")</f>
        <v/>
      </c>
      <c r="AM17" s="98" t="str">
        <f t="shared" si="8"/>
        <v/>
      </c>
      <c r="AN17" s="453"/>
      <c r="AO17" s="185"/>
      <c r="AP17" s="176"/>
      <c r="AQ17" s="188"/>
      <c r="AR17" s="188"/>
      <c r="AS17" s="185"/>
      <c r="AT17" s="99"/>
      <c r="AU17" s="170"/>
      <c r="AV17" s="188"/>
      <c r="AW17" s="185"/>
      <c r="AX17" s="99"/>
      <c r="AY17" s="170"/>
      <c r="AZ17" s="131"/>
      <c r="BA17" s="185"/>
      <c r="BB17" s="185"/>
      <c r="BC17" s="176"/>
      <c r="BD17" s="188"/>
      <c r="BE17" s="188"/>
      <c r="BF17" s="170"/>
      <c r="BG17" s="170"/>
      <c r="BH17" s="131"/>
      <c r="BI17" s="99"/>
      <c r="BJ17" s="99"/>
      <c r="BK17" s="185"/>
      <c r="BL17" s="185"/>
      <c r="BM17" s="176"/>
      <c r="BN17" s="188"/>
      <c r="BO17" s="188"/>
      <c r="BP17" s="170"/>
      <c r="BQ17" s="170"/>
      <c r="BR17" s="131"/>
      <c r="BS17" s="99"/>
      <c r="BT17" s="99"/>
      <c r="BU17" s="99"/>
      <c r="BV17" s="170"/>
      <c r="BW17" s="170"/>
      <c r="BX17" s="170"/>
      <c r="BY17" s="99"/>
      <c r="BZ17" s="170"/>
      <c r="CA17" s="170"/>
      <c r="CB17" s="99"/>
      <c r="CC17" s="170"/>
      <c r="CD17" s="131"/>
      <c r="CE17" s="170"/>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row>
    <row r="18" spans="1:109" ht="15.75" customHeight="1" x14ac:dyDescent="0.3">
      <c r="A18" s="445"/>
      <c r="B18" s="446"/>
      <c r="C18" s="446"/>
      <c r="D18" s="446"/>
      <c r="E18" s="472"/>
      <c r="F18" s="446"/>
      <c r="G18" s="446"/>
      <c r="H18" s="446"/>
      <c r="I18" s="185"/>
      <c r="J18" s="185"/>
      <c r="K18" s="446"/>
      <c r="L18" s="472"/>
      <c r="M18" s="445"/>
      <c r="N18" s="473"/>
      <c r="O18" s="470"/>
      <c r="P18" s="542"/>
      <c r="Q18" s="470">
        <f t="shared" ref="Q18:Q22" si="10">IF(NOT(ISERROR(MATCH(P18,_xlfn.ANCHORARRAY(E29),0))),O31&amp;"Por favor no seleccionar los criterios de impacto",P18)</f>
        <v>0</v>
      </c>
      <c r="R18" s="473"/>
      <c r="S18" s="470"/>
      <c r="T18" s="471"/>
      <c r="U18" s="176">
        <v>2</v>
      </c>
      <c r="V18" s="184"/>
      <c r="W18" s="169" t="str">
        <f t="shared" si="0"/>
        <v/>
      </c>
      <c r="X18" s="169"/>
      <c r="Y18" s="169"/>
      <c r="Z18" s="169"/>
      <c r="AA18" s="169"/>
      <c r="AB18" s="195"/>
      <c r="AC18" s="195"/>
      <c r="AD18" s="97" t="str">
        <f t="shared" si="4"/>
        <v/>
      </c>
      <c r="AE18" s="195"/>
      <c r="AF18" s="195"/>
      <c r="AG18" s="195"/>
      <c r="AH18" s="142" t="str">
        <f>IFERROR(IF(AND(W17="Probabilidad",W18="Probabilidad"),(AJ17-(+AJ17*AD18)),IF(W18="Probabilidad",(O17-(+O17*AD18)),IF(W18="Impacto",AJ17,""))),"")</f>
        <v/>
      </c>
      <c r="AI18" s="130" t="str">
        <f t="shared" si="5"/>
        <v/>
      </c>
      <c r="AJ18" s="97" t="str">
        <f t="shared" si="6"/>
        <v/>
      </c>
      <c r="AK18" s="130" t="str">
        <f t="shared" si="7"/>
        <v/>
      </c>
      <c r="AL18" s="97" t="str">
        <f>IFERROR(IF(AND(W17="Impacto",W18="Impacto"),(AL11-(+AL11*AD18)),IF(W18="Impacto",($S$17-(+$S$17*AD18)),IF(W18="Probabilidad",AL11,""))),"")</f>
        <v/>
      </c>
      <c r="AM18" s="98" t="str">
        <f t="shared" si="8"/>
        <v/>
      </c>
      <c r="AN18" s="454"/>
      <c r="AO18" s="185"/>
      <c r="AP18" s="176"/>
      <c r="AQ18" s="188"/>
      <c r="AR18" s="188"/>
      <c r="AS18" s="185"/>
      <c r="AT18" s="99"/>
      <c r="AU18" s="170"/>
      <c r="AV18" s="188"/>
      <c r="AW18" s="185"/>
      <c r="AX18" s="99"/>
      <c r="AY18" s="170"/>
      <c r="AZ18" s="131"/>
      <c r="BA18" s="185"/>
      <c r="BB18" s="185"/>
      <c r="BC18" s="176"/>
      <c r="BD18" s="188"/>
      <c r="BE18" s="188"/>
      <c r="BF18" s="170"/>
      <c r="BG18" s="170"/>
      <c r="BH18" s="131"/>
      <c r="BI18" s="99"/>
      <c r="BJ18" s="99"/>
      <c r="BK18" s="185"/>
      <c r="BL18" s="185"/>
      <c r="BM18" s="176"/>
      <c r="BN18" s="188"/>
      <c r="BO18" s="188"/>
      <c r="BP18" s="170"/>
      <c r="BQ18" s="170"/>
      <c r="BR18" s="131"/>
      <c r="BS18" s="99"/>
      <c r="BT18" s="99"/>
      <c r="BU18" s="99"/>
      <c r="BV18" s="170"/>
      <c r="BW18" s="170"/>
      <c r="BX18" s="170"/>
      <c r="BY18" s="99"/>
      <c r="BZ18" s="170"/>
      <c r="CA18" s="170"/>
      <c r="CB18" s="99"/>
      <c r="CC18" s="170"/>
      <c r="CD18" s="131"/>
      <c r="CE18" s="170"/>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row>
    <row r="19" spans="1:109" ht="15.75" customHeight="1" x14ac:dyDescent="0.3">
      <c r="A19" s="445"/>
      <c r="B19" s="446"/>
      <c r="C19" s="446"/>
      <c r="D19" s="446"/>
      <c r="E19" s="472"/>
      <c r="F19" s="446"/>
      <c r="G19" s="446"/>
      <c r="H19" s="446"/>
      <c r="I19" s="185"/>
      <c r="J19" s="185"/>
      <c r="K19" s="446"/>
      <c r="L19" s="472"/>
      <c r="M19" s="445"/>
      <c r="N19" s="473"/>
      <c r="O19" s="470"/>
      <c r="P19" s="542"/>
      <c r="Q19" s="470">
        <f t="shared" si="10"/>
        <v>0</v>
      </c>
      <c r="R19" s="473"/>
      <c r="S19" s="470"/>
      <c r="T19" s="471"/>
      <c r="U19" s="176">
        <v>3</v>
      </c>
      <c r="V19" s="183"/>
      <c r="W19" s="169" t="str">
        <f t="shared" si="0"/>
        <v/>
      </c>
      <c r="X19" s="169"/>
      <c r="Y19" s="169"/>
      <c r="Z19" s="169"/>
      <c r="AA19" s="169"/>
      <c r="AB19" s="195"/>
      <c r="AC19" s="195"/>
      <c r="AD19" s="97" t="str">
        <f t="shared" si="4"/>
        <v/>
      </c>
      <c r="AE19" s="195"/>
      <c r="AF19" s="195"/>
      <c r="AG19" s="195"/>
      <c r="AH19" s="142" t="str">
        <f>IFERROR(IF(AND(W18="Probabilidad",W19="Probabilidad"),(AJ18-(+AJ18*AD19)),IF(AND(W18="Impacto",W19="Probabilidad"),(AJ17-(+AJ17*AD19)),IF(W19="Impacto",AJ18,""))),"")</f>
        <v/>
      </c>
      <c r="AI19" s="130" t="str">
        <f t="shared" si="5"/>
        <v/>
      </c>
      <c r="AJ19" s="97" t="str">
        <f t="shared" si="6"/>
        <v/>
      </c>
      <c r="AK19" s="130" t="str">
        <f t="shared" si="7"/>
        <v/>
      </c>
      <c r="AL19" s="97" t="str">
        <f>IFERROR(IF(AND(W18="Impacto",W19="Impacto"),(AL18-(+AL18*AD19)),IF(AND(W18="Probabilidad",W19="Impacto"),(AL17-(+AL17*AD19)),IF(W19="Probabilidad",AL18,""))),"")</f>
        <v/>
      </c>
      <c r="AM19" s="98" t="str">
        <f t="shared" si="8"/>
        <v/>
      </c>
      <c r="AN19" s="454"/>
      <c r="AO19" s="185"/>
      <c r="AP19" s="176"/>
      <c r="AQ19" s="188"/>
      <c r="AR19" s="188"/>
      <c r="AS19" s="185"/>
      <c r="AT19" s="99"/>
      <c r="AU19" s="170"/>
      <c r="AV19" s="188"/>
      <c r="AW19" s="185"/>
      <c r="AX19" s="99"/>
      <c r="AY19" s="170"/>
      <c r="AZ19" s="131"/>
      <c r="BA19" s="185"/>
      <c r="BB19" s="185"/>
      <c r="BC19" s="176"/>
      <c r="BD19" s="188"/>
      <c r="BE19" s="188"/>
      <c r="BF19" s="170"/>
      <c r="BG19" s="170"/>
      <c r="BH19" s="131"/>
      <c r="BI19" s="99"/>
      <c r="BJ19" s="99"/>
      <c r="BK19" s="185"/>
      <c r="BL19" s="185"/>
      <c r="BM19" s="176"/>
      <c r="BN19" s="188"/>
      <c r="BO19" s="188"/>
      <c r="BP19" s="170"/>
      <c r="BQ19" s="170"/>
      <c r="BR19" s="131"/>
      <c r="BS19" s="99"/>
      <c r="BT19" s="99"/>
      <c r="BU19" s="99"/>
      <c r="BV19" s="170"/>
      <c r="BW19" s="170"/>
      <c r="BX19" s="170"/>
      <c r="BY19" s="99"/>
      <c r="BZ19" s="170"/>
      <c r="CA19" s="170"/>
      <c r="CB19" s="99"/>
      <c r="CC19" s="170"/>
      <c r="CD19" s="131"/>
      <c r="CE19" s="170"/>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row>
    <row r="20" spans="1:109" ht="15.75" customHeight="1" x14ac:dyDescent="0.3">
      <c r="A20" s="445"/>
      <c r="B20" s="446"/>
      <c r="C20" s="446"/>
      <c r="D20" s="446"/>
      <c r="E20" s="472"/>
      <c r="F20" s="446"/>
      <c r="G20" s="446"/>
      <c r="H20" s="446"/>
      <c r="I20" s="185"/>
      <c r="J20" s="185"/>
      <c r="K20" s="446"/>
      <c r="L20" s="472"/>
      <c r="M20" s="445"/>
      <c r="N20" s="473"/>
      <c r="O20" s="470"/>
      <c r="P20" s="542"/>
      <c r="Q20" s="470">
        <f t="shared" si="10"/>
        <v>0</v>
      </c>
      <c r="R20" s="473"/>
      <c r="S20" s="470"/>
      <c r="T20" s="471"/>
      <c r="U20" s="176">
        <v>4</v>
      </c>
      <c r="V20" s="184"/>
      <c r="W20" s="169" t="str">
        <f t="shared" si="0"/>
        <v/>
      </c>
      <c r="X20" s="169"/>
      <c r="Y20" s="169"/>
      <c r="Z20" s="169"/>
      <c r="AA20" s="169"/>
      <c r="AB20" s="195"/>
      <c r="AC20" s="195"/>
      <c r="AD20" s="97" t="str">
        <f t="shared" si="4"/>
        <v/>
      </c>
      <c r="AE20" s="195"/>
      <c r="AF20" s="195"/>
      <c r="AG20" s="195"/>
      <c r="AH20" s="142" t="str">
        <f>IFERROR(IF(AND(W19="Probabilidad",W20="Probabilidad"),(AJ19-(+AJ19*AD20)),IF(AND(W19="Impacto",W20="Probabilidad"),(AJ18-(+AJ18*AD20)),IF(W20="Impacto",AJ19,""))),"")</f>
        <v/>
      </c>
      <c r="AI20" s="130" t="str">
        <f t="shared" si="5"/>
        <v/>
      </c>
      <c r="AJ20" s="97" t="str">
        <f t="shared" si="6"/>
        <v/>
      </c>
      <c r="AK20" s="130" t="str">
        <f t="shared" si="7"/>
        <v/>
      </c>
      <c r="AL20" s="97" t="str">
        <f>IFERROR(IF(AND(W19="Impacto",W20="Impacto"),(AL19-(+AL19*AD20)),IF(AND(W19="Probabilidad",W20="Impacto"),(AL18-(+AL18*AD20)),IF(W20="Probabilidad",AL19,""))),"")</f>
        <v/>
      </c>
      <c r="AM20" s="98" t="str">
        <f t="shared" si="8"/>
        <v/>
      </c>
      <c r="AN20" s="454"/>
      <c r="AO20" s="185"/>
      <c r="AP20" s="176"/>
      <c r="AQ20" s="188"/>
      <c r="AR20" s="188"/>
      <c r="AS20" s="185"/>
      <c r="AT20" s="99"/>
      <c r="AU20" s="170"/>
      <c r="AV20" s="188"/>
      <c r="AW20" s="185"/>
      <c r="AX20" s="99"/>
      <c r="AY20" s="170"/>
      <c r="AZ20" s="131"/>
      <c r="BA20" s="185"/>
      <c r="BB20" s="185"/>
      <c r="BC20" s="176"/>
      <c r="BD20" s="188"/>
      <c r="BE20" s="188"/>
      <c r="BF20" s="170"/>
      <c r="BG20" s="170"/>
      <c r="BH20" s="131"/>
      <c r="BI20" s="99"/>
      <c r="BJ20" s="99"/>
      <c r="BK20" s="185"/>
      <c r="BL20" s="185"/>
      <c r="BM20" s="176"/>
      <c r="BN20" s="188"/>
      <c r="BO20" s="188"/>
      <c r="BP20" s="170"/>
      <c r="BQ20" s="170"/>
      <c r="BR20" s="131"/>
      <c r="BS20" s="99"/>
      <c r="BT20" s="99"/>
      <c r="BU20" s="99"/>
      <c r="BV20" s="170"/>
      <c r="BW20" s="170"/>
      <c r="BX20" s="170"/>
      <c r="BY20" s="99"/>
      <c r="BZ20" s="170"/>
      <c r="CA20" s="170"/>
      <c r="CB20" s="99"/>
      <c r="CC20" s="170"/>
      <c r="CD20" s="131"/>
      <c r="CE20" s="170"/>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row>
    <row r="21" spans="1:109" ht="15.75" customHeight="1" x14ac:dyDescent="0.3">
      <c r="A21" s="445"/>
      <c r="B21" s="446"/>
      <c r="C21" s="446"/>
      <c r="D21" s="446"/>
      <c r="E21" s="472"/>
      <c r="F21" s="446"/>
      <c r="G21" s="446"/>
      <c r="H21" s="446"/>
      <c r="I21" s="185"/>
      <c r="J21" s="185"/>
      <c r="K21" s="446"/>
      <c r="L21" s="472"/>
      <c r="M21" s="445"/>
      <c r="N21" s="473"/>
      <c r="O21" s="470"/>
      <c r="P21" s="542"/>
      <c r="Q21" s="470">
        <f t="shared" si="10"/>
        <v>0</v>
      </c>
      <c r="R21" s="473"/>
      <c r="S21" s="470"/>
      <c r="T21" s="471"/>
      <c r="U21" s="176">
        <v>5</v>
      </c>
      <c r="V21" s="184"/>
      <c r="W21" s="169" t="str">
        <f t="shared" si="0"/>
        <v/>
      </c>
      <c r="X21" s="169"/>
      <c r="Y21" s="169"/>
      <c r="Z21" s="169"/>
      <c r="AA21" s="169"/>
      <c r="AB21" s="195"/>
      <c r="AC21" s="195"/>
      <c r="AD21" s="97" t="str">
        <f t="shared" si="4"/>
        <v/>
      </c>
      <c r="AE21" s="195"/>
      <c r="AF21" s="195"/>
      <c r="AG21" s="195"/>
      <c r="AH21" s="142" t="str">
        <f>IFERROR(IF(AND(W20="Probabilidad",W21="Probabilidad"),(AJ20-(+AJ20*AD21)),IF(AND(W20="Impacto",W21="Probabilidad"),(AJ19-(+AJ19*AD21)),IF(W21="Impacto",AJ20,""))),"")</f>
        <v/>
      </c>
      <c r="AI21" s="130" t="str">
        <f t="shared" si="5"/>
        <v/>
      </c>
      <c r="AJ21" s="97" t="str">
        <f t="shared" si="6"/>
        <v/>
      </c>
      <c r="AK21" s="130" t="str">
        <f t="shared" si="7"/>
        <v/>
      </c>
      <c r="AL21" s="97" t="str">
        <f>IFERROR(IF(AND(W20="Impacto",W21="Impacto"),(AL20-(+AL20*AD21)),IF(AND(W20="Probabilidad",W21="Impacto"),(AL19-(+AL19*AD21)),IF(W21="Probabilidad",AL20,""))),"")</f>
        <v/>
      </c>
      <c r="AM21" s="98" t="str">
        <f t="shared" si="8"/>
        <v/>
      </c>
      <c r="AN21" s="454"/>
      <c r="AO21" s="185"/>
      <c r="AP21" s="176"/>
      <c r="AQ21" s="188"/>
      <c r="AR21" s="188"/>
      <c r="AS21" s="185"/>
      <c r="AT21" s="99"/>
      <c r="AU21" s="170"/>
      <c r="AV21" s="188"/>
      <c r="AW21" s="185"/>
      <c r="AX21" s="99"/>
      <c r="AY21" s="170"/>
      <c r="AZ21" s="131"/>
      <c r="BA21" s="185"/>
      <c r="BB21" s="185"/>
      <c r="BC21" s="176"/>
      <c r="BD21" s="188"/>
      <c r="BE21" s="188"/>
      <c r="BF21" s="170"/>
      <c r="BG21" s="170"/>
      <c r="BH21" s="131"/>
      <c r="BI21" s="99"/>
      <c r="BJ21" s="99"/>
      <c r="BK21" s="185"/>
      <c r="BL21" s="185"/>
      <c r="BM21" s="176"/>
      <c r="BN21" s="188"/>
      <c r="BO21" s="188"/>
      <c r="BP21" s="170"/>
      <c r="BQ21" s="170"/>
      <c r="BR21" s="131"/>
      <c r="BS21" s="99"/>
      <c r="BT21" s="99"/>
      <c r="BU21" s="99"/>
      <c r="BV21" s="170"/>
      <c r="BW21" s="170"/>
      <c r="BX21" s="170"/>
      <c r="BY21" s="99"/>
      <c r="BZ21" s="170"/>
      <c r="CA21" s="170"/>
      <c r="CB21" s="99"/>
      <c r="CC21" s="170"/>
      <c r="CD21" s="131"/>
      <c r="CE21" s="170"/>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row>
    <row r="22" spans="1:109" ht="15.75" customHeight="1" x14ac:dyDescent="0.3">
      <c r="A22" s="445"/>
      <c r="B22" s="446"/>
      <c r="C22" s="446"/>
      <c r="D22" s="446"/>
      <c r="E22" s="472"/>
      <c r="F22" s="446"/>
      <c r="G22" s="446"/>
      <c r="H22" s="446"/>
      <c r="I22" s="185"/>
      <c r="J22" s="185"/>
      <c r="K22" s="446"/>
      <c r="L22" s="472"/>
      <c r="M22" s="445"/>
      <c r="N22" s="473"/>
      <c r="O22" s="470"/>
      <c r="P22" s="542"/>
      <c r="Q22" s="470">
        <f t="shared" si="10"/>
        <v>0</v>
      </c>
      <c r="R22" s="473"/>
      <c r="S22" s="470"/>
      <c r="T22" s="471"/>
      <c r="U22" s="176">
        <v>6</v>
      </c>
      <c r="V22" s="184"/>
      <c r="W22" s="169" t="str">
        <f t="shared" si="0"/>
        <v/>
      </c>
      <c r="X22" s="169"/>
      <c r="Y22" s="169"/>
      <c r="Z22" s="169"/>
      <c r="AA22" s="169"/>
      <c r="AB22" s="195"/>
      <c r="AC22" s="195"/>
      <c r="AD22" s="97" t="str">
        <f t="shared" si="4"/>
        <v/>
      </c>
      <c r="AE22" s="195"/>
      <c r="AF22" s="195"/>
      <c r="AG22" s="195"/>
      <c r="AH22" s="142" t="str">
        <f>IFERROR(IF(AND(W21="Probabilidad",W22="Probabilidad"),(AJ21-(+AJ21*AD22)),IF(AND(W21="Impacto",W22="Probabilidad"),(AJ20-(+AJ20*AD22)),IF(W22="Impacto",AJ21,""))),"")</f>
        <v/>
      </c>
      <c r="AI22" s="130" t="str">
        <f t="shared" si="5"/>
        <v/>
      </c>
      <c r="AJ22" s="97" t="str">
        <f t="shared" si="6"/>
        <v/>
      </c>
      <c r="AK22" s="130" t="str">
        <f t="shared" si="7"/>
        <v/>
      </c>
      <c r="AL22" s="97" t="str">
        <f>IFERROR(IF(AND(W21="Impacto",W22="Impacto"),(AL21-(+AL21*AD22)),IF(AND(W21="Probabilidad",W22="Impacto"),(AL20-(+AL20*AD22)),IF(W22="Probabilidad",AL21,""))),"")</f>
        <v/>
      </c>
      <c r="AM22" s="98" t="str">
        <f t="shared" si="8"/>
        <v/>
      </c>
      <c r="AN22" s="455"/>
      <c r="AO22" s="185"/>
      <c r="AP22" s="176"/>
      <c r="AQ22" s="188"/>
      <c r="AR22" s="188"/>
      <c r="AS22" s="185"/>
      <c r="AT22" s="99"/>
      <c r="AU22" s="170"/>
      <c r="AV22" s="188"/>
      <c r="AW22" s="185"/>
      <c r="AX22" s="99"/>
      <c r="AY22" s="170"/>
      <c r="AZ22" s="131"/>
      <c r="BA22" s="185"/>
      <c r="BB22" s="185"/>
      <c r="BC22" s="176"/>
      <c r="BD22" s="188"/>
      <c r="BE22" s="188"/>
      <c r="BF22" s="170"/>
      <c r="BG22" s="170"/>
      <c r="BH22" s="131"/>
      <c r="BI22" s="99"/>
      <c r="BJ22" s="99"/>
      <c r="BK22" s="185"/>
      <c r="BL22" s="185"/>
      <c r="BM22" s="176"/>
      <c r="BN22" s="188"/>
      <c r="BO22" s="188"/>
      <c r="BP22" s="170"/>
      <c r="BQ22" s="170"/>
      <c r="BR22" s="131"/>
      <c r="BS22" s="99"/>
      <c r="BT22" s="99"/>
      <c r="BU22" s="99"/>
      <c r="BV22" s="170"/>
      <c r="BW22" s="170"/>
      <c r="BX22" s="170"/>
      <c r="BY22" s="99"/>
      <c r="BZ22" s="170"/>
      <c r="CA22" s="170"/>
      <c r="CB22" s="99"/>
      <c r="CC22" s="170"/>
      <c r="CD22" s="131"/>
      <c r="CE22" s="170"/>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row>
    <row r="23" spans="1:109" ht="15.75" customHeight="1" x14ac:dyDescent="0.3">
      <c r="A23" s="445">
        <v>4</v>
      </c>
      <c r="B23" s="446"/>
      <c r="C23" s="446"/>
      <c r="D23" s="446"/>
      <c r="E23" s="472"/>
      <c r="F23" s="446"/>
      <c r="G23" s="446"/>
      <c r="H23" s="446"/>
      <c r="I23" s="185"/>
      <c r="J23" s="185"/>
      <c r="K23" s="446"/>
      <c r="L23" s="472"/>
      <c r="M23" s="445"/>
      <c r="N23" s="473" t="str">
        <f>IF(M23&lt;=0,"",IF(M23&lt;=2,"Muy Baja",IF(M23&lt;=24,"Baja",IF(M23&lt;=500,"Media",IF(M23&lt;=5000,"Alta","Muy Alta")))))</f>
        <v/>
      </c>
      <c r="O23" s="470" t="str">
        <f>IF(N23="","",IF(N23="Muy Baja",0.2,IF(N23="Baja",0.4,IF(N23="Media",0.6,IF(N23="Alta",0.8,IF(N23="Muy Alta",1,))))))</f>
        <v/>
      </c>
      <c r="P23" s="542"/>
      <c r="Q23" s="470">
        <f ca="1">IF(NOT(ISERROR(MATCH(P23,'Tabla Impacto'!$B$221:$B$223,0))),'Tabla Impacto'!$F$223&amp;"Por favor no seleccionar los criterios de impacto(Afectación Económica o presupuestal y Pérdida Reputacional)",P23)</f>
        <v>0</v>
      </c>
      <c r="R23" s="473" t="str">
        <f ca="1">IF(OR(Q23='Tabla Impacto'!$C$11,Q23='Tabla Impacto'!$D$11),"Leve",IF(OR(Q23='Tabla Impacto'!$C$12,Q23='Tabla Impacto'!$D$12),"Menor",IF(OR(Q23='Tabla Impacto'!$C$13,Q23='Tabla Impacto'!$D$13),"Moderado",IF(OR(Q23='Tabla Impacto'!$C$14,Q23='Tabla Impacto'!$D$14),"Mayor",IF(OR(Q23='Tabla Impacto'!$C$15,Q23='Tabla Impacto'!$D$15),"Catastrófico","")))))</f>
        <v/>
      </c>
      <c r="S23" s="470" t="str">
        <f ca="1">IF(R23="","",IF(R23="Leve",0.2,IF(R23="Menor",0.4,IF(R23="Moderado",0.6,IF(R23="Mayor",0.8,IF(R23="Catastrófico",1,))))))</f>
        <v/>
      </c>
      <c r="T23" s="471"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76">
        <v>1</v>
      </c>
      <c r="V23" s="184"/>
      <c r="W23" s="169" t="str">
        <f t="shared" si="0"/>
        <v/>
      </c>
      <c r="X23" s="169"/>
      <c r="Y23" s="169"/>
      <c r="Z23" s="169"/>
      <c r="AA23" s="169"/>
      <c r="AB23" s="195"/>
      <c r="AC23" s="195"/>
      <c r="AD23" s="97" t="str">
        <f t="shared" si="4"/>
        <v/>
      </c>
      <c r="AE23" s="195"/>
      <c r="AF23" s="195"/>
      <c r="AG23" s="195"/>
      <c r="AH23" s="142" t="str">
        <f>IFERROR(IF(W23="Probabilidad",(O23-(+O23*AD23)),IF(W23="Impacto",O23,"")),"")</f>
        <v/>
      </c>
      <c r="AI23" s="130" t="str">
        <f>IFERROR(IF(AH23="","",IF(AH23&lt;=0.2,"Muy Baja",IF(AH23&lt;=0.4,"Baja",IF(AH23&lt;=0.6,"Media",IF(AH23&lt;=0.8,"Alta","Muy Alta"))))),"")</f>
        <v/>
      </c>
      <c r="AJ23" s="97" t="str">
        <f t="shared" si="6"/>
        <v/>
      </c>
      <c r="AK23" s="130" t="str">
        <f>IFERROR(IF(AL23="","",IF(AL23&lt;=0.2,"Leve",IF(AL23&lt;=0.4,"Menor",IF(AL23&lt;=0.6,"Moderado",IF(AL23&lt;=0.8,"Mayor","Catastrófico"))))),"")</f>
        <v/>
      </c>
      <c r="AL23" s="97" t="str">
        <f>IFERROR(IF(W23="Impacto",(S23-(+S23*AD23)),IF(W23="Probabilidad",S23,"")),"")</f>
        <v/>
      </c>
      <c r="AM23" s="98" t="str">
        <f t="shared" si="8"/>
        <v/>
      </c>
      <c r="AN23" s="453"/>
      <c r="AO23" s="185"/>
      <c r="AP23" s="176"/>
      <c r="AQ23" s="188"/>
      <c r="AR23" s="188"/>
      <c r="AS23" s="185"/>
      <c r="AT23" s="99"/>
      <c r="AU23" s="170"/>
      <c r="AV23" s="188"/>
      <c r="AW23" s="185"/>
      <c r="AX23" s="99"/>
      <c r="AY23" s="170"/>
      <c r="AZ23" s="131"/>
      <c r="BA23" s="185"/>
      <c r="BB23" s="185"/>
      <c r="BC23" s="176"/>
      <c r="BD23" s="188"/>
      <c r="BE23" s="188"/>
      <c r="BF23" s="170"/>
      <c r="BG23" s="170"/>
      <c r="BH23" s="131"/>
      <c r="BI23" s="99"/>
      <c r="BJ23" s="99"/>
      <c r="BK23" s="185"/>
      <c r="BL23" s="185"/>
      <c r="BM23" s="176"/>
      <c r="BN23" s="188"/>
      <c r="BO23" s="188"/>
      <c r="BP23" s="170"/>
      <c r="BQ23" s="170"/>
      <c r="BR23" s="131"/>
      <c r="BS23" s="99"/>
      <c r="BT23" s="99"/>
      <c r="BU23" s="99"/>
      <c r="BV23" s="170"/>
      <c r="BW23" s="170"/>
      <c r="BX23" s="170"/>
      <c r="BY23" s="99"/>
      <c r="BZ23" s="170"/>
      <c r="CA23" s="170"/>
      <c r="CB23" s="99"/>
      <c r="CC23" s="170"/>
      <c r="CD23" s="131"/>
      <c r="CE23" s="170"/>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row>
    <row r="24" spans="1:109" ht="15.75" customHeight="1" x14ac:dyDescent="0.3">
      <c r="A24" s="445"/>
      <c r="B24" s="446"/>
      <c r="C24" s="446"/>
      <c r="D24" s="446"/>
      <c r="E24" s="472"/>
      <c r="F24" s="446"/>
      <c r="G24" s="446"/>
      <c r="H24" s="446"/>
      <c r="I24" s="185"/>
      <c r="J24" s="185"/>
      <c r="K24" s="446"/>
      <c r="L24" s="472"/>
      <c r="M24" s="445"/>
      <c r="N24" s="473"/>
      <c r="O24" s="470"/>
      <c r="P24" s="542"/>
      <c r="Q24" s="470">
        <f t="shared" ref="Q24:Q28" si="11">IF(NOT(ISERROR(MATCH(P24,_xlfn.ANCHORARRAY(E35),0))),O37&amp;"Por favor no seleccionar los criterios de impacto",P24)</f>
        <v>0</v>
      </c>
      <c r="R24" s="473"/>
      <c r="S24" s="470"/>
      <c r="T24" s="471"/>
      <c r="U24" s="176">
        <v>2</v>
      </c>
      <c r="V24" s="184"/>
      <c r="W24" s="169" t="str">
        <f t="shared" si="0"/>
        <v/>
      </c>
      <c r="X24" s="169"/>
      <c r="Y24" s="169"/>
      <c r="Z24" s="169"/>
      <c r="AA24" s="169"/>
      <c r="AB24" s="195"/>
      <c r="AC24" s="195"/>
      <c r="AD24" s="97" t="str">
        <f t="shared" si="4"/>
        <v/>
      </c>
      <c r="AE24" s="195"/>
      <c r="AF24" s="195"/>
      <c r="AG24" s="195"/>
      <c r="AH24" s="142" t="str">
        <f>IFERROR(IF(AND(W23="Probabilidad",W24="Probabilidad"),(AJ23-(+AJ23*AD24)),IF(W24="Probabilidad",(O23-(+O23*AD24)),IF(W24="Impacto",AJ23,""))),"")</f>
        <v/>
      </c>
      <c r="AI24" s="130" t="str">
        <f t="shared" si="5"/>
        <v/>
      </c>
      <c r="AJ24" s="97" t="str">
        <f t="shared" si="6"/>
        <v/>
      </c>
      <c r="AK24" s="130" t="str">
        <f t="shared" si="7"/>
        <v/>
      </c>
      <c r="AL24" s="97" t="str">
        <f>IFERROR(IF(AND(W23="Impacto",W24="Impacto"),(AL17-(+AL17*AD24)),IF(W24="Impacto",($S$23-(+$S$23*AD24)),IF(W24="Probabilidad",AL17,""))),"")</f>
        <v/>
      </c>
      <c r="AM24" s="98" t="str">
        <f t="shared" si="8"/>
        <v/>
      </c>
      <c r="AN24" s="454"/>
      <c r="AO24" s="185"/>
      <c r="AP24" s="176"/>
      <c r="AQ24" s="188"/>
      <c r="AR24" s="188"/>
      <c r="AS24" s="185"/>
      <c r="AT24" s="99"/>
      <c r="AU24" s="170"/>
      <c r="AV24" s="188"/>
      <c r="AW24" s="185"/>
      <c r="AX24" s="99"/>
      <c r="AY24" s="170"/>
      <c r="AZ24" s="131"/>
      <c r="BA24" s="170"/>
      <c r="BB24" s="170"/>
      <c r="BC24" s="131"/>
      <c r="BD24" s="99"/>
      <c r="BE24" s="99"/>
      <c r="BF24" s="170"/>
      <c r="BG24" s="170"/>
      <c r="BH24" s="131"/>
      <c r="BI24" s="99"/>
      <c r="BJ24" s="99"/>
      <c r="BK24" s="185"/>
      <c r="BL24" s="185"/>
      <c r="BM24" s="176"/>
      <c r="BN24" s="188"/>
      <c r="BO24" s="188"/>
      <c r="BP24" s="170"/>
      <c r="BQ24" s="170"/>
      <c r="BR24" s="131"/>
      <c r="BS24" s="99"/>
      <c r="BT24" s="99"/>
      <c r="BU24" s="99"/>
      <c r="BV24" s="170"/>
      <c r="BW24" s="170"/>
      <c r="BX24" s="170"/>
      <c r="BY24" s="99"/>
      <c r="BZ24" s="170"/>
      <c r="CA24" s="170"/>
      <c r="CB24" s="99"/>
      <c r="CC24" s="170"/>
      <c r="CD24" s="131"/>
      <c r="CE24" s="170"/>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row>
    <row r="25" spans="1:109" ht="15.75" customHeight="1" x14ac:dyDescent="0.3">
      <c r="A25" s="445"/>
      <c r="B25" s="446"/>
      <c r="C25" s="446"/>
      <c r="D25" s="446"/>
      <c r="E25" s="472"/>
      <c r="F25" s="446"/>
      <c r="G25" s="446"/>
      <c r="H25" s="446"/>
      <c r="I25" s="185"/>
      <c r="J25" s="185"/>
      <c r="K25" s="446"/>
      <c r="L25" s="472"/>
      <c r="M25" s="445"/>
      <c r="N25" s="473"/>
      <c r="O25" s="470"/>
      <c r="P25" s="542"/>
      <c r="Q25" s="470">
        <f t="shared" si="11"/>
        <v>0</v>
      </c>
      <c r="R25" s="473"/>
      <c r="S25" s="470"/>
      <c r="T25" s="471"/>
      <c r="U25" s="176">
        <v>3</v>
      </c>
      <c r="V25" s="183"/>
      <c r="W25" s="169" t="str">
        <f t="shared" si="0"/>
        <v/>
      </c>
      <c r="X25" s="169"/>
      <c r="Y25" s="169"/>
      <c r="Z25" s="169"/>
      <c r="AA25" s="169"/>
      <c r="AB25" s="195"/>
      <c r="AC25" s="195"/>
      <c r="AD25" s="97" t="str">
        <f t="shared" si="4"/>
        <v/>
      </c>
      <c r="AE25" s="195"/>
      <c r="AF25" s="195"/>
      <c r="AG25" s="195"/>
      <c r="AH25" s="142" t="str">
        <f>IFERROR(IF(AND(W24="Probabilidad",W25="Probabilidad"),(AJ24-(+AJ24*AD25)),IF(AND(W24="Impacto",W25="Probabilidad"),(AJ23-(+AJ23*AD25)),IF(W25="Impacto",AJ24,""))),"")</f>
        <v/>
      </c>
      <c r="AI25" s="130" t="str">
        <f t="shared" si="5"/>
        <v/>
      </c>
      <c r="AJ25" s="97" t="str">
        <f t="shared" si="6"/>
        <v/>
      </c>
      <c r="AK25" s="130" t="str">
        <f t="shared" si="7"/>
        <v/>
      </c>
      <c r="AL25" s="97" t="str">
        <f>IFERROR(IF(AND(W24="Impacto",W25="Impacto"),(AL24-(+AL24*AD25)),IF(AND(W24="Probabilidad",W25="Impacto"),(AL23-(+AL23*AD25)),IF(W25="Probabilidad",AL24,""))),"")</f>
        <v/>
      </c>
      <c r="AM25" s="98" t="str">
        <f t="shared" si="8"/>
        <v/>
      </c>
      <c r="AN25" s="454"/>
      <c r="AO25" s="185"/>
      <c r="AP25" s="176"/>
      <c r="AQ25" s="188"/>
      <c r="AR25" s="188"/>
      <c r="AS25" s="185"/>
      <c r="AT25" s="99"/>
      <c r="AU25" s="170"/>
      <c r="AV25" s="188"/>
      <c r="AW25" s="185"/>
      <c r="AX25" s="99"/>
      <c r="AY25" s="170"/>
      <c r="AZ25" s="131"/>
      <c r="BA25" s="170"/>
      <c r="BB25" s="170"/>
      <c r="BC25" s="131"/>
      <c r="BD25" s="99"/>
      <c r="BE25" s="99"/>
      <c r="BF25" s="170"/>
      <c r="BG25" s="170"/>
      <c r="BH25" s="131"/>
      <c r="BI25" s="99"/>
      <c r="BJ25" s="99"/>
      <c r="BK25" s="185"/>
      <c r="BL25" s="185"/>
      <c r="BM25" s="176"/>
      <c r="BN25" s="188"/>
      <c r="BO25" s="188"/>
      <c r="BP25" s="170"/>
      <c r="BQ25" s="170"/>
      <c r="BR25" s="131"/>
      <c r="BS25" s="99"/>
      <c r="BT25" s="99"/>
      <c r="BU25" s="99"/>
      <c r="BV25" s="170"/>
      <c r="BW25" s="170"/>
      <c r="BX25" s="170"/>
      <c r="BY25" s="99"/>
      <c r="BZ25" s="170"/>
      <c r="CA25" s="170"/>
      <c r="CB25" s="99"/>
      <c r="CC25" s="170"/>
      <c r="CD25" s="131"/>
      <c r="CE25" s="170"/>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row>
    <row r="26" spans="1:109" ht="15.75" customHeight="1" x14ac:dyDescent="0.3">
      <c r="A26" s="445"/>
      <c r="B26" s="446"/>
      <c r="C26" s="446"/>
      <c r="D26" s="446"/>
      <c r="E26" s="472"/>
      <c r="F26" s="446"/>
      <c r="G26" s="446"/>
      <c r="H26" s="446"/>
      <c r="I26" s="185"/>
      <c r="J26" s="185"/>
      <c r="K26" s="446"/>
      <c r="L26" s="472"/>
      <c r="M26" s="445"/>
      <c r="N26" s="473"/>
      <c r="O26" s="470"/>
      <c r="P26" s="542"/>
      <c r="Q26" s="470">
        <f t="shared" si="11"/>
        <v>0</v>
      </c>
      <c r="R26" s="473"/>
      <c r="S26" s="470"/>
      <c r="T26" s="471"/>
      <c r="U26" s="176">
        <v>4</v>
      </c>
      <c r="V26" s="184"/>
      <c r="W26" s="169" t="str">
        <f t="shared" si="0"/>
        <v/>
      </c>
      <c r="X26" s="169"/>
      <c r="Y26" s="169"/>
      <c r="Z26" s="169"/>
      <c r="AA26" s="169"/>
      <c r="AB26" s="195"/>
      <c r="AC26" s="195"/>
      <c r="AD26" s="97" t="str">
        <f t="shared" si="4"/>
        <v/>
      </c>
      <c r="AE26" s="195"/>
      <c r="AF26" s="195"/>
      <c r="AG26" s="195"/>
      <c r="AH26" s="142" t="str">
        <f>IFERROR(IF(AND(W25="Probabilidad",W26="Probabilidad"),(AJ25-(+AJ25*AD26)),IF(AND(W25="Impacto",W26="Probabilidad"),(AJ24-(+AJ24*AD26)),IF(W26="Impacto",AJ25,""))),"")</f>
        <v/>
      </c>
      <c r="AI26" s="130" t="str">
        <f t="shared" si="5"/>
        <v/>
      </c>
      <c r="AJ26" s="97" t="str">
        <f t="shared" si="6"/>
        <v/>
      </c>
      <c r="AK26" s="130" t="str">
        <f t="shared" si="7"/>
        <v/>
      </c>
      <c r="AL26" s="97" t="str">
        <f>IFERROR(IF(AND(W25="Impacto",W26="Impacto"),(AL25-(+AL25*AD26)),IF(AND(W25="Probabilidad",W26="Impacto"),(AL24-(+AL24*AD26)),IF(W26="Probabilidad",AL25,""))),"")</f>
        <v/>
      </c>
      <c r="AM26" s="98" t="str">
        <f t="shared" si="8"/>
        <v/>
      </c>
      <c r="AN26" s="454"/>
      <c r="AO26" s="185"/>
      <c r="AP26" s="176"/>
      <c r="AQ26" s="188"/>
      <c r="AR26" s="188"/>
      <c r="AS26" s="185"/>
      <c r="AT26" s="99"/>
      <c r="AU26" s="170"/>
      <c r="AV26" s="188"/>
      <c r="AW26" s="185"/>
      <c r="AX26" s="99"/>
      <c r="AY26" s="170"/>
      <c r="AZ26" s="131"/>
      <c r="BA26" s="170"/>
      <c r="BB26" s="170"/>
      <c r="BC26" s="131"/>
      <c r="BD26" s="99"/>
      <c r="BE26" s="99"/>
      <c r="BF26" s="170"/>
      <c r="BG26" s="170"/>
      <c r="BH26" s="131"/>
      <c r="BI26" s="99"/>
      <c r="BJ26" s="99"/>
      <c r="BK26" s="185"/>
      <c r="BL26" s="185"/>
      <c r="BM26" s="176"/>
      <c r="BN26" s="188"/>
      <c r="BO26" s="188"/>
      <c r="BP26" s="170"/>
      <c r="BQ26" s="170"/>
      <c r="BR26" s="131"/>
      <c r="BS26" s="99"/>
      <c r="BT26" s="99"/>
      <c r="BU26" s="99"/>
      <c r="BV26" s="170"/>
      <c r="BW26" s="170"/>
      <c r="BX26" s="170"/>
      <c r="BY26" s="99"/>
      <c r="BZ26" s="170"/>
      <c r="CA26" s="170"/>
      <c r="CB26" s="99"/>
      <c r="CC26" s="170"/>
      <c r="CD26" s="131"/>
      <c r="CE26" s="170"/>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row>
    <row r="27" spans="1:109" ht="15.75" customHeight="1" x14ac:dyDescent="0.3">
      <c r="A27" s="445"/>
      <c r="B27" s="446"/>
      <c r="C27" s="446"/>
      <c r="D27" s="446"/>
      <c r="E27" s="472"/>
      <c r="F27" s="446"/>
      <c r="G27" s="446"/>
      <c r="H27" s="446"/>
      <c r="I27" s="185"/>
      <c r="J27" s="185"/>
      <c r="K27" s="446"/>
      <c r="L27" s="472"/>
      <c r="M27" s="445"/>
      <c r="N27" s="473"/>
      <c r="O27" s="470"/>
      <c r="P27" s="542"/>
      <c r="Q27" s="470">
        <f t="shared" si="11"/>
        <v>0</v>
      </c>
      <c r="R27" s="473"/>
      <c r="S27" s="470"/>
      <c r="T27" s="471"/>
      <c r="U27" s="176">
        <v>5</v>
      </c>
      <c r="V27" s="184"/>
      <c r="W27" s="169" t="str">
        <f t="shared" si="0"/>
        <v/>
      </c>
      <c r="X27" s="169"/>
      <c r="Y27" s="169"/>
      <c r="Z27" s="169"/>
      <c r="AA27" s="169"/>
      <c r="AB27" s="195"/>
      <c r="AC27" s="195"/>
      <c r="AD27" s="97" t="str">
        <f t="shared" si="4"/>
        <v/>
      </c>
      <c r="AE27" s="195"/>
      <c r="AF27" s="195"/>
      <c r="AG27" s="195"/>
      <c r="AH27" s="141" t="str">
        <f>IFERROR(IF(AND(W26="Probabilidad",W27="Probabilidad"),(AJ26-(+AJ26*AD27)),IF(AND(W26="Impacto",W27="Probabilidad"),(AJ25-(+AJ25*AD27)),IF(W27="Impacto",AJ26,""))),"")</f>
        <v/>
      </c>
      <c r="AI27" s="130" t="str">
        <f>IFERROR(IF(AH27="","",IF(AH27&lt;=0.2,"Muy Baja",IF(AH27&lt;=0.4,"Baja",IF(AH27&lt;=0.6,"Media",IF(AH27&lt;=0.8,"Alta","Muy Alta"))))),"")</f>
        <v/>
      </c>
      <c r="AJ27" s="97" t="str">
        <f t="shared" si="6"/>
        <v/>
      </c>
      <c r="AK27" s="130" t="str">
        <f t="shared" si="7"/>
        <v/>
      </c>
      <c r="AL27" s="97" t="str">
        <f>IFERROR(IF(AND(W26="Impacto",W27="Impacto"),(AL26-(+AL26*AD27)),IF(AND(W26="Probabilidad",W27="Impacto"),(AL25-(+AL25*AD27)),IF(W27="Probabilidad",AL26,""))),"")</f>
        <v/>
      </c>
      <c r="AM27" s="98" t="str">
        <f t="shared" si="8"/>
        <v/>
      </c>
      <c r="AN27" s="454"/>
      <c r="AO27" s="185"/>
      <c r="AP27" s="176"/>
      <c r="AQ27" s="188"/>
      <c r="AR27" s="188"/>
      <c r="AS27" s="185"/>
      <c r="AT27" s="99"/>
      <c r="AU27" s="170"/>
      <c r="AV27" s="188"/>
      <c r="AW27" s="185"/>
      <c r="AX27" s="99"/>
      <c r="AY27" s="170"/>
      <c r="AZ27" s="131"/>
      <c r="BA27" s="170"/>
      <c r="BB27" s="170"/>
      <c r="BC27" s="131"/>
      <c r="BD27" s="99"/>
      <c r="BE27" s="99"/>
      <c r="BF27" s="170"/>
      <c r="BG27" s="170"/>
      <c r="BH27" s="131"/>
      <c r="BI27" s="99"/>
      <c r="BJ27" s="99"/>
      <c r="BK27" s="185"/>
      <c r="BL27" s="185"/>
      <c r="BM27" s="176"/>
      <c r="BN27" s="188"/>
      <c r="BO27" s="188"/>
      <c r="BP27" s="170"/>
      <c r="BQ27" s="170"/>
      <c r="BR27" s="131"/>
      <c r="BS27" s="99"/>
      <c r="BT27" s="99"/>
      <c r="BU27" s="99"/>
      <c r="BV27" s="170"/>
      <c r="BW27" s="170"/>
      <c r="BX27" s="170"/>
      <c r="BY27" s="99"/>
      <c r="BZ27" s="170"/>
      <c r="CA27" s="170"/>
      <c r="CB27" s="99"/>
      <c r="CC27" s="170"/>
      <c r="CD27" s="131"/>
      <c r="CE27" s="170"/>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row>
    <row r="28" spans="1:109" ht="15.75" customHeight="1" x14ac:dyDescent="0.3">
      <c r="A28" s="445"/>
      <c r="B28" s="446"/>
      <c r="C28" s="446"/>
      <c r="D28" s="446"/>
      <c r="E28" s="472"/>
      <c r="F28" s="446"/>
      <c r="G28" s="446"/>
      <c r="H28" s="446"/>
      <c r="I28" s="185"/>
      <c r="J28" s="185"/>
      <c r="K28" s="446"/>
      <c r="L28" s="472"/>
      <c r="M28" s="445"/>
      <c r="N28" s="473"/>
      <c r="O28" s="470"/>
      <c r="P28" s="542"/>
      <c r="Q28" s="470">
        <f t="shared" si="11"/>
        <v>0</v>
      </c>
      <c r="R28" s="473"/>
      <c r="S28" s="470"/>
      <c r="T28" s="471"/>
      <c r="U28" s="176">
        <v>6</v>
      </c>
      <c r="V28" s="184"/>
      <c r="W28" s="169" t="str">
        <f t="shared" si="0"/>
        <v/>
      </c>
      <c r="X28" s="169"/>
      <c r="Y28" s="169"/>
      <c r="Z28" s="169"/>
      <c r="AA28" s="169"/>
      <c r="AB28" s="195"/>
      <c r="AC28" s="195"/>
      <c r="AD28" s="97" t="str">
        <f t="shared" si="4"/>
        <v/>
      </c>
      <c r="AE28" s="195"/>
      <c r="AF28" s="195"/>
      <c r="AG28" s="195"/>
      <c r="AH28" s="142" t="str">
        <f>IFERROR(IF(AND(W27="Probabilidad",W28="Probabilidad"),(AJ27-(+AJ27*AD28)),IF(AND(W27="Impacto",W28="Probabilidad"),(AJ26-(+AJ26*AD28)),IF(W28="Impacto",AJ27,""))),"")</f>
        <v/>
      </c>
      <c r="AI28" s="130" t="str">
        <f t="shared" si="5"/>
        <v/>
      </c>
      <c r="AJ28" s="97" t="str">
        <f t="shared" si="6"/>
        <v/>
      </c>
      <c r="AK28" s="130" t="str">
        <f t="shared" si="7"/>
        <v/>
      </c>
      <c r="AL28" s="97" t="str">
        <f>IFERROR(IF(AND(W27="Impacto",W28="Impacto"),(AL27-(+AL27*AD28)),IF(AND(W27="Probabilidad",W28="Impacto"),(AL26-(+AL26*AD28)),IF(W28="Probabilidad",AL27,""))),"")</f>
        <v/>
      </c>
      <c r="AM28" s="98" t="str">
        <f t="shared" si="8"/>
        <v/>
      </c>
      <c r="AN28" s="455"/>
      <c r="AO28" s="185"/>
      <c r="AP28" s="176"/>
      <c r="AQ28" s="188"/>
      <c r="AR28" s="188"/>
      <c r="AS28" s="185"/>
      <c r="AT28" s="99"/>
      <c r="AU28" s="170"/>
      <c r="AV28" s="188"/>
      <c r="AW28" s="185"/>
      <c r="AX28" s="99"/>
      <c r="AY28" s="170"/>
      <c r="AZ28" s="131"/>
      <c r="BA28" s="170"/>
      <c r="BB28" s="170"/>
      <c r="BC28" s="131"/>
      <c r="BD28" s="99"/>
      <c r="BE28" s="99"/>
      <c r="BF28" s="170"/>
      <c r="BG28" s="170"/>
      <c r="BH28" s="131"/>
      <c r="BI28" s="99"/>
      <c r="BJ28" s="99"/>
      <c r="BK28" s="185"/>
      <c r="BL28" s="185"/>
      <c r="BM28" s="176"/>
      <c r="BN28" s="188"/>
      <c r="BO28" s="188"/>
      <c r="BP28" s="170"/>
      <c r="BQ28" s="170"/>
      <c r="BR28" s="131"/>
      <c r="BS28" s="99"/>
      <c r="BT28" s="99"/>
      <c r="BU28" s="99"/>
      <c r="BV28" s="170"/>
      <c r="BW28" s="170"/>
      <c r="BX28" s="170"/>
      <c r="BY28" s="99"/>
      <c r="BZ28" s="170"/>
      <c r="CA28" s="170"/>
      <c r="CB28" s="99"/>
      <c r="CC28" s="170"/>
      <c r="CD28" s="131"/>
      <c r="CE28" s="170"/>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row>
    <row r="29" spans="1:109" ht="15.75" customHeight="1" x14ac:dyDescent="0.3">
      <c r="A29" s="445">
        <v>5</v>
      </c>
      <c r="B29" s="446"/>
      <c r="C29" s="446"/>
      <c r="D29" s="446"/>
      <c r="E29" s="472"/>
      <c r="F29" s="446"/>
      <c r="G29" s="446"/>
      <c r="H29" s="446"/>
      <c r="I29" s="185"/>
      <c r="J29" s="185"/>
      <c r="K29" s="446"/>
      <c r="L29" s="472"/>
      <c r="M29" s="445"/>
      <c r="N29" s="473" t="str">
        <f>IF(M29&lt;=0,"",IF(M29&lt;=2,"Muy Baja",IF(M29&lt;=24,"Baja",IF(M29&lt;=500,"Media",IF(M29&lt;=5000,"Alta","Muy Alta")))))</f>
        <v/>
      </c>
      <c r="O29" s="470" t="str">
        <f>IF(N29="","",IF(N29="Muy Baja",0.2,IF(N29="Baja",0.4,IF(N29="Media",0.6,IF(N29="Alta",0.8,IF(N29="Muy Alta",1,))))))</f>
        <v/>
      </c>
      <c r="P29" s="542"/>
      <c r="Q29" s="470">
        <f ca="1">IF(NOT(ISERROR(MATCH(P29,'Tabla Impacto'!$B$221:$B$223,0))),'Tabla Impacto'!$F$223&amp;"Por favor no seleccionar los criterios de impacto(Afectación Económica o presupuestal y Pérdida Reputacional)",P29)</f>
        <v>0</v>
      </c>
      <c r="R29" s="473" t="str">
        <f ca="1">IF(OR(Q29='Tabla Impacto'!$C$11,Q29='Tabla Impacto'!$D$11),"Leve",IF(OR(Q29='Tabla Impacto'!$C$12,Q29='Tabla Impacto'!$D$12),"Menor",IF(OR(Q29='Tabla Impacto'!$C$13,Q29='Tabla Impacto'!$D$13),"Moderado",IF(OR(Q29='Tabla Impacto'!$C$14,Q29='Tabla Impacto'!$D$14),"Mayor",IF(OR(Q29='Tabla Impacto'!$C$15,Q29='Tabla Impacto'!$D$15),"Catastrófico","")))))</f>
        <v/>
      </c>
      <c r="S29" s="470" t="str">
        <f ca="1">IF(R29="","",IF(R29="Leve",0.2,IF(R29="Menor",0.4,IF(R29="Moderado",0.6,IF(R29="Mayor",0.8,IF(R29="Catastrófico",1,))))))</f>
        <v/>
      </c>
      <c r="T29" s="471"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76">
        <v>1</v>
      </c>
      <c r="V29" s="184"/>
      <c r="W29" s="169" t="str">
        <f t="shared" si="0"/>
        <v/>
      </c>
      <c r="X29" s="169"/>
      <c r="Y29" s="169"/>
      <c r="Z29" s="169"/>
      <c r="AA29" s="169"/>
      <c r="AB29" s="195"/>
      <c r="AC29" s="195"/>
      <c r="AD29" s="97" t="str">
        <f t="shared" si="4"/>
        <v/>
      </c>
      <c r="AE29" s="195"/>
      <c r="AF29" s="195"/>
      <c r="AG29" s="195"/>
      <c r="AH29" s="142" t="str">
        <f>IFERROR(IF(W29="Probabilidad",(O29-(+O29*AD29)),IF(W29="Impacto",O29,"")),"")</f>
        <v/>
      </c>
      <c r="AI29" s="130" t="str">
        <f>IFERROR(IF(AH29="","",IF(AH29&lt;=0.2,"Muy Baja",IF(AH29&lt;=0.4,"Baja",IF(AH29&lt;=0.6,"Media",IF(AH29&lt;=0.8,"Alta","Muy Alta"))))),"")</f>
        <v/>
      </c>
      <c r="AJ29" s="97" t="str">
        <f t="shared" si="6"/>
        <v/>
      </c>
      <c r="AK29" s="130" t="str">
        <f>IFERROR(IF(AL29="","",IF(AL29&lt;=0.2,"Leve",IF(AL29&lt;=0.4,"Menor",IF(AL29&lt;=0.6,"Moderado",IF(AL29&lt;=0.8,"Mayor","Catastrófico"))))),"")</f>
        <v/>
      </c>
      <c r="AL29" s="97" t="str">
        <f>IFERROR(IF(W29="Impacto",(S29-(+S29*AD29)),IF(W29="Probabilidad",S29,"")),"")</f>
        <v/>
      </c>
      <c r="AM29" s="98" t="str">
        <f t="shared" si="8"/>
        <v/>
      </c>
      <c r="AN29" s="453"/>
      <c r="AO29" s="185"/>
      <c r="AP29" s="176"/>
      <c r="AQ29" s="188"/>
      <c r="AR29" s="188"/>
      <c r="AS29" s="185"/>
      <c r="AT29" s="99"/>
      <c r="AU29" s="170"/>
      <c r="AV29" s="188"/>
      <c r="AW29" s="185"/>
      <c r="AX29" s="99"/>
      <c r="AY29" s="170"/>
      <c r="AZ29" s="131"/>
      <c r="BA29" s="170"/>
      <c r="BB29" s="170"/>
      <c r="BC29" s="131"/>
      <c r="BD29" s="99"/>
      <c r="BE29" s="99"/>
      <c r="BF29" s="170"/>
      <c r="BG29" s="170"/>
      <c r="BH29" s="131"/>
      <c r="BI29" s="99"/>
      <c r="BJ29" s="99"/>
      <c r="BK29" s="185"/>
      <c r="BL29" s="185"/>
      <c r="BM29" s="176"/>
      <c r="BN29" s="188"/>
      <c r="BO29" s="188"/>
      <c r="BP29" s="170"/>
      <c r="BQ29" s="170"/>
      <c r="BR29" s="131"/>
      <c r="BS29" s="99"/>
      <c r="BT29" s="99"/>
      <c r="BU29" s="99"/>
      <c r="BV29" s="170"/>
      <c r="BW29" s="170"/>
      <c r="BX29" s="170"/>
      <c r="BY29" s="99"/>
      <c r="BZ29" s="170"/>
      <c r="CA29" s="170"/>
      <c r="CB29" s="99"/>
      <c r="CC29" s="170"/>
      <c r="CD29" s="131"/>
      <c r="CE29" s="170"/>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c r="DE29" s="134"/>
    </row>
    <row r="30" spans="1:109" ht="15.75" customHeight="1" x14ac:dyDescent="0.3">
      <c r="A30" s="445"/>
      <c r="B30" s="446"/>
      <c r="C30" s="446"/>
      <c r="D30" s="446"/>
      <c r="E30" s="472"/>
      <c r="F30" s="446"/>
      <c r="G30" s="446"/>
      <c r="H30" s="446"/>
      <c r="I30" s="185"/>
      <c r="J30" s="185"/>
      <c r="K30" s="446"/>
      <c r="L30" s="472"/>
      <c r="M30" s="445"/>
      <c r="N30" s="473"/>
      <c r="O30" s="470"/>
      <c r="P30" s="542"/>
      <c r="Q30" s="470">
        <f t="shared" ref="Q30:Q34" si="12">IF(NOT(ISERROR(MATCH(P30,_xlfn.ANCHORARRAY(E41),0))),O43&amp;"Por favor no seleccionar los criterios de impacto",P30)</f>
        <v>0</v>
      </c>
      <c r="R30" s="473"/>
      <c r="S30" s="470"/>
      <c r="T30" s="471"/>
      <c r="U30" s="176">
        <v>2</v>
      </c>
      <c r="V30" s="184"/>
      <c r="W30" s="169" t="str">
        <f t="shared" si="0"/>
        <v/>
      </c>
      <c r="X30" s="169"/>
      <c r="Y30" s="169"/>
      <c r="Z30" s="169"/>
      <c r="AA30" s="169"/>
      <c r="AB30" s="195"/>
      <c r="AC30" s="195"/>
      <c r="AD30" s="97" t="str">
        <f t="shared" si="4"/>
        <v/>
      </c>
      <c r="AE30" s="195"/>
      <c r="AF30" s="195"/>
      <c r="AG30" s="195"/>
      <c r="AH30" s="142" t="str">
        <f>IFERROR(IF(AND(W29="Probabilidad",W30="Probabilidad"),(AJ29-(+AJ29*AD30)),IF(W30="Probabilidad",(O29-(+O29*AD30)),IF(W30="Impacto",AJ29,""))),"")</f>
        <v/>
      </c>
      <c r="AI30" s="130" t="str">
        <f t="shared" si="5"/>
        <v/>
      </c>
      <c r="AJ30" s="97" t="str">
        <f t="shared" si="6"/>
        <v/>
      </c>
      <c r="AK30" s="130" t="str">
        <f t="shared" si="7"/>
        <v/>
      </c>
      <c r="AL30" s="97" t="str">
        <f>IFERROR(IF(AND(W29="Impacto",W30="Impacto"),(AL23-(+AL23*AD30)),IF(W30="Impacto",($S$29-(+$S$29*AD30)),IF(W30="Probabilidad",AL23,""))),"")</f>
        <v/>
      </c>
      <c r="AM30" s="98" t="str">
        <f t="shared" si="8"/>
        <v/>
      </c>
      <c r="AN30" s="454"/>
      <c r="AO30" s="185"/>
      <c r="AP30" s="176"/>
      <c r="AQ30" s="188"/>
      <c r="AR30" s="188"/>
      <c r="AS30" s="185"/>
      <c r="AT30" s="99"/>
      <c r="AU30" s="170"/>
      <c r="AV30" s="188"/>
      <c r="AW30" s="185"/>
      <c r="AX30" s="99"/>
      <c r="AY30" s="170"/>
      <c r="AZ30" s="131"/>
      <c r="BA30" s="170"/>
      <c r="BB30" s="170"/>
      <c r="BC30" s="131"/>
      <c r="BD30" s="99"/>
      <c r="BE30" s="99"/>
      <c r="BF30" s="170"/>
      <c r="BG30" s="170"/>
      <c r="BH30" s="131"/>
      <c r="BI30" s="99"/>
      <c r="BJ30" s="99"/>
      <c r="BK30" s="185"/>
      <c r="BL30" s="185"/>
      <c r="BM30" s="176"/>
      <c r="BN30" s="188"/>
      <c r="BO30" s="188"/>
      <c r="BP30" s="170"/>
      <c r="BQ30" s="170"/>
      <c r="BR30" s="131"/>
      <c r="BS30" s="99"/>
      <c r="BT30" s="99"/>
      <c r="BU30" s="99"/>
      <c r="BV30" s="170"/>
      <c r="BW30" s="170"/>
      <c r="BX30" s="170"/>
      <c r="BY30" s="99"/>
      <c r="BZ30" s="170"/>
      <c r="CA30" s="170"/>
      <c r="CB30" s="99"/>
      <c r="CC30" s="170"/>
      <c r="CD30" s="131"/>
      <c r="CE30" s="170"/>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c r="DE30" s="134"/>
    </row>
    <row r="31" spans="1:109" ht="15.75" customHeight="1" x14ac:dyDescent="0.3">
      <c r="A31" s="445"/>
      <c r="B31" s="446"/>
      <c r="C31" s="446"/>
      <c r="D31" s="446"/>
      <c r="E31" s="472"/>
      <c r="F31" s="446"/>
      <c r="G31" s="446"/>
      <c r="H31" s="446"/>
      <c r="I31" s="185"/>
      <c r="J31" s="185"/>
      <c r="K31" s="446"/>
      <c r="L31" s="472"/>
      <c r="M31" s="445"/>
      <c r="N31" s="473"/>
      <c r="O31" s="470"/>
      <c r="P31" s="542"/>
      <c r="Q31" s="470">
        <f t="shared" si="12"/>
        <v>0</v>
      </c>
      <c r="R31" s="473"/>
      <c r="S31" s="470"/>
      <c r="T31" s="471"/>
      <c r="U31" s="176">
        <v>3</v>
      </c>
      <c r="V31" s="183"/>
      <c r="W31" s="169" t="str">
        <f t="shared" si="0"/>
        <v/>
      </c>
      <c r="X31" s="169"/>
      <c r="Y31" s="169"/>
      <c r="Z31" s="169"/>
      <c r="AA31" s="169"/>
      <c r="AB31" s="195"/>
      <c r="AC31" s="195"/>
      <c r="AD31" s="97" t="str">
        <f t="shared" si="4"/>
        <v/>
      </c>
      <c r="AE31" s="195"/>
      <c r="AF31" s="195"/>
      <c r="AG31" s="195"/>
      <c r="AH31" s="142" t="str">
        <f>IFERROR(IF(AND(W30="Probabilidad",W31="Probabilidad"),(AJ30-(+AJ30*AD31)),IF(AND(W30="Impacto",W31="Probabilidad"),(AJ29-(+AJ29*AD31)),IF(W31="Impacto",AJ30,""))),"")</f>
        <v/>
      </c>
      <c r="AI31" s="130" t="str">
        <f t="shared" si="5"/>
        <v/>
      </c>
      <c r="AJ31" s="97" t="str">
        <f t="shared" si="6"/>
        <v/>
      </c>
      <c r="AK31" s="130" t="str">
        <f t="shared" si="7"/>
        <v/>
      </c>
      <c r="AL31" s="97" t="str">
        <f>IFERROR(IF(AND(W30="Impacto",W31="Impacto"),(AL30-(+AL30*AD31)),IF(AND(W30="Probabilidad",W31="Impacto"),(AL29-(+AL29*AD31)),IF(W31="Probabilidad",AL30,""))),"")</f>
        <v/>
      </c>
      <c r="AM31" s="98" t="str">
        <f t="shared" si="8"/>
        <v/>
      </c>
      <c r="AN31" s="454"/>
      <c r="AO31" s="185"/>
      <c r="AP31" s="176"/>
      <c r="AQ31" s="188"/>
      <c r="AR31" s="188"/>
      <c r="AS31" s="185"/>
      <c r="AT31" s="99"/>
      <c r="AU31" s="170"/>
      <c r="AV31" s="188"/>
      <c r="AW31" s="185"/>
      <c r="AX31" s="99"/>
      <c r="AY31" s="170"/>
      <c r="AZ31" s="131"/>
      <c r="BA31" s="170"/>
      <c r="BB31" s="170"/>
      <c r="BC31" s="131"/>
      <c r="BD31" s="99"/>
      <c r="BE31" s="99"/>
      <c r="BF31" s="170"/>
      <c r="BG31" s="170"/>
      <c r="BH31" s="131"/>
      <c r="BI31" s="99"/>
      <c r="BJ31" s="99"/>
      <c r="BK31" s="185"/>
      <c r="BL31" s="185"/>
      <c r="BM31" s="176"/>
      <c r="BN31" s="188"/>
      <c r="BO31" s="188"/>
      <c r="BP31" s="170"/>
      <c r="BQ31" s="170"/>
      <c r="BR31" s="131"/>
      <c r="BS31" s="99"/>
      <c r="BT31" s="99"/>
      <c r="BU31" s="99"/>
      <c r="BV31" s="170"/>
      <c r="BW31" s="170"/>
      <c r="BX31" s="170"/>
      <c r="BY31" s="99"/>
      <c r="BZ31" s="170"/>
      <c r="CA31" s="170"/>
      <c r="CB31" s="99"/>
      <c r="CC31" s="170"/>
      <c r="CD31" s="131"/>
      <c r="CE31" s="170"/>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row>
    <row r="32" spans="1:109" ht="15.75" customHeight="1" x14ac:dyDescent="0.3">
      <c r="A32" s="445"/>
      <c r="B32" s="446"/>
      <c r="C32" s="446"/>
      <c r="D32" s="446"/>
      <c r="E32" s="472"/>
      <c r="F32" s="446"/>
      <c r="G32" s="446"/>
      <c r="H32" s="446"/>
      <c r="I32" s="185"/>
      <c r="J32" s="185"/>
      <c r="K32" s="446"/>
      <c r="L32" s="472"/>
      <c r="M32" s="445"/>
      <c r="N32" s="473"/>
      <c r="O32" s="470"/>
      <c r="P32" s="542"/>
      <c r="Q32" s="470">
        <f t="shared" si="12"/>
        <v>0</v>
      </c>
      <c r="R32" s="473"/>
      <c r="S32" s="470"/>
      <c r="T32" s="471"/>
      <c r="U32" s="176">
        <v>4</v>
      </c>
      <c r="V32" s="184"/>
      <c r="W32" s="169" t="str">
        <f t="shared" si="0"/>
        <v/>
      </c>
      <c r="X32" s="169"/>
      <c r="Y32" s="169"/>
      <c r="Z32" s="169"/>
      <c r="AA32" s="169"/>
      <c r="AB32" s="195"/>
      <c r="AC32" s="195"/>
      <c r="AD32" s="97" t="str">
        <f t="shared" si="4"/>
        <v/>
      </c>
      <c r="AE32" s="195"/>
      <c r="AF32" s="195"/>
      <c r="AG32" s="195"/>
      <c r="AH32" s="142" t="str">
        <f>IFERROR(IF(AND(W31="Probabilidad",W32="Probabilidad"),(AJ31-(+AJ31*AD32)),IF(AND(W31="Impacto",W32="Probabilidad"),(AJ30-(+AJ30*AD32)),IF(W32="Impacto",AJ31,""))),"")</f>
        <v/>
      </c>
      <c r="AI32" s="130" t="str">
        <f t="shared" si="5"/>
        <v/>
      </c>
      <c r="AJ32" s="97" t="str">
        <f t="shared" si="6"/>
        <v/>
      </c>
      <c r="AK32" s="130" t="str">
        <f t="shared" si="7"/>
        <v/>
      </c>
      <c r="AL32" s="97" t="str">
        <f>IFERROR(IF(AND(W31="Impacto",W32="Impacto"),(AL31-(+AL31*AD32)),IF(AND(W31="Probabilidad",W32="Impacto"),(AL30-(+AL30*AD32)),IF(W32="Probabilidad",AL31,""))),"")</f>
        <v/>
      </c>
      <c r="AM32" s="98" t="str">
        <f t="shared" si="8"/>
        <v/>
      </c>
      <c r="AN32" s="454"/>
      <c r="AO32" s="185"/>
      <c r="AP32" s="176"/>
      <c r="AQ32" s="188"/>
      <c r="AR32" s="188"/>
      <c r="AS32" s="185"/>
      <c r="AT32" s="99"/>
      <c r="AU32" s="170"/>
      <c r="AV32" s="188"/>
      <c r="AW32" s="185"/>
      <c r="AX32" s="99"/>
      <c r="AY32" s="170"/>
      <c r="AZ32" s="131"/>
      <c r="BA32" s="170"/>
      <c r="BB32" s="170"/>
      <c r="BC32" s="131"/>
      <c r="BD32" s="99"/>
      <c r="BE32" s="99"/>
      <c r="BF32" s="170"/>
      <c r="BG32" s="170"/>
      <c r="BH32" s="131"/>
      <c r="BI32" s="99"/>
      <c r="BJ32" s="99"/>
      <c r="BK32" s="185"/>
      <c r="BL32" s="185"/>
      <c r="BM32" s="176"/>
      <c r="BN32" s="188"/>
      <c r="BO32" s="188"/>
      <c r="BP32" s="170"/>
      <c r="BQ32" s="170"/>
      <c r="BR32" s="131"/>
      <c r="BS32" s="99"/>
      <c r="BT32" s="99"/>
      <c r="BU32" s="99"/>
      <c r="BV32" s="170"/>
      <c r="BW32" s="170"/>
      <c r="BX32" s="170"/>
      <c r="BY32" s="99"/>
      <c r="BZ32" s="170"/>
      <c r="CA32" s="170"/>
      <c r="CB32" s="99"/>
      <c r="CC32" s="170"/>
      <c r="CD32" s="131"/>
      <c r="CE32" s="170"/>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row>
    <row r="33" spans="1:109" ht="15.75" customHeight="1" x14ac:dyDescent="0.3">
      <c r="A33" s="445"/>
      <c r="B33" s="446"/>
      <c r="C33" s="446"/>
      <c r="D33" s="446"/>
      <c r="E33" s="472"/>
      <c r="F33" s="446"/>
      <c r="G33" s="446"/>
      <c r="H33" s="446"/>
      <c r="I33" s="185"/>
      <c r="J33" s="185"/>
      <c r="K33" s="446"/>
      <c r="L33" s="472"/>
      <c r="M33" s="445"/>
      <c r="N33" s="473"/>
      <c r="O33" s="470"/>
      <c r="P33" s="542"/>
      <c r="Q33" s="470">
        <f t="shared" si="12"/>
        <v>0</v>
      </c>
      <c r="R33" s="473"/>
      <c r="S33" s="470"/>
      <c r="T33" s="471"/>
      <c r="U33" s="176">
        <v>5</v>
      </c>
      <c r="V33" s="184"/>
      <c r="W33" s="169" t="str">
        <f t="shared" si="0"/>
        <v/>
      </c>
      <c r="X33" s="169"/>
      <c r="Y33" s="169"/>
      <c r="Z33" s="169"/>
      <c r="AA33" s="169"/>
      <c r="AB33" s="195"/>
      <c r="AC33" s="195"/>
      <c r="AD33" s="97" t="str">
        <f t="shared" si="4"/>
        <v/>
      </c>
      <c r="AE33" s="195"/>
      <c r="AF33" s="195"/>
      <c r="AG33" s="195"/>
      <c r="AH33" s="142" t="str">
        <f>IFERROR(IF(AND(W32="Probabilidad",W33="Probabilidad"),(AJ32-(+AJ32*AD33)),IF(AND(W32="Impacto",W33="Probabilidad"),(AJ31-(+AJ31*AD33)),IF(W33="Impacto",AJ32,""))),"")</f>
        <v/>
      </c>
      <c r="AI33" s="130" t="str">
        <f t="shared" si="5"/>
        <v/>
      </c>
      <c r="AJ33" s="97" t="str">
        <f t="shared" si="6"/>
        <v/>
      </c>
      <c r="AK33" s="130" t="str">
        <f t="shared" si="7"/>
        <v/>
      </c>
      <c r="AL33" s="97" t="str">
        <f>IFERROR(IF(AND(W32="Impacto",W33="Impacto"),(AL32-(+AL32*AD33)),IF(AND(W32="Probabilidad",W33="Impacto"),(AL31-(+AL31*AD33)),IF(W33="Probabilidad",AL32,""))),"")</f>
        <v/>
      </c>
      <c r="AM33" s="98" t="str">
        <f t="shared" si="8"/>
        <v/>
      </c>
      <c r="AN33" s="454"/>
      <c r="AO33" s="185"/>
      <c r="AP33" s="176"/>
      <c r="AQ33" s="188"/>
      <c r="AR33" s="188"/>
      <c r="AS33" s="185"/>
      <c r="AT33" s="99"/>
      <c r="AU33" s="170"/>
      <c r="AV33" s="188"/>
      <c r="AW33" s="185"/>
      <c r="AX33" s="99"/>
      <c r="AY33" s="170"/>
      <c r="AZ33" s="131"/>
      <c r="BA33" s="170"/>
      <c r="BB33" s="170"/>
      <c r="BC33" s="131"/>
      <c r="BD33" s="99"/>
      <c r="BE33" s="99"/>
      <c r="BF33" s="170"/>
      <c r="BG33" s="170"/>
      <c r="BH33" s="131"/>
      <c r="BI33" s="99"/>
      <c r="BJ33" s="99"/>
      <c r="BK33" s="185"/>
      <c r="BL33" s="185"/>
      <c r="BM33" s="176"/>
      <c r="BN33" s="188"/>
      <c r="BO33" s="188"/>
      <c r="BP33" s="170"/>
      <c r="BQ33" s="170"/>
      <c r="BR33" s="131"/>
      <c r="BS33" s="99"/>
      <c r="BT33" s="99"/>
      <c r="BU33" s="99"/>
      <c r="BV33" s="170"/>
      <c r="BW33" s="170"/>
      <c r="BX33" s="170"/>
      <c r="BY33" s="99"/>
      <c r="BZ33" s="170"/>
      <c r="CA33" s="170"/>
      <c r="CB33" s="99"/>
      <c r="CC33" s="170"/>
      <c r="CD33" s="131"/>
      <c r="CE33" s="170"/>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row>
    <row r="34" spans="1:109" ht="15.75" customHeight="1" x14ac:dyDescent="0.3">
      <c r="A34" s="445"/>
      <c r="B34" s="446"/>
      <c r="C34" s="446"/>
      <c r="D34" s="446"/>
      <c r="E34" s="472"/>
      <c r="F34" s="446"/>
      <c r="G34" s="446"/>
      <c r="H34" s="446"/>
      <c r="I34" s="185"/>
      <c r="J34" s="185"/>
      <c r="K34" s="446"/>
      <c r="L34" s="472"/>
      <c r="M34" s="445"/>
      <c r="N34" s="473"/>
      <c r="O34" s="470"/>
      <c r="P34" s="542"/>
      <c r="Q34" s="470">
        <f t="shared" si="12"/>
        <v>0</v>
      </c>
      <c r="R34" s="473"/>
      <c r="S34" s="470"/>
      <c r="T34" s="471"/>
      <c r="U34" s="176">
        <v>6</v>
      </c>
      <c r="V34" s="184"/>
      <c r="W34" s="169" t="str">
        <f t="shared" si="0"/>
        <v/>
      </c>
      <c r="X34" s="169"/>
      <c r="Y34" s="169"/>
      <c r="Z34" s="169"/>
      <c r="AA34" s="169"/>
      <c r="AB34" s="195"/>
      <c r="AC34" s="195"/>
      <c r="AD34" s="97" t="str">
        <f t="shared" si="4"/>
        <v/>
      </c>
      <c r="AE34" s="195"/>
      <c r="AF34" s="195"/>
      <c r="AG34" s="195"/>
      <c r="AH34" s="142" t="str">
        <f>IFERROR(IF(AND(W33="Probabilidad",W34="Probabilidad"),(AJ33-(+AJ33*AD34)),IF(AND(W33="Impacto",W34="Probabilidad"),(AJ32-(+AJ32*AD34)),IF(W34="Impacto",AJ33,""))),"")</f>
        <v/>
      </c>
      <c r="AI34" s="130" t="str">
        <f t="shared" si="5"/>
        <v/>
      </c>
      <c r="AJ34" s="97" t="str">
        <f t="shared" si="6"/>
        <v/>
      </c>
      <c r="AK34" s="130" t="str">
        <f t="shared" si="7"/>
        <v/>
      </c>
      <c r="AL34" s="97" t="str">
        <f>IFERROR(IF(AND(W33="Impacto",W34="Impacto"),(AL33-(+AL33*AD34)),IF(AND(W33="Probabilidad",W34="Impacto"),(AL32-(+AL32*AD34)),IF(W34="Probabilidad",AL33,""))),"")</f>
        <v/>
      </c>
      <c r="AM34" s="98" t="str">
        <f t="shared" si="8"/>
        <v/>
      </c>
      <c r="AN34" s="455"/>
      <c r="AO34" s="185"/>
      <c r="AP34" s="176"/>
      <c r="AQ34" s="188"/>
      <c r="AR34" s="188"/>
      <c r="AS34" s="185"/>
      <c r="AT34" s="99"/>
      <c r="AU34" s="170"/>
      <c r="AV34" s="188"/>
      <c r="AW34" s="185"/>
      <c r="AX34" s="99"/>
      <c r="AY34" s="170"/>
      <c r="AZ34" s="131"/>
      <c r="BA34" s="170"/>
      <c r="BB34" s="170"/>
      <c r="BC34" s="131"/>
      <c r="BD34" s="99"/>
      <c r="BE34" s="99"/>
      <c r="BF34" s="170"/>
      <c r="BG34" s="170"/>
      <c r="BH34" s="131"/>
      <c r="BI34" s="99"/>
      <c r="BJ34" s="99"/>
      <c r="BK34" s="185"/>
      <c r="BL34" s="185"/>
      <c r="BM34" s="176"/>
      <c r="BN34" s="188"/>
      <c r="BO34" s="188"/>
      <c r="BP34" s="170"/>
      <c r="BQ34" s="170"/>
      <c r="BR34" s="131"/>
      <c r="BS34" s="99"/>
      <c r="BT34" s="99"/>
      <c r="BU34" s="99"/>
      <c r="BV34" s="170"/>
      <c r="BW34" s="170"/>
      <c r="BX34" s="170"/>
      <c r="BY34" s="99"/>
      <c r="BZ34" s="170"/>
      <c r="CA34" s="170"/>
      <c r="CB34" s="99"/>
      <c r="CC34" s="170"/>
      <c r="CD34" s="131"/>
      <c r="CE34" s="170"/>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row>
    <row r="35" spans="1:109" ht="15.75" customHeight="1" x14ac:dyDescent="0.3">
      <c r="A35" s="445">
        <v>6</v>
      </c>
      <c r="B35" s="446"/>
      <c r="C35" s="446"/>
      <c r="D35" s="446"/>
      <c r="E35" s="472"/>
      <c r="F35" s="446"/>
      <c r="G35" s="446"/>
      <c r="H35" s="446"/>
      <c r="I35" s="185"/>
      <c r="J35" s="185"/>
      <c r="K35" s="446"/>
      <c r="L35" s="472"/>
      <c r="M35" s="445"/>
      <c r="N35" s="473" t="str">
        <f>IF(M35&lt;=0,"",IF(M35&lt;=2,"Muy Baja",IF(M35&lt;=24,"Baja",IF(M35&lt;=500,"Media",IF(M35&lt;=5000,"Alta","Muy Alta")))))</f>
        <v/>
      </c>
      <c r="O35" s="470" t="str">
        <f>IF(N35="","",IF(N35="Muy Baja",0.2,IF(N35="Baja",0.4,IF(N35="Media",0.6,IF(N35="Alta",0.8,IF(N35="Muy Alta",1,))))))</f>
        <v/>
      </c>
      <c r="P35" s="542"/>
      <c r="Q35" s="470">
        <f ca="1">IF(NOT(ISERROR(MATCH(P35,'Tabla Impacto'!$B$221:$B$223,0))),'Tabla Impacto'!$F$223&amp;"Por favor no seleccionar los criterios de impacto(Afectación Económica o presupuestal y Pérdida Reputacional)",P35)</f>
        <v>0</v>
      </c>
      <c r="R35" s="473" t="str">
        <f ca="1">IF(OR(Q35='Tabla Impacto'!$C$11,Q35='Tabla Impacto'!$D$11),"Leve",IF(OR(Q35='Tabla Impacto'!$C$12,Q35='Tabla Impacto'!$D$12),"Menor",IF(OR(Q35='Tabla Impacto'!$C$13,Q35='Tabla Impacto'!$D$13),"Moderado",IF(OR(Q35='Tabla Impacto'!$C$14,Q35='Tabla Impacto'!$D$14),"Mayor",IF(OR(Q35='Tabla Impacto'!$C$15,Q35='Tabla Impacto'!$D$15),"Catastrófico","")))))</f>
        <v/>
      </c>
      <c r="S35" s="470" t="str">
        <f ca="1">IF(R35="","",IF(R35="Leve",0.2,IF(R35="Menor",0.4,IF(R35="Moderado",0.6,IF(R35="Mayor",0.8,IF(R35="Catastrófico",1,))))))</f>
        <v/>
      </c>
      <c r="T35" s="471"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76">
        <v>1</v>
      </c>
      <c r="V35" s="184"/>
      <c r="W35" s="169" t="str">
        <f t="shared" si="0"/>
        <v/>
      </c>
      <c r="X35" s="169"/>
      <c r="Y35" s="169"/>
      <c r="Z35" s="169"/>
      <c r="AA35" s="169"/>
      <c r="AB35" s="195"/>
      <c r="AC35" s="195"/>
      <c r="AD35" s="97" t="str">
        <f t="shared" si="4"/>
        <v/>
      </c>
      <c r="AE35" s="195"/>
      <c r="AF35" s="195"/>
      <c r="AG35" s="195"/>
      <c r="AH35" s="142" t="str">
        <f>IFERROR(IF(W35="Probabilidad",(O35-(+O35*AD35)),IF(W35="Impacto",O35,"")),"")</f>
        <v/>
      </c>
      <c r="AI35" s="130" t="str">
        <f>IFERROR(IF(AH35="","",IF(AH35&lt;=0.2,"Muy Baja",IF(AH35&lt;=0.4,"Baja",IF(AH35&lt;=0.6,"Media",IF(AH35&lt;=0.8,"Alta","Muy Alta"))))),"")</f>
        <v/>
      </c>
      <c r="AJ35" s="97" t="str">
        <f t="shared" si="6"/>
        <v/>
      </c>
      <c r="AK35" s="130" t="str">
        <f>IFERROR(IF(AL35="","",IF(AL35&lt;=0.2,"Leve",IF(AL35&lt;=0.4,"Menor",IF(AL35&lt;=0.6,"Moderado",IF(AL35&lt;=0.8,"Mayor","Catastrófico"))))),"")</f>
        <v/>
      </c>
      <c r="AL35" s="97" t="str">
        <f>IFERROR(IF(W35="Impacto",(S35-(+S35*AD35)),IF(W35="Probabilidad",S35,"")),"")</f>
        <v/>
      </c>
      <c r="AM35" s="98" t="str">
        <f t="shared" si="8"/>
        <v/>
      </c>
      <c r="AN35" s="453"/>
      <c r="AO35" s="185"/>
      <c r="AP35" s="176"/>
      <c r="AQ35" s="188"/>
      <c r="AR35" s="188"/>
      <c r="AS35" s="185"/>
      <c r="AT35" s="99"/>
      <c r="AU35" s="170"/>
      <c r="AV35" s="188"/>
      <c r="AW35" s="185"/>
      <c r="AX35" s="99"/>
      <c r="AY35" s="170"/>
      <c r="AZ35" s="131"/>
      <c r="BA35" s="170"/>
      <c r="BB35" s="170"/>
      <c r="BC35" s="131"/>
      <c r="BD35" s="99"/>
      <c r="BE35" s="99"/>
      <c r="BF35" s="170"/>
      <c r="BG35" s="170"/>
      <c r="BH35" s="131"/>
      <c r="BI35" s="99"/>
      <c r="BJ35" s="99"/>
      <c r="BK35" s="185"/>
      <c r="BL35" s="185"/>
      <c r="BM35" s="176"/>
      <c r="BN35" s="188"/>
      <c r="BO35" s="188"/>
      <c r="BP35" s="170"/>
      <c r="BQ35" s="170"/>
      <c r="BR35" s="131"/>
      <c r="BS35" s="99"/>
      <c r="BT35" s="99"/>
      <c r="BU35" s="99"/>
      <c r="BV35" s="170"/>
      <c r="BW35" s="170"/>
      <c r="BX35" s="170"/>
      <c r="BY35" s="99"/>
      <c r="BZ35" s="170"/>
      <c r="CA35" s="170"/>
      <c r="CB35" s="99"/>
      <c r="CC35" s="170"/>
      <c r="CD35" s="131"/>
      <c r="CE35" s="170"/>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row>
    <row r="36" spans="1:109" ht="15.75" customHeight="1" x14ac:dyDescent="0.3">
      <c r="A36" s="445"/>
      <c r="B36" s="446"/>
      <c r="C36" s="446"/>
      <c r="D36" s="446"/>
      <c r="E36" s="472"/>
      <c r="F36" s="446"/>
      <c r="G36" s="446"/>
      <c r="H36" s="446"/>
      <c r="I36" s="185"/>
      <c r="J36" s="185"/>
      <c r="K36" s="446"/>
      <c r="L36" s="472"/>
      <c r="M36" s="445"/>
      <c r="N36" s="473"/>
      <c r="O36" s="470"/>
      <c r="P36" s="542"/>
      <c r="Q36" s="470">
        <f t="shared" ref="Q36:Q40" si="13">IF(NOT(ISERROR(MATCH(P36,_xlfn.ANCHORARRAY(E47),0))),O49&amp;"Por favor no seleccionar los criterios de impacto",P36)</f>
        <v>0</v>
      </c>
      <c r="R36" s="473"/>
      <c r="S36" s="470"/>
      <c r="T36" s="471"/>
      <c r="U36" s="176">
        <v>2</v>
      </c>
      <c r="V36" s="184"/>
      <c r="W36" s="169" t="str">
        <f t="shared" si="0"/>
        <v/>
      </c>
      <c r="X36" s="169"/>
      <c r="Y36" s="169"/>
      <c r="Z36" s="169"/>
      <c r="AA36" s="169"/>
      <c r="AB36" s="195"/>
      <c r="AC36" s="195"/>
      <c r="AD36" s="97" t="str">
        <f t="shared" si="4"/>
        <v/>
      </c>
      <c r="AE36" s="195"/>
      <c r="AF36" s="195"/>
      <c r="AG36" s="195"/>
      <c r="AH36" s="142" t="str">
        <f>IFERROR(IF(AND(W35="Probabilidad",W36="Probabilidad"),(AJ35-(+AJ35*AD36)),IF(W36="Probabilidad",(O35-(+O35*AD36)),IF(W36="Impacto",AJ35,""))),"")</f>
        <v/>
      </c>
      <c r="AI36" s="130" t="str">
        <f t="shared" si="5"/>
        <v/>
      </c>
      <c r="AJ36" s="97" t="str">
        <f t="shared" si="6"/>
        <v/>
      </c>
      <c r="AK36" s="130" t="str">
        <f t="shared" si="7"/>
        <v/>
      </c>
      <c r="AL36" s="97" t="str">
        <f>IFERROR(IF(AND(W35="Impacto",W36="Impacto"),(AL29-(+AL29*AD36)),IF(W36="Impacto",($S$35-(+$S$35*AD36)),IF(W36="Probabilidad",AL29,""))),"")</f>
        <v/>
      </c>
      <c r="AM36" s="98" t="str">
        <f t="shared" si="8"/>
        <v/>
      </c>
      <c r="AN36" s="454"/>
      <c r="AO36" s="185"/>
      <c r="AP36" s="176"/>
      <c r="AQ36" s="188"/>
      <c r="AR36" s="188"/>
      <c r="AS36" s="185"/>
      <c r="AT36" s="99"/>
      <c r="AU36" s="170"/>
      <c r="AV36" s="188"/>
      <c r="AW36" s="185"/>
      <c r="AX36" s="99"/>
      <c r="AY36" s="170"/>
      <c r="AZ36" s="131"/>
      <c r="BA36" s="170"/>
      <c r="BB36" s="170"/>
      <c r="BC36" s="131"/>
      <c r="BD36" s="99"/>
      <c r="BE36" s="99"/>
      <c r="BF36" s="170"/>
      <c r="BG36" s="170"/>
      <c r="BH36" s="131"/>
      <c r="BI36" s="99"/>
      <c r="BJ36" s="99"/>
      <c r="BK36" s="185"/>
      <c r="BL36" s="185"/>
      <c r="BM36" s="176"/>
      <c r="BN36" s="188"/>
      <c r="BO36" s="188"/>
      <c r="BP36" s="170"/>
      <c r="BQ36" s="170"/>
      <c r="BR36" s="131"/>
      <c r="BS36" s="99"/>
      <c r="BT36" s="99"/>
      <c r="BU36" s="99"/>
      <c r="BV36" s="170"/>
      <c r="BW36" s="170"/>
      <c r="BX36" s="170"/>
      <c r="BY36" s="99"/>
      <c r="BZ36" s="170"/>
      <c r="CA36" s="170"/>
      <c r="CB36" s="99"/>
      <c r="CC36" s="170"/>
      <c r="CD36" s="131"/>
      <c r="CE36" s="170"/>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row>
    <row r="37" spans="1:109" ht="15.75" customHeight="1" x14ac:dyDescent="0.3">
      <c r="A37" s="445"/>
      <c r="B37" s="446"/>
      <c r="C37" s="446"/>
      <c r="D37" s="446"/>
      <c r="E37" s="472"/>
      <c r="F37" s="446"/>
      <c r="G37" s="446"/>
      <c r="H37" s="446"/>
      <c r="I37" s="185"/>
      <c r="J37" s="185"/>
      <c r="K37" s="446"/>
      <c r="L37" s="472"/>
      <c r="M37" s="445"/>
      <c r="N37" s="473"/>
      <c r="O37" s="470"/>
      <c r="P37" s="542"/>
      <c r="Q37" s="470">
        <f t="shared" si="13"/>
        <v>0</v>
      </c>
      <c r="R37" s="473"/>
      <c r="S37" s="470"/>
      <c r="T37" s="471"/>
      <c r="U37" s="176">
        <v>3</v>
      </c>
      <c r="V37" s="183"/>
      <c r="W37" s="169" t="str">
        <f t="shared" ref="W37:W64" si="14">IF(OR(AB37="Preventivo",AB37="Detectivo"),"Probabilidad",IF(AB37="Correctivo","Impacto",""))</f>
        <v/>
      </c>
      <c r="X37" s="169"/>
      <c r="Y37" s="169"/>
      <c r="Z37" s="169"/>
      <c r="AA37" s="169"/>
      <c r="AB37" s="195"/>
      <c r="AC37" s="195"/>
      <c r="AD37" s="97" t="str">
        <f t="shared" si="4"/>
        <v/>
      </c>
      <c r="AE37" s="195"/>
      <c r="AF37" s="195"/>
      <c r="AG37" s="195"/>
      <c r="AH37" s="142" t="str">
        <f>IFERROR(IF(AND(W36="Probabilidad",W37="Probabilidad"),(AJ36-(+AJ36*AD37)),IF(AND(W36="Impacto",W37="Probabilidad"),(AJ35-(+AJ35*AD37)),IF(W37="Impacto",AJ36,""))),"")</f>
        <v/>
      </c>
      <c r="AI37" s="130" t="str">
        <f t="shared" si="5"/>
        <v/>
      </c>
      <c r="AJ37" s="97" t="str">
        <f t="shared" ref="AJ37:AJ64" si="15">+AH37</f>
        <v/>
      </c>
      <c r="AK37" s="130" t="str">
        <f t="shared" si="7"/>
        <v/>
      </c>
      <c r="AL37" s="97" t="str">
        <f>IFERROR(IF(AND(W36="Impacto",W37="Impacto"),(AL36-(+AL36*AD37)),IF(AND(W36="Probabilidad",W37="Impacto"),(AL35-(+AL35*AD37)),IF(W37="Probabilidad",AL36,""))),"")</f>
        <v/>
      </c>
      <c r="AM37" s="98"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454"/>
      <c r="AO37" s="185"/>
      <c r="AP37" s="176"/>
      <c r="AQ37" s="188"/>
      <c r="AR37" s="188"/>
      <c r="AS37" s="185"/>
      <c r="AT37" s="99"/>
      <c r="AU37" s="170"/>
      <c r="AV37" s="188"/>
      <c r="AW37" s="185"/>
      <c r="AX37" s="99"/>
      <c r="AY37" s="170"/>
      <c r="AZ37" s="131"/>
      <c r="BA37" s="170"/>
      <c r="BB37" s="170"/>
      <c r="BC37" s="131"/>
      <c r="BD37" s="99"/>
      <c r="BE37" s="99"/>
      <c r="BF37" s="170"/>
      <c r="BG37" s="170"/>
      <c r="BH37" s="131"/>
      <c r="BI37" s="99"/>
      <c r="BJ37" s="99"/>
      <c r="BK37" s="185"/>
      <c r="BL37" s="185"/>
      <c r="BM37" s="176"/>
      <c r="BN37" s="188"/>
      <c r="BO37" s="188"/>
      <c r="BP37" s="170"/>
      <c r="BQ37" s="170"/>
      <c r="BR37" s="131"/>
      <c r="BS37" s="99"/>
      <c r="BT37" s="99"/>
      <c r="BU37" s="99"/>
      <c r="BV37" s="170"/>
      <c r="BW37" s="170"/>
      <c r="BX37" s="170"/>
      <c r="BY37" s="99"/>
      <c r="BZ37" s="170"/>
      <c r="CA37" s="170"/>
      <c r="CB37" s="99"/>
      <c r="CC37" s="170"/>
      <c r="CD37" s="131"/>
      <c r="CE37" s="170"/>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row>
    <row r="38" spans="1:109" ht="15.75" customHeight="1" x14ac:dyDescent="0.3">
      <c r="A38" s="445"/>
      <c r="B38" s="446"/>
      <c r="C38" s="446"/>
      <c r="D38" s="446"/>
      <c r="E38" s="472"/>
      <c r="F38" s="446"/>
      <c r="G38" s="446"/>
      <c r="H38" s="446"/>
      <c r="I38" s="185"/>
      <c r="J38" s="185"/>
      <c r="K38" s="446"/>
      <c r="L38" s="472"/>
      <c r="M38" s="445"/>
      <c r="N38" s="473"/>
      <c r="O38" s="470"/>
      <c r="P38" s="542"/>
      <c r="Q38" s="470">
        <f t="shared" si="13"/>
        <v>0</v>
      </c>
      <c r="R38" s="473"/>
      <c r="S38" s="470"/>
      <c r="T38" s="471"/>
      <c r="U38" s="176">
        <v>4</v>
      </c>
      <c r="V38" s="184"/>
      <c r="W38" s="169" t="str">
        <f t="shared" si="14"/>
        <v/>
      </c>
      <c r="X38" s="169"/>
      <c r="Y38" s="169"/>
      <c r="Z38" s="169"/>
      <c r="AA38" s="169"/>
      <c r="AB38" s="195"/>
      <c r="AC38" s="195"/>
      <c r="AD38" s="97" t="str">
        <f t="shared" si="4"/>
        <v/>
      </c>
      <c r="AE38" s="195"/>
      <c r="AF38" s="195"/>
      <c r="AG38" s="195"/>
      <c r="AH38" s="142" t="str">
        <f>IFERROR(IF(AND(W37="Probabilidad",W38="Probabilidad"),(AJ37-(+AJ37*AD38)),IF(AND(W37="Impacto",W38="Probabilidad"),(AJ36-(+AJ36*AD38)),IF(W38="Impacto",AJ37,""))),"")</f>
        <v/>
      </c>
      <c r="AI38" s="130" t="str">
        <f t="shared" si="5"/>
        <v/>
      </c>
      <c r="AJ38" s="97" t="str">
        <f t="shared" si="15"/>
        <v/>
      </c>
      <c r="AK38" s="130" t="str">
        <f t="shared" si="7"/>
        <v/>
      </c>
      <c r="AL38" s="97" t="str">
        <f>IFERROR(IF(AND(W37="Impacto",W38="Impacto"),(AL37-(+AL37*AD38)),IF(AND(W37="Probabilidad",W38="Impacto"),(AL36-(+AL36*AD38)),IF(W38="Probabilidad",AL37,""))),"")</f>
        <v/>
      </c>
      <c r="AM38" s="98" t="str">
        <f t="shared" si="16"/>
        <v/>
      </c>
      <c r="AN38" s="454"/>
      <c r="AO38" s="185"/>
      <c r="AP38" s="176"/>
      <c r="AQ38" s="188"/>
      <c r="AR38" s="188"/>
      <c r="AS38" s="185"/>
      <c r="AT38" s="99"/>
      <c r="AU38" s="170"/>
      <c r="AV38" s="188"/>
      <c r="AW38" s="185"/>
      <c r="AX38" s="99"/>
      <c r="AY38" s="170"/>
      <c r="AZ38" s="131"/>
      <c r="BA38" s="170"/>
      <c r="BB38" s="170"/>
      <c r="BC38" s="131"/>
      <c r="BD38" s="99"/>
      <c r="BE38" s="99"/>
      <c r="BF38" s="170"/>
      <c r="BG38" s="170"/>
      <c r="BH38" s="131"/>
      <c r="BI38" s="99"/>
      <c r="BJ38" s="99"/>
      <c r="BK38" s="185"/>
      <c r="BL38" s="185"/>
      <c r="BM38" s="176"/>
      <c r="BN38" s="188"/>
      <c r="BO38" s="188"/>
      <c r="BP38" s="170"/>
      <c r="BQ38" s="170"/>
      <c r="BR38" s="131"/>
      <c r="BS38" s="99"/>
      <c r="BT38" s="99"/>
      <c r="BU38" s="99"/>
      <c r="BV38" s="170"/>
      <c r="BW38" s="170"/>
      <c r="BX38" s="170"/>
      <c r="BY38" s="99"/>
      <c r="BZ38" s="170"/>
      <c r="CA38" s="170"/>
      <c r="CB38" s="99"/>
      <c r="CC38" s="170"/>
      <c r="CD38" s="131"/>
      <c r="CE38" s="170"/>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row>
    <row r="39" spans="1:109" ht="15.75" customHeight="1" x14ac:dyDescent="0.3">
      <c r="A39" s="445"/>
      <c r="B39" s="446"/>
      <c r="C39" s="446"/>
      <c r="D39" s="446"/>
      <c r="E39" s="472"/>
      <c r="F39" s="446"/>
      <c r="G39" s="446"/>
      <c r="H39" s="446"/>
      <c r="I39" s="185"/>
      <c r="J39" s="185"/>
      <c r="K39" s="446"/>
      <c r="L39" s="472"/>
      <c r="M39" s="445"/>
      <c r="N39" s="473"/>
      <c r="O39" s="470"/>
      <c r="P39" s="542"/>
      <c r="Q39" s="470">
        <f t="shared" si="13"/>
        <v>0</v>
      </c>
      <c r="R39" s="473"/>
      <c r="S39" s="470"/>
      <c r="T39" s="471"/>
      <c r="U39" s="176">
        <v>5</v>
      </c>
      <c r="V39" s="184"/>
      <c r="W39" s="169" t="str">
        <f t="shared" si="14"/>
        <v/>
      </c>
      <c r="X39" s="169"/>
      <c r="Y39" s="169"/>
      <c r="Z39" s="169"/>
      <c r="AA39" s="169"/>
      <c r="AB39" s="195"/>
      <c r="AC39" s="195"/>
      <c r="AD39" s="97" t="str">
        <f t="shared" si="4"/>
        <v/>
      </c>
      <c r="AE39" s="195"/>
      <c r="AF39" s="195"/>
      <c r="AG39" s="195"/>
      <c r="AH39" s="142" t="str">
        <f>IFERROR(IF(AND(W38="Probabilidad",W39="Probabilidad"),(AJ38-(+AJ38*AD39)),IF(AND(W38="Impacto",W39="Probabilidad"),(AJ37-(+AJ37*AD39)),IF(W39="Impacto",AJ38,""))),"")</f>
        <v/>
      </c>
      <c r="AI39" s="130" t="str">
        <f t="shared" si="5"/>
        <v/>
      </c>
      <c r="AJ39" s="97" t="str">
        <f t="shared" si="15"/>
        <v/>
      </c>
      <c r="AK39" s="130" t="str">
        <f t="shared" si="7"/>
        <v/>
      </c>
      <c r="AL39" s="97" t="str">
        <f>IFERROR(IF(AND(W38="Impacto",W39="Impacto"),(AL38-(+AL38*AD39)),IF(AND(W38="Probabilidad",W39="Impacto"),(AL37-(+AL37*AD39)),IF(W39="Probabilidad",AL38,""))),"")</f>
        <v/>
      </c>
      <c r="AM39" s="98" t="str">
        <f t="shared" si="16"/>
        <v/>
      </c>
      <c r="AN39" s="454"/>
      <c r="AO39" s="185"/>
      <c r="AP39" s="176"/>
      <c r="AQ39" s="188"/>
      <c r="AR39" s="188"/>
      <c r="AS39" s="185"/>
      <c r="AT39" s="99"/>
      <c r="AU39" s="170"/>
      <c r="AV39" s="188"/>
      <c r="AW39" s="185"/>
      <c r="AX39" s="99"/>
      <c r="AY39" s="170"/>
      <c r="AZ39" s="131"/>
      <c r="BA39" s="170"/>
      <c r="BB39" s="170"/>
      <c r="BC39" s="131"/>
      <c r="BD39" s="99"/>
      <c r="BE39" s="99"/>
      <c r="BF39" s="170"/>
      <c r="BG39" s="170"/>
      <c r="BH39" s="131"/>
      <c r="BI39" s="99"/>
      <c r="BJ39" s="99"/>
      <c r="BK39" s="185"/>
      <c r="BL39" s="185"/>
      <c r="BM39" s="176"/>
      <c r="BN39" s="188"/>
      <c r="BO39" s="188"/>
      <c r="BP39" s="170"/>
      <c r="BQ39" s="170"/>
      <c r="BR39" s="131"/>
      <c r="BS39" s="99"/>
      <c r="BT39" s="99"/>
      <c r="BU39" s="99"/>
      <c r="BV39" s="170"/>
      <c r="BW39" s="170"/>
      <c r="BX39" s="170"/>
      <c r="BY39" s="99"/>
      <c r="BZ39" s="170"/>
      <c r="CA39" s="170"/>
      <c r="CB39" s="99"/>
      <c r="CC39" s="170"/>
      <c r="CD39" s="131"/>
      <c r="CE39" s="170"/>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c r="DE39" s="134"/>
    </row>
    <row r="40" spans="1:109" ht="15.75" customHeight="1" x14ac:dyDescent="0.3">
      <c r="A40" s="445"/>
      <c r="B40" s="446"/>
      <c r="C40" s="446"/>
      <c r="D40" s="446"/>
      <c r="E40" s="472"/>
      <c r="F40" s="446"/>
      <c r="G40" s="446"/>
      <c r="H40" s="446"/>
      <c r="I40" s="185"/>
      <c r="J40" s="185"/>
      <c r="K40" s="446"/>
      <c r="L40" s="472"/>
      <c r="M40" s="445"/>
      <c r="N40" s="473"/>
      <c r="O40" s="470"/>
      <c r="P40" s="542"/>
      <c r="Q40" s="470">
        <f t="shared" si="13"/>
        <v>0</v>
      </c>
      <c r="R40" s="473"/>
      <c r="S40" s="470"/>
      <c r="T40" s="471"/>
      <c r="U40" s="176">
        <v>6</v>
      </c>
      <c r="V40" s="184"/>
      <c r="W40" s="169" t="str">
        <f t="shared" si="14"/>
        <v/>
      </c>
      <c r="X40" s="169"/>
      <c r="Y40" s="169"/>
      <c r="Z40" s="169"/>
      <c r="AA40" s="169"/>
      <c r="AB40" s="195"/>
      <c r="AC40" s="195"/>
      <c r="AD40" s="97" t="str">
        <f t="shared" si="4"/>
        <v/>
      </c>
      <c r="AE40" s="195"/>
      <c r="AF40" s="195"/>
      <c r="AG40" s="195"/>
      <c r="AH40" s="142" t="str">
        <f>IFERROR(IF(AND(W39="Probabilidad",W40="Probabilidad"),(AJ39-(+AJ39*AD40)),IF(AND(W39="Impacto",W40="Probabilidad"),(AJ38-(+AJ38*AD40)),IF(W40="Impacto",AJ39,""))),"")</f>
        <v/>
      </c>
      <c r="AI40" s="130" t="str">
        <f t="shared" si="5"/>
        <v/>
      </c>
      <c r="AJ40" s="97" t="str">
        <f t="shared" si="15"/>
        <v/>
      </c>
      <c r="AK40" s="130" t="str">
        <f>IFERROR(IF(AL40="","",IF(AL40&lt;=0.2,"Leve",IF(AL40&lt;=0.4,"Menor",IF(AL40&lt;=0.6,"Moderado",IF(AL40&lt;=0.8,"Mayor","Catastrófico"))))),"")</f>
        <v/>
      </c>
      <c r="AL40" s="97" t="str">
        <f>IFERROR(IF(AND(W39="Impacto",W40="Impacto"),(AL39-(+AL39*AD40)),IF(AND(W39="Probabilidad",W40="Impacto"),(AL38-(+AL38*AD40)),IF(W40="Probabilidad",AL39,""))),"")</f>
        <v/>
      </c>
      <c r="AM40" s="98" t="str">
        <f t="shared" si="16"/>
        <v/>
      </c>
      <c r="AN40" s="455"/>
      <c r="AO40" s="185"/>
      <c r="AP40" s="176"/>
      <c r="AQ40" s="188"/>
      <c r="AR40" s="188"/>
      <c r="AS40" s="185"/>
      <c r="AT40" s="99"/>
      <c r="AU40" s="170"/>
      <c r="AV40" s="188"/>
      <c r="AW40" s="185"/>
      <c r="AX40" s="99"/>
      <c r="AY40" s="170"/>
      <c r="AZ40" s="131"/>
      <c r="BA40" s="170"/>
      <c r="BB40" s="170"/>
      <c r="BC40" s="131"/>
      <c r="BD40" s="99"/>
      <c r="BE40" s="99"/>
      <c r="BF40" s="170"/>
      <c r="BG40" s="170"/>
      <c r="BH40" s="131"/>
      <c r="BI40" s="99"/>
      <c r="BJ40" s="99"/>
      <c r="BK40" s="185"/>
      <c r="BL40" s="185"/>
      <c r="BM40" s="176"/>
      <c r="BN40" s="188"/>
      <c r="BO40" s="188"/>
      <c r="BP40" s="170"/>
      <c r="BQ40" s="170"/>
      <c r="BR40" s="131"/>
      <c r="BS40" s="99"/>
      <c r="BT40" s="99"/>
      <c r="BU40" s="99"/>
      <c r="BV40" s="170"/>
      <c r="BW40" s="170"/>
      <c r="BX40" s="170"/>
      <c r="BY40" s="99"/>
      <c r="BZ40" s="170"/>
      <c r="CA40" s="170"/>
      <c r="CB40" s="99"/>
      <c r="CC40" s="170"/>
      <c r="CD40" s="131"/>
      <c r="CE40" s="170"/>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row>
    <row r="41" spans="1:109" ht="15.75" customHeight="1" x14ac:dyDescent="0.3">
      <c r="A41" s="445">
        <v>7</v>
      </c>
      <c r="B41" s="446"/>
      <c r="C41" s="446"/>
      <c r="D41" s="446"/>
      <c r="E41" s="472"/>
      <c r="F41" s="446"/>
      <c r="G41" s="446"/>
      <c r="H41" s="446"/>
      <c r="I41" s="185"/>
      <c r="J41" s="185"/>
      <c r="K41" s="446"/>
      <c r="L41" s="472"/>
      <c r="M41" s="445"/>
      <c r="N41" s="473" t="str">
        <f>IF(M41&lt;=0,"",IF(M41&lt;=2,"Muy Baja",IF(M41&lt;=24,"Baja",IF(M41&lt;=500,"Media",IF(M41&lt;=5000,"Alta","Muy Alta")))))</f>
        <v/>
      </c>
      <c r="O41" s="470" t="str">
        <f>IF(N41="","",IF(N41="Muy Baja",0.2,IF(N41="Baja",0.4,IF(N41="Media",0.6,IF(N41="Alta",0.8,IF(N41="Muy Alta",1,))))))</f>
        <v/>
      </c>
      <c r="P41" s="542"/>
      <c r="Q41" s="470">
        <f ca="1">IF(NOT(ISERROR(MATCH(P41,'Tabla Impacto'!$B$221:$B$223,0))),'Tabla Impacto'!$F$223&amp;"Por favor no seleccionar los criterios de impacto(Afectación Económica o presupuestal y Pérdida Reputacional)",P41)</f>
        <v>0</v>
      </c>
      <c r="R41" s="473" t="str">
        <f ca="1">IF(OR(Q41='Tabla Impacto'!$C$11,Q41='Tabla Impacto'!$D$11),"Leve",IF(OR(Q41='Tabla Impacto'!$C$12,Q41='Tabla Impacto'!$D$12),"Menor",IF(OR(Q41='Tabla Impacto'!$C$13,Q41='Tabla Impacto'!$D$13),"Moderado",IF(OR(Q41='Tabla Impacto'!$C$14,Q41='Tabla Impacto'!$D$14),"Mayor",IF(OR(Q41='Tabla Impacto'!$C$15,Q41='Tabla Impacto'!$D$15),"Catastrófico","")))))</f>
        <v/>
      </c>
      <c r="S41" s="470" t="str">
        <f ca="1">IF(R41="","",IF(R41="Leve",0.2,IF(R41="Menor",0.4,IF(R41="Moderado",0.6,IF(R41="Mayor",0.8,IF(R41="Catastrófico",1,))))))</f>
        <v/>
      </c>
      <c r="T41" s="471"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76">
        <v>1</v>
      </c>
      <c r="V41" s="184"/>
      <c r="W41" s="169" t="str">
        <f t="shared" si="14"/>
        <v/>
      </c>
      <c r="X41" s="169"/>
      <c r="Y41" s="169"/>
      <c r="Z41" s="169"/>
      <c r="AA41" s="169"/>
      <c r="AB41" s="195"/>
      <c r="AC41" s="195"/>
      <c r="AD41" s="97" t="str">
        <f t="shared" si="4"/>
        <v/>
      </c>
      <c r="AE41" s="195"/>
      <c r="AF41" s="195"/>
      <c r="AG41" s="195"/>
      <c r="AH41" s="142" t="str">
        <f>IFERROR(IF(W41="Probabilidad",(O41-(+O41*AD41)),IF(W41="Impacto",O41,"")),"")</f>
        <v/>
      </c>
      <c r="AI41" s="130" t="str">
        <f>IFERROR(IF(AH41="","",IF(AH41&lt;=0.2,"Muy Baja",IF(AH41&lt;=0.4,"Baja",IF(AH41&lt;=0.6,"Media",IF(AH41&lt;=0.8,"Alta","Muy Alta"))))),"")</f>
        <v/>
      </c>
      <c r="AJ41" s="97" t="str">
        <f t="shared" si="15"/>
        <v/>
      </c>
      <c r="AK41" s="130" t="str">
        <f>IFERROR(IF(AL41="","",IF(AL41&lt;=0.2,"Leve",IF(AL41&lt;=0.4,"Menor",IF(AL41&lt;=0.6,"Moderado",IF(AL41&lt;=0.8,"Mayor","Catastrófico"))))),"")</f>
        <v/>
      </c>
      <c r="AL41" s="97" t="str">
        <f>IFERROR(IF(W41="Impacto",(S41-(+S41*AD41)),IF(W41="Probabilidad",S41,"")),"")</f>
        <v/>
      </c>
      <c r="AM41" s="98" t="str">
        <f t="shared" si="16"/>
        <v/>
      </c>
      <c r="AN41" s="453"/>
      <c r="AO41" s="185"/>
      <c r="AP41" s="176"/>
      <c r="AQ41" s="188"/>
      <c r="AR41" s="188"/>
      <c r="AS41" s="185"/>
      <c r="AT41" s="99"/>
      <c r="AU41" s="170"/>
      <c r="AV41" s="188"/>
      <c r="AW41" s="185"/>
      <c r="AX41" s="99"/>
      <c r="AY41" s="170"/>
      <c r="AZ41" s="131"/>
      <c r="BA41" s="170"/>
      <c r="BB41" s="170"/>
      <c r="BC41" s="131"/>
      <c r="BD41" s="99"/>
      <c r="BE41" s="99"/>
      <c r="BF41" s="170"/>
      <c r="BG41" s="170"/>
      <c r="BH41" s="131"/>
      <c r="BI41" s="99"/>
      <c r="BJ41" s="99"/>
      <c r="BK41" s="185"/>
      <c r="BL41" s="185"/>
      <c r="BM41" s="176"/>
      <c r="BN41" s="188"/>
      <c r="BO41" s="188"/>
      <c r="BP41" s="170"/>
      <c r="BQ41" s="170"/>
      <c r="BR41" s="131"/>
      <c r="BS41" s="99"/>
      <c r="BT41" s="99"/>
      <c r="BU41" s="99"/>
      <c r="BV41" s="170"/>
      <c r="BW41" s="170"/>
      <c r="BX41" s="170"/>
      <c r="BY41" s="99"/>
      <c r="BZ41" s="170"/>
      <c r="CA41" s="170"/>
      <c r="CB41" s="99"/>
      <c r="CC41" s="170"/>
      <c r="CD41" s="131"/>
      <c r="CE41" s="170"/>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row>
    <row r="42" spans="1:109" ht="15.75" customHeight="1" x14ac:dyDescent="0.3">
      <c r="A42" s="445"/>
      <c r="B42" s="446"/>
      <c r="C42" s="446"/>
      <c r="D42" s="446"/>
      <c r="E42" s="472"/>
      <c r="F42" s="446"/>
      <c r="G42" s="446"/>
      <c r="H42" s="446"/>
      <c r="I42" s="185"/>
      <c r="J42" s="185"/>
      <c r="K42" s="446"/>
      <c r="L42" s="472"/>
      <c r="M42" s="445"/>
      <c r="N42" s="473"/>
      <c r="O42" s="470"/>
      <c r="P42" s="542"/>
      <c r="Q42" s="470">
        <f t="shared" ref="Q42:Q46" si="17">IF(NOT(ISERROR(MATCH(P42,_xlfn.ANCHORARRAY(E53),0))),O55&amp;"Por favor no seleccionar los criterios de impacto",P42)</f>
        <v>0</v>
      </c>
      <c r="R42" s="473"/>
      <c r="S42" s="470"/>
      <c r="T42" s="471"/>
      <c r="U42" s="176">
        <v>2</v>
      </c>
      <c r="V42" s="184"/>
      <c r="W42" s="169" t="str">
        <f t="shared" si="14"/>
        <v/>
      </c>
      <c r="X42" s="169"/>
      <c r="Y42" s="169"/>
      <c r="Z42" s="169"/>
      <c r="AA42" s="169"/>
      <c r="AB42" s="195"/>
      <c r="AC42" s="195"/>
      <c r="AD42" s="97" t="str">
        <f t="shared" si="4"/>
        <v/>
      </c>
      <c r="AE42" s="195"/>
      <c r="AF42" s="195"/>
      <c r="AG42" s="195"/>
      <c r="AH42" s="142" t="str">
        <f>IFERROR(IF(AND(W41="Probabilidad",W42="Probabilidad"),(AJ41-(+AJ41*AD42)),IF(W42="Probabilidad",(O41-(+O41*AD42)),IF(W42="Impacto",AJ41,""))),"")</f>
        <v/>
      </c>
      <c r="AI42" s="130" t="str">
        <f t="shared" si="5"/>
        <v/>
      </c>
      <c r="AJ42" s="97" t="str">
        <f t="shared" si="15"/>
        <v/>
      </c>
      <c r="AK42" s="130" t="str">
        <f t="shared" si="7"/>
        <v/>
      </c>
      <c r="AL42" s="97" t="str">
        <f>IFERROR(IF(AND(W41="Impacto",W42="Impacto"),(AL35-(+AL35*AD42)),IF(W42="Impacto",($S$41-(+$S$41*AD42)),IF(W42="Probabilidad",AL35,""))),"")</f>
        <v/>
      </c>
      <c r="AM42" s="98" t="str">
        <f t="shared" si="16"/>
        <v/>
      </c>
      <c r="AN42" s="454"/>
      <c r="AO42" s="185"/>
      <c r="AP42" s="176"/>
      <c r="AQ42" s="188"/>
      <c r="AR42" s="188"/>
      <c r="AS42" s="185"/>
      <c r="AT42" s="99"/>
      <c r="AU42" s="170"/>
      <c r="AV42" s="188"/>
      <c r="AW42" s="185"/>
      <c r="AX42" s="99"/>
      <c r="AY42" s="170"/>
      <c r="AZ42" s="131"/>
      <c r="BA42" s="170"/>
      <c r="BB42" s="170"/>
      <c r="BC42" s="131"/>
      <c r="BD42" s="99"/>
      <c r="BE42" s="99"/>
      <c r="BF42" s="170"/>
      <c r="BG42" s="170"/>
      <c r="BH42" s="131"/>
      <c r="BI42" s="99"/>
      <c r="BJ42" s="99"/>
      <c r="BK42" s="185"/>
      <c r="BL42" s="185"/>
      <c r="BM42" s="176"/>
      <c r="BN42" s="188"/>
      <c r="BO42" s="188"/>
      <c r="BP42" s="170"/>
      <c r="BQ42" s="170"/>
      <c r="BR42" s="131"/>
      <c r="BS42" s="99"/>
      <c r="BT42" s="99"/>
      <c r="BU42" s="99"/>
      <c r="BV42" s="170"/>
      <c r="BW42" s="170"/>
      <c r="BX42" s="170"/>
      <c r="BY42" s="99"/>
      <c r="BZ42" s="170"/>
      <c r="CA42" s="170"/>
      <c r="CB42" s="99"/>
      <c r="CC42" s="170"/>
      <c r="CD42" s="131"/>
      <c r="CE42" s="170"/>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row>
    <row r="43" spans="1:109" ht="15.75" customHeight="1" x14ac:dyDescent="0.3">
      <c r="A43" s="445"/>
      <c r="B43" s="446"/>
      <c r="C43" s="446"/>
      <c r="D43" s="446"/>
      <c r="E43" s="472"/>
      <c r="F43" s="446"/>
      <c r="G43" s="446"/>
      <c r="H43" s="446"/>
      <c r="I43" s="185"/>
      <c r="J43" s="185"/>
      <c r="K43" s="446"/>
      <c r="L43" s="472"/>
      <c r="M43" s="445"/>
      <c r="N43" s="473"/>
      <c r="O43" s="470"/>
      <c r="P43" s="542"/>
      <c r="Q43" s="470">
        <f t="shared" si="17"/>
        <v>0</v>
      </c>
      <c r="R43" s="473"/>
      <c r="S43" s="470"/>
      <c r="T43" s="471"/>
      <c r="U43" s="176">
        <v>3</v>
      </c>
      <c r="V43" s="183"/>
      <c r="W43" s="169" t="str">
        <f t="shared" si="14"/>
        <v/>
      </c>
      <c r="X43" s="169"/>
      <c r="Y43" s="169"/>
      <c r="Z43" s="169"/>
      <c r="AA43" s="169"/>
      <c r="AB43" s="195"/>
      <c r="AC43" s="195"/>
      <c r="AD43" s="97" t="str">
        <f t="shared" si="4"/>
        <v/>
      </c>
      <c r="AE43" s="195"/>
      <c r="AF43" s="195"/>
      <c r="AG43" s="195"/>
      <c r="AH43" s="142" t="str">
        <f>IFERROR(IF(AND(W42="Probabilidad",W43="Probabilidad"),(AJ42-(+AJ42*AD43)),IF(AND(W42="Impacto",W43="Probabilidad"),(AJ41-(+AJ41*AD43)),IF(W43="Impacto",AJ42,""))),"")</f>
        <v/>
      </c>
      <c r="AI43" s="130" t="str">
        <f t="shared" si="5"/>
        <v/>
      </c>
      <c r="AJ43" s="97" t="str">
        <f t="shared" si="15"/>
        <v/>
      </c>
      <c r="AK43" s="130" t="str">
        <f t="shared" si="7"/>
        <v/>
      </c>
      <c r="AL43" s="97" t="str">
        <f>IFERROR(IF(AND(W42="Impacto",W43="Impacto"),(AL42-(+AL42*AD43)),IF(AND(W42="Probabilidad",W43="Impacto"),(AL41-(+AL41*AD43)),IF(W43="Probabilidad",AL42,""))),"")</f>
        <v/>
      </c>
      <c r="AM43" s="98" t="str">
        <f t="shared" si="16"/>
        <v/>
      </c>
      <c r="AN43" s="454"/>
      <c r="AO43" s="185"/>
      <c r="AP43" s="176"/>
      <c r="AQ43" s="188"/>
      <c r="AR43" s="188"/>
      <c r="AS43" s="185"/>
      <c r="AT43" s="99"/>
      <c r="AU43" s="170"/>
      <c r="AV43" s="188"/>
      <c r="AW43" s="185"/>
      <c r="AX43" s="99"/>
      <c r="AY43" s="170"/>
      <c r="AZ43" s="131"/>
      <c r="BA43" s="170"/>
      <c r="BB43" s="170"/>
      <c r="BC43" s="131"/>
      <c r="BD43" s="99"/>
      <c r="BE43" s="99"/>
      <c r="BF43" s="170"/>
      <c r="BG43" s="170"/>
      <c r="BH43" s="131"/>
      <c r="BI43" s="99"/>
      <c r="BJ43" s="99"/>
      <c r="BK43" s="185"/>
      <c r="BL43" s="185"/>
      <c r="BM43" s="176"/>
      <c r="BN43" s="188"/>
      <c r="BO43" s="188"/>
      <c r="BP43" s="170"/>
      <c r="BQ43" s="170"/>
      <c r="BR43" s="131"/>
      <c r="BS43" s="99"/>
      <c r="BT43" s="99"/>
      <c r="BU43" s="99"/>
      <c r="BV43" s="170"/>
      <c r="BW43" s="170"/>
      <c r="BX43" s="170"/>
      <c r="BY43" s="99"/>
      <c r="BZ43" s="170"/>
      <c r="CA43" s="170"/>
      <c r="CB43" s="99"/>
      <c r="CC43" s="170"/>
      <c r="CD43" s="131"/>
      <c r="CE43" s="170"/>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row>
    <row r="44" spans="1:109" ht="15.75" customHeight="1" x14ac:dyDescent="0.3">
      <c r="A44" s="445"/>
      <c r="B44" s="446"/>
      <c r="C44" s="446"/>
      <c r="D44" s="446"/>
      <c r="E44" s="472"/>
      <c r="F44" s="446"/>
      <c r="G44" s="446"/>
      <c r="H44" s="446"/>
      <c r="I44" s="185"/>
      <c r="J44" s="185"/>
      <c r="K44" s="446"/>
      <c r="L44" s="472"/>
      <c r="M44" s="445"/>
      <c r="N44" s="473"/>
      <c r="O44" s="470"/>
      <c r="P44" s="542"/>
      <c r="Q44" s="470">
        <f t="shared" si="17"/>
        <v>0</v>
      </c>
      <c r="R44" s="473"/>
      <c r="S44" s="470"/>
      <c r="T44" s="471"/>
      <c r="U44" s="176">
        <v>4</v>
      </c>
      <c r="V44" s="184"/>
      <c r="W44" s="169" t="str">
        <f t="shared" si="14"/>
        <v/>
      </c>
      <c r="X44" s="169"/>
      <c r="Y44" s="169"/>
      <c r="Z44" s="169"/>
      <c r="AA44" s="169"/>
      <c r="AB44" s="195"/>
      <c r="AC44" s="195"/>
      <c r="AD44" s="97" t="str">
        <f t="shared" si="4"/>
        <v/>
      </c>
      <c r="AE44" s="195"/>
      <c r="AF44" s="195"/>
      <c r="AG44" s="195"/>
      <c r="AH44" s="142" t="str">
        <f>IFERROR(IF(AND(W43="Probabilidad",W44="Probabilidad"),(AJ43-(+AJ43*AD44)),IF(AND(W43="Impacto",W44="Probabilidad"),(AJ42-(+AJ42*AD44)),IF(W44="Impacto",AJ43,""))),"")</f>
        <v/>
      </c>
      <c r="AI44" s="130" t="str">
        <f t="shared" si="5"/>
        <v/>
      </c>
      <c r="AJ44" s="97" t="str">
        <f t="shared" si="15"/>
        <v/>
      </c>
      <c r="AK44" s="130" t="str">
        <f t="shared" si="7"/>
        <v/>
      </c>
      <c r="AL44" s="97" t="str">
        <f>IFERROR(IF(AND(W43="Impacto",W44="Impacto"),(AL43-(+AL43*AD44)),IF(AND(W43="Probabilidad",W44="Impacto"),(AL42-(+AL42*AD44)),IF(W44="Probabilidad",AL43,""))),"")</f>
        <v/>
      </c>
      <c r="AM44" s="98" t="str">
        <f t="shared" si="16"/>
        <v/>
      </c>
      <c r="AN44" s="454"/>
      <c r="AO44" s="185"/>
      <c r="AP44" s="176"/>
      <c r="AQ44" s="188"/>
      <c r="AR44" s="188"/>
      <c r="AS44" s="185"/>
      <c r="AT44" s="99"/>
      <c r="AU44" s="170"/>
      <c r="AV44" s="188"/>
      <c r="AW44" s="185"/>
      <c r="AX44" s="99"/>
      <c r="AY44" s="170"/>
      <c r="AZ44" s="131"/>
      <c r="BA44" s="170"/>
      <c r="BB44" s="170"/>
      <c r="BC44" s="131"/>
      <c r="BD44" s="99"/>
      <c r="BE44" s="99"/>
      <c r="BF44" s="170"/>
      <c r="BG44" s="170"/>
      <c r="BH44" s="131"/>
      <c r="BI44" s="99"/>
      <c r="BJ44" s="99"/>
      <c r="BK44" s="185"/>
      <c r="BL44" s="185"/>
      <c r="BM44" s="176"/>
      <c r="BN44" s="188"/>
      <c r="BO44" s="188"/>
      <c r="BP44" s="170"/>
      <c r="BQ44" s="170"/>
      <c r="BR44" s="131"/>
      <c r="BS44" s="99"/>
      <c r="BT44" s="99"/>
      <c r="BU44" s="99"/>
      <c r="BV44" s="170"/>
      <c r="BW44" s="170"/>
      <c r="BX44" s="170"/>
      <c r="BY44" s="99"/>
      <c r="BZ44" s="170"/>
      <c r="CA44" s="170"/>
      <c r="CB44" s="99"/>
      <c r="CC44" s="170"/>
      <c r="CD44" s="131"/>
      <c r="CE44" s="170"/>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row>
    <row r="45" spans="1:109" ht="15.75" customHeight="1" x14ac:dyDescent="0.3">
      <c r="A45" s="445"/>
      <c r="B45" s="446"/>
      <c r="C45" s="446"/>
      <c r="D45" s="446"/>
      <c r="E45" s="472"/>
      <c r="F45" s="446"/>
      <c r="G45" s="446"/>
      <c r="H45" s="446"/>
      <c r="I45" s="185"/>
      <c r="J45" s="185"/>
      <c r="K45" s="446"/>
      <c r="L45" s="472"/>
      <c r="M45" s="445"/>
      <c r="N45" s="473"/>
      <c r="O45" s="470"/>
      <c r="P45" s="542"/>
      <c r="Q45" s="470">
        <f t="shared" si="17"/>
        <v>0</v>
      </c>
      <c r="R45" s="473"/>
      <c r="S45" s="470"/>
      <c r="T45" s="471"/>
      <c r="U45" s="176">
        <v>5</v>
      </c>
      <c r="V45" s="184"/>
      <c r="W45" s="169" t="str">
        <f t="shared" si="14"/>
        <v/>
      </c>
      <c r="X45" s="169"/>
      <c r="Y45" s="169"/>
      <c r="Z45" s="169"/>
      <c r="AA45" s="169"/>
      <c r="AB45" s="195"/>
      <c r="AC45" s="195"/>
      <c r="AD45" s="97" t="str">
        <f t="shared" si="4"/>
        <v/>
      </c>
      <c r="AE45" s="195"/>
      <c r="AF45" s="195"/>
      <c r="AG45" s="195"/>
      <c r="AH45" s="142" t="str">
        <f>IFERROR(IF(AND(W44="Probabilidad",W45="Probabilidad"),(AJ44-(+AJ44*AD45)),IF(AND(W44="Impacto",W45="Probabilidad"),(AJ43-(+AJ43*AD45)),IF(W45="Impacto",AJ44,""))),"")</f>
        <v/>
      </c>
      <c r="AI45" s="130" t="str">
        <f t="shared" si="5"/>
        <v/>
      </c>
      <c r="AJ45" s="97" t="str">
        <f t="shared" si="15"/>
        <v/>
      </c>
      <c r="AK45" s="130" t="str">
        <f t="shared" si="7"/>
        <v/>
      </c>
      <c r="AL45" s="97" t="str">
        <f>IFERROR(IF(AND(W44="Impacto",W45="Impacto"),(AL44-(+AL44*AD45)),IF(AND(W44="Probabilidad",W45="Impacto"),(AL43-(+AL43*AD45)),IF(W45="Probabilidad",AL44,""))),"")</f>
        <v/>
      </c>
      <c r="AM45" s="98" t="str">
        <f t="shared" si="16"/>
        <v/>
      </c>
      <c r="AN45" s="454"/>
      <c r="AO45" s="185"/>
      <c r="AP45" s="176"/>
      <c r="AQ45" s="188"/>
      <c r="AR45" s="188"/>
      <c r="AS45" s="185"/>
      <c r="AT45" s="99"/>
      <c r="AU45" s="170"/>
      <c r="AV45" s="188"/>
      <c r="AW45" s="185"/>
      <c r="AX45" s="99"/>
      <c r="AY45" s="170"/>
      <c r="AZ45" s="131"/>
      <c r="BA45" s="170"/>
      <c r="BB45" s="170"/>
      <c r="BC45" s="131"/>
      <c r="BD45" s="99"/>
      <c r="BE45" s="99"/>
      <c r="BF45" s="170"/>
      <c r="BG45" s="170"/>
      <c r="BH45" s="131"/>
      <c r="BI45" s="99"/>
      <c r="BJ45" s="99"/>
      <c r="BK45" s="185"/>
      <c r="BL45" s="185"/>
      <c r="BM45" s="176"/>
      <c r="BN45" s="188"/>
      <c r="BO45" s="188"/>
      <c r="BP45" s="170"/>
      <c r="BQ45" s="170"/>
      <c r="BR45" s="131"/>
      <c r="BS45" s="99"/>
      <c r="BT45" s="99"/>
      <c r="BU45" s="99"/>
      <c r="BV45" s="170"/>
      <c r="BW45" s="170"/>
      <c r="BX45" s="170"/>
      <c r="BY45" s="99"/>
      <c r="BZ45" s="170"/>
      <c r="CA45" s="170"/>
      <c r="CB45" s="99"/>
      <c r="CC45" s="170"/>
      <c r="CD45" s="131"/>
      <c r="CE45" s="170"/>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row>
    <row r="46" spans="1:109" ht="15.75" customHeight="1" x14ac:dyDescent="0.3">
      <c r="A46" s="445"/>
      <c r="B46" s="446"/>
      <c r="C46" s="446"/>
      <c r="D46" s="446"/>
      <c r="E46" s="472"/>
      <c r="F46" s="446"/>
      <c r="G46" s="446"/>
      <c r="H46" s="446"/>
      <c r="I46" s="185"/>
      <c r="J46" s="185"/>
      <c r="K46" s="446"/>
      <c r="L46" s="472"/>
      <c r="M46" s="445"/>
      <c r="N46" s="473"/>
      <c r="O46" s="470"/>
      <c r="P46" s="542"/>
      <c r="Q46" s="470">
        <f t="shared" si="17"/>
        <v>0</v>
      </c>
      <c r="R46" s="473"/>
      <c r="S46" s="470"/>
      <c r="T46" s="471"/>
      <c r="U46" s="176">
        <v>6</v>
      </c>
      <c r="V46" s="184"/>
      <c r="W46" s="169" t="str">
        <f t="shared" si="14"/>
        <v/>
      </c>
      <c r="X46" s="169"/>
      <c r="Y46" s="169"/>
      <c r="Z46" s="169"/>
      <c r="AA46" s="169"/>
      <c r="AB46" s="195"/>
      <c r="AC46" s="195"/>
      <c r="AD46" s="97" t="str">
        <f t="shared" si="4"/>
        <v/>
      </c>
      <c r="AE46" s="195"/>
      <c r="AF46" s="195"/>
      <c r="AG46" s="195"/>
      <c r="AH46" s="142" t="str">
        <f>IFERROR(IF(AND(W45="Probabilidad",W46="Probabilidad"),(AJ45-(+AJ45*AD46)),IF(AND(W45="Impacto",W46="Probabilidad"),(AJ44-(+AJ44*AD46)),IF(W46="Impacto",AJ45,""))),"")</f>
        <v/>
      </c>
      <c r="AI46" s="130" t="str">
        <f t="shared" si="5"/>
        <v/>
      </c>
      <c r="AJ46" s="97" t="str">
        <f t="shared" si="15"/>
        <v/>
      </c>
      <c r="AK46" s="130" t="str">
        <f t="shared" si="7"/>
        <v/>
      </c>
      <c r="AL46" s="97" t="str">
        <f>IFERROR(IF(AND(W45="Impacto",W46="Impacto"),(AL45-(+AL45*AD46)),IF(AND(W45="Probabilidad",W46="Impacto"),(AL44-(+AL44*AD46)),IF(W46="Probabilidad",AL45,""))),"")</f>
        <v/>
      </c>
      <c r="AM46" s="98" t="str">
        <f t="shared" si="16"/>
        <v/>
      </c>
      <c r="AN46" s="455"/>
      <c r="AO46" s="185"/>
      <c r="AP46" s="176"/>
      <c r="AQ46" s="188"/>
      <c r="AR46" s="188"/>
      <c r="AS46" s="185"/>
      <c r="AT46" s="99"/>
      <c r="AU46" s="170"/>
      <c r="AV46" s="188"/>
      <c r="AW46" s="185"/>
      <c r="AX46" s="99"/>
      <c r="AY46" s="170"/>
      <c r="AZ46" s="131"/>
      <c r="BA46" s="170"/>
      <c r="BB46" s="170"/>
      <c r="BC46" s="131"/>
      <c r="BD46" s="99"/>
      <c r="BE46" s="99"/>
      <c r="BF46" s="170"/>
      <c r="BG46" s="170"/>
      <c r="BH46" s="131"/>
      <c r="BI46" s="99"/>
      <c r="BJ46" s="99"/>
      <c r="BK46" s="185"/>
      <c r="BL46" s="185"/>
      <c r="BM46" s="176"/>
      <c r="BN46" s="188"/>
      <c r="BO46" s="188"/>
      <c r="BP46" s="170"/>
      <c r="BQ46" s="170"/>
      <c r="BR46" s="131"/>
      <c r="BS46" s="99"/>
      <c r="BT46" s="99"/>
      <c r="BU46" s="99"/>
      <c r="BV46" s="170"/>
      <c r="BW46" s="170"/>
      <c r="BX46" s="170"/>
      <c r="BY46" s="99"/>
      <c r="BZ46" s="170"/>
      <c r="CA46" s="170"/>
      <c r="CB46" s="99"/>
      <c r="CC46" s="170"/>
      <c r="CD46" s="131"/>
      <c r="CE46" s="170"/>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row>
    <row r="47" spans="1:109" ht="15.75" customHeight="1" x14ac:dyDescent="0.3">
      <c r="A47" s="445">
        <v>8</v>
      </c>
      <c r="B47" s="446"/>
      <c r="C47" s="446"/>
      <c r="D47" s="446"/>
      <c r="E47" s="472"/>
      <c r="F47" s="446"/>
      <c r="G47" s="446"/>
      <c r="H47" s="446"/>
      <c r="I47" s="185"/>
      <c r="J47" s="185"/>
      <c r="K47" s="446"/>
      <c r="L47" s="472"/>
      <c r="M47" s="445"/>
      <c r="N47" s="473" t="str">
        <f>IF(M47&lt;=0,"",IF(M47&lt;=2,"Muy Baja",IF(M47&lt;=24,"Baja",IF(M47&lt;=500,"Media",IF(M47&lt;=5000,"Alta","Muy Alta")))))</f>
        <v/>
      </c>
      <c r="O47" s="470" t="str">
        <f>IF(N47="","",IF(N47="Muy Baja",0.2,IF(N47="Baja",0.4,IF(N47="Media",0.6,IF(N47="Alta",0.8,IF(N47="Muy Alta",1,))))))</f>
        <v/>
      </c>
      <c r="P47" s="542"/>
      <c r="Q47" s="470">
        <f ca="1">IF(NOT(ISERROR(MATCH(P47,'Tabla Impacto'!$B$221:$B$223,0))),'Tabla Impacto'!$F$223&amp;"Por favor no seleccionar los criterios de impacto(Afectación Económica o presupuestal y Pérdida Reputacional)",P47)</f>
        <v>0</v>
      </c>
      <c r="R47" s="473" t="str">
        <f ca="1">IF(OR(Q47='Tabla Impacto'!$C$11,Q47='Tabla Impacto'!$D$11),"Leve",IF(OR(Q47='Tabla Impacto'!$C$12,Q47='Tabla Impacto'!$D$12),"Menor",IF(OR(Q47='Tabla Impacto'!$C$13,Q47='Tabla Impacto'!$D$13),"Moderado",IF(OR(Q47='Tabla Impacto'!$C$14,Q47='Tabla Impacto'!$D$14),"Mayor",IF(OR(Q47='Tabla Impacto'!$C$15,Q47='Tabla Impacto'!$D$15),"Catastrófico","")))))</f>
        <v/>
      </c>
      <c r="S47" s="470" t="str">
        <f ca="1">IF(R47="","",IF(R47="Leve",0.2,IF(R47="Menor",0.4,IF(R47="Moderado",0.6,IF(R47="Mayor",0.8,IF(R47="Catastrófico",1,))))))</f>
        <v/>
      </c>
      <c r="T47" s="471"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76">
        <v>1</v>
      </c>
      <c r="V47" s="184"/>
      <c r="W47" s="169" t="str">
        <f t="shared" si="14"/>
        <v/>
      </c>
      <c r="X47" s="169"/>
      <c r="Y47" s="169"/>
      <c r="Z47" s="169"/>
      <c r="AA47" s="169"/>
      <c r="AB47" s="195"/>
      <c r="AC47" s="195"/>
      <c r="AD47" s="97" t="str">
        <f t="shared" si="4"/>
        <v/>
      </c>
      <c r="AE47" s="195"/>
      <c r="AF47" s="195"/>
      <c r="AG47" s="195"/>
      <c r="AH47" s="142" t="str">
        <f>IFERROR(IF(W47="Probabilidad",(O47-(+O47*AD47)),IF(W47="Impacto",O47,"")),"")</f>
        <v/>
      </c>
      <c r="AI47" s="130" t="str">
        <f>IFERROR(IF(AH47="","",IF(AH47&lt;=0.2,"Muy Baja",IF(AH47&lt;=0.4,"Baja",IF(AH47&lt;=0.6,"Media",IF(AH47&lt;=0.8,"Alta","Muy Alta"))))),"")</f>
        <v/>
      </c>
      <c r="AJ47" s="97" t="str">
        <f t="shared" si="15"/>
        <v/>
      </c>
      <c r="AK47" s="130" t="str">
        <f>IFERROR(IF(AL47="","",IF(AL47&lt;=0.2,"Leve",IF(AL47&lt;=0.4,"Menor",IF(AL47&lt;=0.6,"Moderado",IF(AL47&lt;=0.8,"Mayor","Catastrófico"))))),"")</f>
        <v/>
      </c>
      <c r="AL47" s="97" t="str">
        <f>IFERROR(IF(W47="Impacto",(S47-(+S47*AD47)),IF(W47="Probabilidad",S47,"")),"")</f>
        <v/>
      </c>
      <c r="AM47" s="98" t="str">
        <f t="shared" si="16"/>
        <v/>
      </c>
      <c r="AN47" s="453"/>
      <c r="AO47" s="185"/>
      <c r="AP47" s="176"/>
      <c r="AQ47" s="188"/>
      <c r="AR47" s="188"/>
      <c r="AS47" s="185"/>
      <c r="AT47" s="99"/>
      <c r="AU47" s="170"/>
      <c r="AV47" s="188"/>
      <c r="AW47" s="185"/>
      <c r="AX47" s="99"/>
      <c r="AY47" s="170"/>
      <c r="AZ47" s="131"/>
      <c r="BA47" s="170"/>
      <c r="BB47" s="170"/>
      <c r="BC47" s="131"/>
      <c r="BD47" s="99"/>
      <c r="BE47" s="99"/>
      <c r="BF47" s="170"/>
      <c r="BG47" s="170"/>
      <c r="BH47" s="131"/>
      <c r="BI47" s="99"/>
      <c r="BJ47" s="99"/>
      <c r="BK47" s="185"/>
      <c r="BL47" s="185"/>
      <c r="BM47" s="176"/>
      <c r="BN47" s="188"/>
      <c r="BO47" s="188"/>
      <c r="BP47" s="170"/>
      <c r="BQ47" s="170"/>
      <c r="BR47" s="131"/>
      <c r="BS47" s="99"/>
      <c r="BT47" s="99"/>
      <c r="BU47" s="99"/>
      <c r="BV47" s="170"/>
      <c r="BW47" s="170"/>
      <c r="BX47" s="170"/>
      <c r="BY47" s="99"/>
      <c r="BZ47" s="170"/>
      <c r="CA47" s="170"/>
      <c r="CB47" s="99"/>
      <c r="CC47" s="170"/>
      <c r="CD47" s="131"/>
      <c r="CE47" s="170"/>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row>
    <row r="48" spans="1:109" ht="15.75" customHeight="1" x14ac:dyDescent="0.3">
      <c r="A48" s="445"/>
      <c r="B48" s="446"/>
      <c r="C48" s="446"/>
      <c r="D48" s="446"/>
      <c r="E48" s="472"/>
      <c r="F48" s="446"/>
      <c r="G48" s="446"/>
      <c r="H48" s="446"/>
      <c r="I48" s="185"/>
      <c r="J48" s="185"/>
      <c r="K48" s="446"/>
      <c r="L48" s="472"/>
      <c r="M48" s="445"/>
      <c r="N48" s="473"/>
      <c r="O48" s="470"/>
      <c r="P48" s="542"/>
      <c r="Q48" s="470">
        <f t="shared" ref="Q48:Q52" si="18">IF(NOT(ISERROR(MATCH(P48,_xlfn.ANCHORARRAY(E59),0))),O61&amp;"Por favor no seleccionar los criterios de impacto",P48)</f>
        <v>0</v>
      </c>
      <c r="R48" s="473"/>
      <c r="S48" s="470"/>
      <c r="T48" s="471"/>
      <c r="U48" s="176">
        <v>2</v>
      </c>
      <c r="V48" s="184"/>
      <c r="W48" s="169" t="str">
        <f t="shared" si="14"/>
        <v/>
      </c>
      <c r="X48" s="169"/>
      <c r="Y48" s="169"/>
      <c r="Z48" s="169"/>
      <c r="AA48" s="169"/>
      <c r="AB48" s="195"/>
      <c r="AC48" s="195"/>
      <c r="AD48" s="97" t="str">
        <f t="shared" si="4"/>
        <v/>
      </c>
      <c r="AE48" s="195"/>
      <c r="AF48" s="195"/>
      <c r="AG48" s="195"/>
      <c r="AH48" s="142" t="str">
        <f>IFERROR(IF(AND(W47="Probabilidad",W48="Probabilidad"),(AJ47-(+AJ47*AD48)),IF(W48="Probabilidad",(O47-(+O47*AD48)),IF(W48="Impacto",AJ47,""))),"")</f>
        <v/>
      </c>
      <c r="AI48" s="130" t="str">
        <f t="shared" si="5"/>
        <v/>
      </c>
      <c r="AJ48" s="97" t="str">
        <f t="shared" si="15"/>
        <v/>
      </c>
      <c r="AK48" s="130" t="str">
        <f t="shared" si="7"/>
        <v/>
      </c>
      <c r="AL48" s="97" t="str">
        <f>IFERROR(IF(AND(W47="Impacto",W48="Impacto"),(AL41-(+AL41*AD48)),IF(W48="Impacto",($S$47-(+$S$47*AD48)),IF(W48="Probabilidad",AL41,""))),"")</f>
        <v/>
      </c>
      <c r="AM48" s="98" t="str">
        <f t="shared" si="16"/>
        <v/>
      </c>
      <c r="AN48" s="454"/>
      <c r="AO48" s="185"/>
      <c r="AP48" s="176"/>
      <c r="AQ48" s="188"/>
      <c r="AR48" s="188"/>
      <c r="AS48" s="185"/>
      <c r="AT48" s="99"/>
      <c r="AU48" s="170"/>
      <c r="AV48" s="188"/>
      <c r="AW48" s="185"/>
      <c r="AX48" s="99"/>
      <c r="AY48" s="170"/>
      <c r="AZ48" s="131"/>
      <c r="BA48" s="170"/>
      <c r="BB48" s="170"/>
      <c r="BC48" s="131"/>
      <c r="BD48" s="99"/>
      <c r="BE48" s="99"/>
      <c r="BF48" s="170"/>
      <c r="BG48" s="170"/>
      <c r="BH48" s="131"/>
      <c r="BI48" s="99"/>
      <c r="BJ48" s="99"/>
      <c r="BK48" s="185"/>
      <c r="BL48" s="185"/>
      <c r="BM48" s="176"/>
      <c r="BN48" s="188"/>
      <c r="BO48" s="188"/>
      <c r="BP48" s="170"/>
      <c r="BQ48" s="170"/>
      <c r="BR48" s="131"/>
      <c r="BS48" s="99"/>
      <c r="BT48" s="99"/>
      <c r="BU48" s="99"/>
      <c r="BV48" s="170"/>
      <c r="BW48" s="170"/>
      <c r="BX48" s="170"/>
      <c r="BY48" s="99"/>
      <c r="BZ48" s="170"/>
      <c r="CA48" s="170"/>
      <c r="CB48" s="99"/>
      <c r="CC48" s="170"/>
      <c r="CD48" s="131"/>
      <c r="CE48" s="170"/>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row>
    <row r="49" spans="1:109" ht="15.75" customHeight="1" x14ac:dyDescent="0.3">
      <c r="A49" s="445"/>
      <c r="B49" s="446"/>
      <c r="C49" s="446"/>
      <c r="D49" s="446"/>
      <c r="E49" s="472"/>
      <c r="F49" s="446"/>
      <c r="G49" s="446"/>
      <c r="H49" s="446"/>
      <c r="I49" s="185"/>
      <c r="J49" s="185"/>
      <c r="K49" s="446"/>
      <c r="L49" s="472"/>
      <c r="M49" s="445"/>
      <c r="N49" s="473"/>
      <c r="O49" s="470"/>
      <c r="P49" s="542"/>
      <c r="Q49" s="470">
        <f t="shared" si="18"/>
        <v>0</v>
      </c>
      <c r="R49" s="473"/>
      <c r="S49" s="470"/>
      <c r="T49" s="471"/>
      <c r="U49" s="176">
        <v>3</v>
      </c>
      <c r="V49" s="183"/>
      <c r="W49" s="169" t="str">
        <f t="shared" si="14"/>
        <v/>
      </c>
      <c r="X49" s="169"/>
      <c r="Y49" s="169"/>
      <c r="Z49" s="169"/>
      <c r="AA49" s="169"/>
      <c r="AB49" s="195"/>
      <c r="AC49" s="195"/>
      <c r="AD49" s="97" t="str">
        <f t="shared" si="4"/>
        <v/>
      </c>
      <c r="AE49" s="195"/>
      <c r="AF49" s="195"/>
      <c r="AG49" s="195"/>
      <c r="AH49" s="142" t="str">
        <f>IFERROR(IF(AND(W48="Probabilidad",W49="Probabilidad"),(AJ48-(+AJ48*AD49)),IF(AND(W48="Impacto",W49="Probabilidad"),(AJ47-(+AJ47*AD49)),IF(W49="Impacto",AJ48,""))),"")</f>
        <v/>
      </c>
      <c r="AI49" s="130" t="str">
        <f t="shared" si="5"/>
        <v/>
      </c>
      <c r="AJ49" s="97" t="str">
        <f t="shared" si="15"/>
        <v/>
      </c>
      <c r="AK49" s="130" t="str">
        <f t="shared" si="7"/>
        <v/>
      </c>
      <c r="AL49" s="97" t="str">
        <f>IFERROR(IF(AND(W48="Impacto",W49="Impacto"),(AL48-(+AL48*AD49)),IF(AND(W48="Probabilidad",W49="Impacto"),(AL47-(+AL47*AD49)),IF(W49="Probabilidad",AL48,""))),"")</f>
        <v/>
      </c>
      <c r="AM49" s="98" t="str">
        <f t="shared" si="16"/>
        <v/>
      </c>
      <c r="AN49" s="454"/>
      <c r="AO49" s="185"/>
      <c r="AP49" s="176"/>
      <c r="AQ49" s="188"/>
      <c r="AR49" s="188"/>
      <c r="AS49" s="185"/>
      <c r="AT49" s="99"/>
      <c r="AU49" s="170"/>
      <c r="AV49" s="188"/>
      <c r="AW49" s="185"/>
      <c r="AX49" s="99"/>
      <c r="AY49" s="170"/>
      <c r="AZ49" s="131"/>
      <c r="BA49" s="170"/>
      <c r="BB49" s="170"/>
      <c r="BC49" s="131"/>
      <c r="BD49" s="99"/>
      <c r="BE49" s="99"/>
      <c r="BF49" s="170"/>
      <c r="BG49" s="170"/>
      <c r="BH49" s="131"/>
      <c r="BI49" s="99"/>
      <c r="BJ49" s="99"/>
      <c r="BK49" s="185"/>
      <c r="BL49" s="185"/>
      <c r="BM49" s="176"/>
      <c r="BN49" s="188"/>
      <c r="BO49" s="188"/>
      <c r="BP49" s="170"/>
      <c r="BQ49" s="170"/>
      <c r="BR49" s="131"/>
      <c r="BS49" s="99"/>
      <c r="BT49" s="99"/>
      <c r="BU49" s="99"/>
      <c r="BV49" s="170"/>
      <c r="BW49" s="170"/>
      <c r="BX49" s="170"/>
      <c r="BY49" s="99"/>
      <c r="BZ49" s="170"/>
      <c r="CA49" s="170"/>
      <c r="CB49" s="99"/>
      <c r="CC49" s="170"/>
      <c r="CD49" s="131"/>
      <c r="CE49" s="170"/>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row>
    <row r="50" spans="1:109" ht="15.75" customHeight="1" x14ac:dyDescent="0.3">
      <c r="A50" s="445"/>
      <c r="B50" s="446"/>
      <c r="C50" s="446"/>
      <c r="D50" s="446"/>
      <c r="E50" s="472"/>
      <c r="F50" s="446"/>
      <c r="G50" s="446"/>
      <c r="H50" s="446"/>
      <c r="I50" s="185"/>
      <c r="J50" s="185"/>
      <c r="K50" s="446"/>
      <c r="L50" s="472"/>
      <c r="M50" s="445"/>
      <c r="N50" s="473"/>
      <c r="O50" s="470"/>
      <c r="P50" s="542"/>
      <c r="Q50" s="470">
        <f t="shared" si="18"/>
        <v>0</v>
      </c>
      <c r="R50" s="473"/>
      <c r="S50" s="470"/>
      <c r="T50" s="471"/>
      <c r="U50" s="176">
        <v>4</v>
      </c>
      <c r="V50" s="184"/>
      <c r="W50" s="169" t="str">
        <f t="shared" si="14"/>
        <v/>
      </c>
      <c r="X50" s="169"/>
      <c r="Y50" s="169"/>
      <c r="Z50" s="169"/>
      <c r="AA50" s="169"/>
      <c r="AB50" s="195"/>
      <c r="AC50" s="195"/>
      <c r="AD50" s="97" t="str">
        <f t="shared" si="4"/>
        <v/>
      </c>
      <c r="AE50" s="195"/>
      <c r="AF50" s="195"/>
      <c r="AG50" s="195"/>
      <c r="AH50" s="142" t="str">
        <f>IFERROR(IF(AND(W49="Probabilidad",W50="Probabilidad"),(AJ49-(+AJ49*AD50)),IF(AND(W49="Impacto",W50="Probabilidad"),(AJ48-(+AJ48*AD50)),IF(W50="Impacto",AJ49,""))),"")</f>
        <v/>
      </c>
      <c r="AI50" s="130" t="str">
        <f t="shared" si="5"/>
        <v/>
      </c>
      <c r="AJ50" s="97" t="str">
        <f t="shared" si="15"/>
        <v/>
      </c>
      <c r="AK50" s="130" t="str">
        <f t="shared" si="7"/>
        <v/>
      </c>
      <c r="AL50" s="97" t="str">
        <f>IFERROR(IF(AND(W49="Impacto",W50="Impacto"),(AL49-(+AL49*AD50)),IF(AND(W49="Probabilidad",W50="Impacto"),(AL48-(+AL48*AD50)),IF(W50="Probabilidad",AL49,""))),"")</f>
        <v/>
      </c>
      <c r="AM50" s="98" t="str">
        <f t="shared" si="16"/>
        <v/>
      </c>
      <c r="AN50" s="454"/>
      <c r="AO50" s="185"/>
      <c r="AP50" s="176"/>
      <c r="AQ50" s="188"/>
      <c r="AR50" s="188"/>
      <c r="AS50" s="185"/>
      <c r="AT50" s="99"/>
      <c r="AU50" s="170"/>
      <c r="AV50" s="188"/>
      <c r="AW50" s="185"/>
      <c r="AX50" s="99"/>
      <c r="AY50" s="170"/>
      <c r="AZ50" s="131"/>
      <c r="BA50" s="170"/>
      <c r="BB50" s="170"/>
      <c r="BC50" s="131"/>
      <c r="BD50" s="99"/>
      <c r="BE50" s="99"/>
      <c r="BF50" s="170"/>
      <c r="BG50" s="170"/>
      <c r="BH50" s="131"/>
      <c r="BI50" s="99"/>
      <c r="BJ50" s="99"/>
      <c r="BK50" s="185"/>
      <c r="BL50" s="185"/>
      <c r="BM50" s="176"/>
      <c r="BN50" s="188"/>
      <c r="BO50" s="188"/>
      <c r="BP50" s="170"/>
      <c r="BQ50" s="170"/>
      <c r="BR50" s="131"/>
      <c r="BS50" s="99"/>
      <c r="BT50" s="99"/>
      <c r="BU50" s="99"/>
      <c r="BV50" s="170"/>
      <c r="BW50" s="170"/>
      <c r="BX50" s="170"/>
      <c r="BY50" s="99"/>
      <c r="BZ50" s="170"/>
      <c r="CA50" s="170"/>
      <c r="CB50" s="99"/>
      <c r="CC50" s="170"/>
      <c r="CD50" s="131"/>
      <c r="CE50" s="170"/>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row>
    <row r="51" spans="1:109" ht="15.75" customHeight="1" x14ac:dyDescent="0.3">
      <c r="A51" s="445"/>
      <c r="B51" s="446"/>
      <c r="C51" s="446"/>
      <c r="D51" s="446"/>
      <c r="E51" s="472"/>
      <c r="F51" s="446"/>
      <c r="G51" s="446"/>
      <c r="H51" s="446"/>
      <c r="I51" s="185"/>
      <c r="J51" s="185"/>
      <c r="K51" s="446"/>
      <c r="L51" s="472"/>
      <c r="M51" s="445"/>
      <c r="N51" s="473"/>
      <c r="O51" s="470"/>
      <c r="P51" s="542"/>
      <c r="Q51" s="470">
        <f t="shared" si="18"/>
        <v>0</v>
      </c>
      <c r="R51" s="473"/>
      <c r="S51" s="470"/>
      <c r="T51" s="471"/>
      <c r="U51" s="176">
        <v>5</v>
      </c>
      <c r="V51" s="184"/>
      <c r="W51" s="169" t="str">
        <f t="shared" si="14"/>
        <v/>
      </c>
      <c r="X51" s="169"/>
      <c r="Y51" s="169"/>
      <c r="Z51" s="169"/>
      <c r="AA51" s="169"/>
      <c r="AB51" s="195"/>
      <c r="AC51" s="195"/>
      <c r="AD51" s="97" t="str">
        <f t="shared" si="4"/>
        <v/>
      </c>
      <c r="AE51" s="195"/>
      <c r="AF51" s="195"/>
      <c r="AG51" s="195"/>
      <c r="AH51" s="142" t="str">
        <f>IFERROR(IF(AND(W50="Probabilidad",W51="Probabilidad"),(AJ50-(+AJ50*AD51)),IF(AND(W50="Impacto",W51="Probabilidad"),(AJ49-(+AJ49*AD51)),IF(W51="Impacto",AJ50,""))),"")</f>
        <v/>
      </c>
      <c r="AI51" s="130" t="str">
        <f t="shared" si="5"/>
        <v/>
      </c>
      <c r="AJ51" s="97" t="str">
        <f t="shared" si="15"/>
        <v/>
      </c>
      <c r="AK51" s="130" t="str">
        <f t="shared" si="7"/>
        <v/>
      </c>
      <c r="AL51" s="97" t="str">
        <f>IFERROR(IF(AND(W50="Impacto",W51="Impacto"),(AL50-(+AL50*AD51)),IF(AND(W50="Probabilidad",W51="Impacto"),(AL49-(+AL49*AD51)),IF(W51="Probabilidad",AL50,""))),"")</f>
        <v/>
      </c>
      <c r="AM51" s="98" t="str">
        <f t="shared" si="16"/>
        <v/>
      </c>
      <c r="AN51" s="454"/>
      <c r="AO51" s="185"/>
      <c r="AP51" s="176"/>
      <c r="AQ51" s="188"/>
      <c r="AR51" s="188"/>
      <c r="AS51" s="185"/>
      <c r="AT51" s="99"/>
      <c r="AU51" s="170"/>
      <c r="AV51" s="188"/>
      <c r="AW51" s="185"/>
      <c r="AX51" s="99"/>
      <c r="AY51" s="170"/>
      <c r="AZ51" s="131"/>
      <c r="BA51" s="170"/>
      <c r="BB51" s="170"/>
      <c r="BC51" s="131"/>
      <c r="BD51" s="99"/>
      <c r="BE51" s="99"/>
      <c r="BF51" s="170"/>
      <c r="BG51" s="170"/>
      <c r="BH51" s="131"/>
      <c r="BI51" s="99"/>
      <c r="BJ51" s="99"/>
      <c r="BK51" s="185"/>
      <c r="BL51" s="185"/>
      <c r="BM51" s="176"/>
      <c r="BN51" s="188"/>
      <c r="BO51" s="188"/>
      <c r="BP51" s="170"/>
      <c r="BQ51" s="170"/>
      <c r="BR51" s="131"/>
      <c r="BS51" s="99"/>
      <c r="BT51" s="99"/>
      <c r="BU51" s="99"/>
      <c r="BV51" s="170"/>
      <c r="BW51" s="170"/>
      <c r="BX51" s="170"/>
      <c r="BY51" s="99"/>
      <c r="BZ51" s="170"/>
      <c r="CA51" s="170"/>
      <c r="CB51" s="99"/>
      <c r="CC51" s="170"/>
      <c r="CD51" s="131"/>
      <c r="CE51" s="170"/>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row>
    <row r="52" spans="1:109" ht="15.75" customHeight="1" x14ac:dyDescent="0.3">
      <c r="A52" s="445"/>
      <c r="B52" s="446"/>
      <c r="C52" s="446"/>
      <c r="D52" s="446"/>
      <c r="E52" s="472"/>
      <c r="F52" s="446"/>
      <c r="G52" s="446"/>
      <c r="H52" s="446"/>
      <c r="I52" s="185"/>
      <c r="J52" s="185"/>
      <c r="K52" s="446"/>
      <c r="L52" s="472"/>
      <c r="M52" s="445"/>
      <c r="N52" s="473"/>
      <c r="O52" s="470"/>
      <c r="P52" s="542"/>
      <c r="Q52" s="470">
        <f t="shared" si="18"/>
        <v>0</v>
      </c>
      <c r="R52" s="473"/>
      <c r="S52" s="470"/>
      <c r="T52" s="471"/>
      <c r="U52" s="176">
        <v>6</v>
      </c>
      <c r="V52" s="184"/>
      <c r="W52" s="169" t="str">
        <f t="shared" si="14"/>
        <v/>
      </c>
      <c r="X52" s="169"/>
      <c r="Y52" s="169"/>
      <c r="Z52" s="169"/>
      <c r="AA52" s="169"/>
      <c r="AB52" s="195"/>
      <c r="AC52" s="195"/>
      <c r="AD52" s="97" t="str">
        <f t="shared" si="4"/>
        <v/>
      </c>
      <c r="AE52" s="195"/>
      <c r="AF52" s="195"/>
      <c r="AG52" s="195"/>
      <c r="AH52" s="142" t="str">
        <f>IFERROR(IF(AND(W51="Probabilidad",W52="Probabilidad"),(AJ51-(+AJ51*AD52)),IF(AND(W51="Impacto",W52="Probabilidad"),(AJ50-(+AJ50*AD52)),IF(W52="Impacto",AJ51,""))),"")</f>
        <v/>
      </c>
      <c r="AI52" s="130" t="str">
        <f t="shared" si="5"/>
        <v/>
      </c>
      <c r="AJ52" s="97" t="str">
        <f t="shared" si="15"/>
        <v/>
      </c>
      <c r="AK52" s="130" t="str">
        <f t="shared" si="7"/>
        <v/>
      </c>
      <c r="AL52" s="97" t="str">
        <f>IFERROR(IF(AND(W51="Impacto",W52="Impacto"),(AL51-(+AL51*AD52)),IF(AND(W51="Probabilidad",W52="Impacto"),(AL50-(+AL50*AD52)),IF(W52="Probabilidad",AL51,""))),"")</f>
        <v/>
      </c>
      <c r="AM52" s="98" t="str">
        <f t="shared" si="16"/>
        <v/>
      </c>
      <c r="AN52" s="455"/>
      <c r="AO52" s="185"/>
      <c r="AP52" s="176"/>
      <c r="AQ52" s="188"/>
      <c r="AR52" s="188"/>
      <c r="AS52" s="185"/>
      <c r="AT52" s="99"/>
      <c r="AU52" s="170"/>
      <c r="AV52" s="188"/>
      <c r="AW52" s="185"/>
      <c r="AX52" s="99"/>
      <c r="AY52" s="170"/>
      <c r="AZ52" s="131"/>
      <c r="BA52" s="170"/>
      <c r="BB52" s="170"/>
      <c r="BC52" s="131"/>
      <c r="BD52" s="99"/>
      <c r="BE52" s="99"/>
      <c r="BF52" s="170"/>
      <c r="BG52" s="170"/>
      <c r="BH52" s="131"/>
      <c r="BI52" s="99"/>
      <c r="BJ52" s="99"/>
      <c r="BK52" s="185"/>
      <c r="BL52" s="185"/>
      <c r="BM52" s="176"/>
      <c r="BN52" s="188"/>
      <c r="BO52" s="188"/>
      <c r="BP52" s="170"/>
      <c r="BQ52" s="170"/>
      <c r="BR52" s="131"/>
      <c r="BS52" s="99"/>
      <c r="BT52" s="99"/>
      <c r="BU52" s="99"/>
      <c r="BV52" s="170"/>
      <c r="BW52" s="170"/>
      <c r="BX52" s="170"/>
      <c r="BY52" s="99"/>
      <c r="BZ52" s="170"/>
      <c r="CA52" s="170"/>
      <c r="CB52" s="99"/>
      <c r="CC52" s="170"/>
      <c r="CD52" s="131"/>
      <c r="CE52" s="170"/>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row>
    <row r="53" spans="1:109" ht="15.75" customHeight="1" x14ac:dyDescent="0.3">
      <c r="A53" s="445">
        <v>9</v>
      </c>
      <c r="B53" s="446"/>
      <c r="C53" s="446"/>
      <c r="D53" s="446"/>
      <c r="E53" s="472"/>
      <c r="F53" s="446"/>
      <c r="G53" s="446"/>
      <c r="H53" s="446"/>
      <c r="I53" s="185"/>
      <c r="J53" s="185"/>
      <c r="K53" s="446"/>
      <c r="L53" s="472"/>
      <c r="M53" s="445"/>
      <c r="N53" s="473" t="str">
        <f>IF(M53&lt;=0,"",IF(M53&lt;=2,"Muy Baja",IF(M53&lt;=24,"Baja",IF(M53&lt;=500,"Media",IF(M53&lt;=5000,"Alta","Muy Alta")))))</f>
        <v/>
      </c>
      <c r="O53" s="470" t="str">
        <f>IF(N53="","",IF(N53="Muy Baja",0.2,IF(N53="Baja",0.4,IF(N53="Media",0.6,IF(N53="Alta",0.8,IF(N53="Muy Alta",1,))))))</f>
        <v/>
      </c>
      <c r="P53" s="542"/>
      <c r="Q53" s="470">
        <f ca="1">IF(NOT(ISERROR(MATCH(P53,'Tabla Impacto'!$B$221:$B$223,0))),'Tabla Impacto'!$F$223&amp;"Por favor no seleccionar los criterios de impacto(Afectación Económica o presupuestal y Pérdida Reputacional)",P53)</f>
        <v>0</v>
      </c>
      <c r="R53" s="473" t="str">
        <f ca="1">IF(OR(Q53='Tabla Impacto'!$C$11,Q53='Tabla Impacto'!$D$11),"Leve",IF(OR(Q53='Tabla Impacto'!$C$12,Q53='Tabla Impacto'!$D$12),"Menor",IF(OR(Q53='Tabla Impacto'!$C$13,Q53='Tabla Impacto'!$D$13),"Moderado",IF(OR(Q53='Tabla Impacto'!$C$14,Q53='Tabla Impacto'!$D$14),"Mayor",IF(OR(Q53='Tabla Impacto'!$C$15,Q53='Tabla Impacto'!$D$15),"Catastrófico","")))))</f>
        <v/>
      </c>
      <c r="S53" s="470" t="str">
        <f ca="1">IF(R53="","",IF(R53="Leve",0.2,IF(R53="Menor",0.4,IF(R53="Moderado",0.6,IF(R53="Mayor",0.8,IF(R53="Catastrófico",1,))))))</f>
        <v/>
      </c>
      <c r="T53" s="471"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76">
        <v>1</v>
      </c>
      <c r="V53" s="184"/>
      <c r="W53" s="169" t="str">
        <f t="shared" si="14"/>
        <v/>
      </c>
      <c r="X53" s="169"/>
      <c r="Y53" s="169"/>
      <c r="Z53" s="169"/>
      <c r="AA53" s="169"/>
      <c r="AB53" s="195"/>
      <c r="AC53" s="195"/>
      <c r="AD53" s="97" t="str">
        <f t="shared" si="4"/>
        <v/>
      </c>
      <c r="AE53" s="195"/>
      <c r="AF53" s="195"/>
      <c r="AG53" s="195"/>
      <c r="AH53" s="142" t="str">
        <f>IFERROR(IF(W53="Probabilidad",(O53-(+O53*AD53)),IF(W53="Impacto",O53,"")),"")</f>
        <v/>
      </c>
      <c r="AI53" s="130" t="str">
        <f>IFERROR(IF(AH53="","",IF(AH53&lt;=0.2,"Muy Baja",IF(AH53&lt;=0.4,"Baja",IF(AH53&lt;=0.6,"Media",IF(AH53&lt;=0.8,"Alta","Muy Alta"))))),"")</f>
        <v/>
      </c>
      <c r="AJ53" s="97" t="str">
        <f t="shared" si="15"/>
        <v/>
      </c>
      <c r="AK53" s="130" t="str">
        <f>IFERROR(IF(AL53="","",IF(AL53&lt;=0.2,"Leve",IF(AL53&lt;=0.4,"Menor",IF(AL53&lt;=0.6,"Moderado",IF(AL53&lt;=0.8,"Mayor","Catastrófico"))))),"")</f>
        <v/>
      </c>
      <c r="AL53" s="97" t="str">
        <f>IFERROR(IF(W53="Impacto",(S53-(+S53*AD53)),IF(W53="Probabilidad",S53,"")),"")</f>
        <v/>
      </c>
      <c r="AM53" s="98" t="str">
        <f t="shared" si="16"/>
        <v/>
      </c>
      <c r="AN53" s="453"/>
      <c r="AO53" s="185"/>
      <c r="AP53" s="176"/>
      <c r="AQ53" s="188"/>
      <c r="AR53" s="188"/>
      <c r="AS53" s="185"/>
      <c r="AT53" s="99"/>
      <c r="AU53" s="170"/>
      <c r="AV53" s="188"/>
      <c r="AW53" s="185"/>
      <c r="AX53" s="99"/>
      <c r="AY53" s="170"/>
      <c r="AZ53" s="131"/>
      <c r="BA53" s="170"/>
      <c r="BB53" s="170"/>
      <c r="BC53" s="131"/>
      <c r="BD53" s="99"/>
      <c r="BE53" s="99"/>
      <c r="BF53" s="170"/>
      <c r="BG53" s="170"/>
      <c r="BH53" s="131"/>
      <c r="BI53" s="99"/>
      <c r="BJ53" s="99"/>
      <c r="BK53" s="185"/>
      <c r="BL53" s="185"/>
      <c r="BM53" s="176"/>
      <c r="BN53" s="188"/>
      <c r="BO53" s="188"/>
      <c r="BP53" s="170"/>
      <c r="BQ53" s="170"/>
      <c r="BR53" s="131"/>
      <c r="BS53" s="99"/>
      <c r="BT53" s="99"/>
      <c r="BU53" s="99"/>
      <c r="BV53" s="170"/>
      <c r="BW53" s="170"/>
      <c r="BX53" s="170"/>
      <c r="BY53" s="99"/>
      <c r="BZ53" s="170"/>
      <c r="CA53" s="170"/>
      <c r="CB53" s="99"/>
      <c r="CC53" s="170"/>
      <c r="CD53" s="131"/>
      <c r="CE53" s="170"/>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row>
    <row r="54" spans="1:109" ht="15.75" customHeight="1" x14ac:dyDescent="0.3">
      <c r="A54" s="445"/>
      <c r="B54" s="446"/>
      <c r="C54" s="446"/>
      <c r="D54" s="446"/>
      <c r="E54" s="472"/>
      <c r="F54" s="446"/>
      <c r="G54" s="446"/>
      <c r="H54" s="446"/>
      <c r="I54" s="185"/>
      <c r="J54" s="185"/>
      <c r="K54" s="446"/>
      <c r="L54" s="472"/>
      <c r="M54" s="445"/>
      <c r="N54" s="473"/>
      <c r="O54" s="470"/>
      <c r="P54" s="542"/>
      <c r="Q54" s="470">
        <f t="shared" ref="Q54:Q58" si="19">IF(NOT(ISERROR(MATCH(P54,_xlfn.ANCHORARRAY(E65),0))),O67&amp;"Por favor no seleccionar los criterios de impacto",P54)</f>
        <v>0</v>
      </c>
      <c r="R54" s="473"/>
      <c r="S54" s="470"/>
      <c r="T54" s="471"/>
      <c r="U54" s="176">
        <v>2</v>
      </c>
      <c r="V54" s="184"/>
      <c r="W54" s="169" t="str">
        <f t="shared" si="14"/>
        <v/>
      </c>
      <c r="X54" s="169"/>
      <c r="Y54" s="169"/>
      <c r="Z54" s="169"/>
      <c r="AA54" s="169"/>
      <c r="AB54" s="195"/>
      <c r="AC54" s="195"/>
      <c r="AD54" s="97" t="str">
        <f t="shared" si="4"/>
        <v/>
      </c>
      <c r="AE54" s="195"/>
      <c r="AF54" s="195"/>
      <c r="AG54" s="195"/>
      <c r="AH54" s="142" t="str">
        <f>IFERROR(IF(AND(W53="Probabilidad",W54="Probabilidad"),(AJ53-(+AJ53*AD54)),IF(W54="Probabilidad",(O53-(+O53*AD54)),IF(W54="Impacto",AJ53,""))),"")</f>
        <v/>
      </c>
      <c r="AI54" s="130" t="str">
        <f t="shared" si="5"/>
        <v/>
      </c>
      <c r="AJ54" s="97" t="str">
        <f t="shared" si="15"/>
        <v/>
      </c>
      <c r="AK54" s="130" t="str">
        <f t="shared" si="7"/>
        <v/>
      </c>
      <c r="AL54" s="97" t="str">
        <f>IFERROR(IF(AND(W53="Impacto",W54="Impacto"),(AL47-(+AL47*AD54)),IF(W54="Impacto",($S$53-(+$S$53*AD54)),IF(W54="Probabilidad",AL47,""))),"")</f>
        <v/>
      </c>
      <c r="AM54" s="98" t="str">
        <f t="shared" si="16"/>
        <v/>
      </c>
      <c r="AN54" s="454"/>
      <c r="AO54" s="185"/>
      <c r="AP54" s="176"/>
      <c r="AQ54" s="188"/>
      <c r="AR54" s="188"/>
      <c r="AS54" s="185"/>
      <c r="AT54" s="99"/>
      <c r="AU54" s="170"/>
      <c r="AV54" s="188"/>
      <c r="AW54" s="185"/>
      <c r="AX54" s="99"/>
      <c r="AY54" s="170"/>
      <c r="AZ54" s="131"/>
      <c r="BA54" s="170"/>
      <c r="BB54" s="170"/>
      <c r="BC54" s="131"/>
      <c r="BD54" s="99"/>
      <c r="BE54" s="99"/>
      <c r="BF54" s="170"/>
      <c r="BG54" s="170"/>
      <c r="BH54" s="131"/>
      <c r="BI54" s="99"/>
      <c r="BJ54" s="99"/>
      <c r="BK54" s="185"/>
      <c r="BL54" s="185"/>
      <c r="BM54" s="176"/>
      <c r="BN54" s="188"/>
      <c r="BO54" s="188"/>
      <c r="BP54" s="170"/>
      <c r="BQ54" s="170"/>
      <c r="BR54" s="131"/>
      <c r="BS54" s="99"/>
      <c r="BT54" s="99"/>
      <c r="BU54" s="99"/>
      <c r="BV54" s="170"/>
      <c r="BW54" s="170"/>
      <c r="BX54" s="170"/>
      <c r="BY54" s="99"/>
      <c r="BZ54" s="170"/>
      <c r="CA54" s="170"/>
      <c r="CB54" s="99"/>
      <c r="CC54" s="170"/>
      <c r="CD54" s="131"/>
      <c r="CE54" s="170"/>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row>
    <row r="55" spans="1:109" ht="15.75" customHeight="1" x14ac:dyDescent="0.3">
      <c r="A55" s="445"/>
      <c r="B55" s="446"/>
      <c r="C55" s="446"/>
      <c r="D55" s="446"/>
      <c r="E55" s="472"/>
      <c r="F55" s="446"/>
      <c r="G55" s="446"/>
      <c r="H55" s="446"/>
      <c r="I55" s="185"/>
      <c r="J55" s="185"/>
      <c r="K55" s="446"/>
      <c r="L55" s="472"/>
      <c r="M55" s="445"/>
      <c r="N55" s="473"/>
      <c r="O55" s="470"/>
      <c r="P55" s="542"/>
      <c r="Q55" s="470">
        <f t="shared" si="19"/>
        <v>0</v>
      </c>
      <c r="R55" s="473"/>
      <c r="S55" s="470"/>
      <c r="T55" s="471"/>
      <c r="U55" s="176">
        <v>3</v>
      </c>
      <c r="V55" s="183"/>
      <c r="W55" s="169" t="str">
        <f t="shared" si="14"/>
        <v/>
      </c>
      <c r="X55" s="169"/>
      <c r="Y55" s="169"/>
      <c r="Z55" s="169"/>
      <c r="AA55" s="169"/>
      <c r="AB55" s="195"/>
      <c r="AC55" s="195"/>
      <c r="AD55" s="97" t="str">
        <f t="shared" si="4"/>
        <v/>
      </c>
      <c r="AE55" s="195"/>
      <c r="AF55" s="195"/>
      <c r="AG55" s="195"/>
      <c r="AH55" s="142" t="str">
        <f>IFERROR(IF(AND(W54="Probabilidad",W55="Probabilidad"),(AJ54-(+AJ54*AD55)),IF(AND(W54="Impacto",W55="Probabilidad"),(AJ53-(+AJ53*AD55)),IF(W55="Impacto",AJ54,""))),"")</f>
        <v/>
      </c>
      <c r="AI55" s="130" t="str">
        <f t="shared" si="5"/>
        <v/>
      </c>
      <c r="AJ55" s="97" t="str">
        <f t="shared" si="15"/>
        <v/>
      </c>
      <c r="AK55" s="130" t="str">
        <f t="shared" si="7"/>
        <v/>
      </c>
      <c r="AL55" s="97" t="str">
        <f>IFERROR(IF(AND(W54="Impacto",W55="Impacto"),(AL54-(+AL54*AD55)),IF(AND(W54="Probabilidad",W55="Impacto"),(AL53-(+AL53*AD55)),IF(W55="Probabilidad",AL54,""))),"")</f>
        <v/>
      </c>
      <c r="AM55" s="98" t="str">
        <f t="shared" si="16"/>
        <v/>
      </c>
      <c r="AN55" s="454"/>
      <c r="AO55" s="185"/>
      <c r="AP55" s="176"/>
      <c r="AQ55" s="188"/>
      <c r="AR55" s="188"/>
      <c r="AS55" s="185"/>
      <c r="AT55" s="99"/>
      <c r="AU55" s="170"/>
      <c r="AV55" s="188"/>
      <c r="AW55" s="185"/>
      <c r="AX55" s="99"/>
      <c r="AY55" s="170"/>
      <c r="AZ55" s="131"/>
      <c r="BA55" s="170"/>
      <c r="BB55" s="170"/>
      <c r="BC55" s="131"/>
      <c r="BD55" s="99"/>
      <c r="BE55" s="99"/>
      <c r="BF55" s="170"/>
      <c r="BG55" s="170"/>
      <c r="BH55" s="131"/>
      <c r="BI55" s="99"/>
      <c r="BJ55" s="99"/>
      <c r="BK55" s="185"/>
      <c r="BL55" s="185"/>
      <c r="BM55" s="176"/>
      <c r="BN55" s="188"/>
      <c r="BO55" s="188"/>
      <c r="BP55" s="170"/>
      <c r="BQ55" s="170"/>
      <c r="BR55" s="131"/>
      <c r="BS55" s="99"/>
      <c r="BT55" s="99"/>
      <c r="BU55" s="99"/>
      <c r="BV55" s="170"/>
      <c r="BW55" s="170"/>
      <c r="BX55" s="170"/>
      <c r="BY55" s="99"/>
      <c r="BZ55" s="170"/>
      <c r="CA55" s="170"/>
      <c r="CB55" s="99"/>
      <c r="CC55" s="170"/>
      <c r="CD55" s="131"/>
      <c r="CE55" s="170"/>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row>
    <row r="56" spans="1:109" ht="15.75" customHeight="1" x14ac:dyDescent="0.3">
      <c r="A56" s="445"/>
      <c r="B56" s="446"/>
      <c r="C56" s="446"/>
      <c r="D56" s="446"/>
      <c r="E56" s="472"/>
      <c r="F56" s="446"/>
      <c r="G56" s="446"/>
      <c r="H56" s="446"/>
      <c r="I56" s="185"/>
      <c r="J56" s="185"/>
      <c r="K56" s="446"/>
      <c r="L56" s="472"/>
      <c r="M56" s="445"/>
      <c r="N56" s="473"/>
      <c r="O56" s="470"/>
      <c r="P56" s="542"/>
      <c r="Q56" s="470">
        <f t="shared" si="19"/>
        <v>0</v>
      </c>
      <c r="R56" s="473"/>
      <c r="S56" s="470"/>
      <c r="T56" s="471"/>
      <c r="U56" s="176">
        <v>4</v>
      </c>
      <c r="V56" s="184"/>
      <c r="W56" s="169" t="str">
        <f t="shared" si="14"/>
        <v/>
      </c>
      <c r="X56" s="169"/>
      <c r="Y56" s="169"/>
      <c r="Z56" s="169"/>
      <c r="AA56" s="169"/>
      <c r="AB56" s="195"/>
      <c r="AC56" s="195"/>
      <c r="AD56" s="97" t="str">
        <f t="shared" si="4"/>
        <v/>
      </c>
      <c r="AE56" s="195"/>
      <c r="AF56" s="195"/>
      <c r="AG56" s="195"/>
      <c r="AH56" s="142" t="str">
        <f>IFERROR(IF(AND(W55="Probabilidad",W56="Probabilidad"),(AJ55-(+AJ55*AD56)),IF(AND(W55="Impacto",W56="Probabilidad"),(AJ54-(+AJ54*AD56)),IF(W56="Impacto",AJ55,""))),"")</f>
        <v/>
      </c>
      <c r="AI56" s="130" t="str">
        <f t="shared" si="5"/>
        <v/>
      </c>
      <c r="AJ56" s="97" t="str">
        <f t="shared" si="15"/>
        <v/>
      </c>
      <c r="AK56" s="130" t="str">
        <f t="shared" si="7"/>
        <v/>
      </c>
      <c r="AL56" s="97" t="str">
        <f>IFERROR(IF(AND(W55="Impacto",W56="Impacto"),(AL55-(+AL55*AD56)),IF(AND(W55="Probabilidad",W56="Impacto"),(AL54-(+AL54*AD56)),IF(W56="Probabilidad",AL55,""))),"")</f>
        <v/>
      </c>
      <c r="AM56" s="98" t="str">
        <f t="shared" si="16"/>
        <v/>
      </c>
      <c r="AN56" s="454"/>
      <c r="AO56" s="185"/>
      <c r="AP56" s="176"/>
      <c r="AQ56" s="188"/>
      <c r="AR56" s="188"/>
      <c r="AS56" s="185"/>
      <c r="AT56" s="99"/>
      <c r="AU56" s="170"/>
      <c r="AV56" s="188"/>
      <c r="AW56" s="185"/>
      <c r="AX56" s="99"/>
      <c r="AY56" s="170"/>
      <c r="AZ56" s="131"/>
      <c r="BA56" s="170"/>
      <c r="BB56" s="170"/>
      <c r="BC56" s="131"/>
      <c r="BD56" s="99"/>
      <c r="BE56" s="99"/>
      <c r="BF56" s="170"/>
      <c r="BG56" s="170"/>
      <c r="BH56" s="131"/>
      <c r="BI56" s="99"/>
      <c r="BJ56" s="99"/>
      <c r="BK56" s="185"/>
      <c r="BL56" s="185"/>
      <c r="BM56" s="176"/>
      <c r="BN56" s="188"/>
      <c r="BO56" s="188"/>
      <c r="BP56" s="170"/>
      <c r="BQ56" s="170"/>
      <c r="BR56" s="131"/>
      <c r="BS56" s="99"/>
      <c r="BT56" s="99"/>
      <c r="BU56" s="99"/>
      <c r="BV56" s="170"/>
      <c r="BW56" s="170"/>
      <c r="BX56" s="170"/>
      <c r="BY56" s="99"/>
      <c r="BZ56" s="170"/>
      <c r="CA56" s="170"/>
      <c r="CB56" s="99"/>
      <c r="CC56" s="170"/>
      <c r="CD56" s="131"/>
      <c r="CE56" s="170"/>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row>
    <row r="57" spans="1:109" ht="15.75" customHeight="1" x14ac:dyDescent="0.3">
      <c r="A57" s="445"/>
      <c r="B57" s="446"/>
      <c r="C57" s="446"/>
      <c r="D57" s="446"/>
      <c r="E57" s="472"/>
      <c r="F57" s="446"/>
      <c r="G57" s="446"/>
      <c r="H57" s="446"/>
      <c r="I57" s="185"/>
      <c r="J57" s="185"/>
      <c r="K57" s="446"/>
      <c r="L57" s="472"/>
      <c r="M57" s="445"/>
      <c r="N57" s="473"/>
      <c r="O57" s="470"/>
      <c r="P57" s="542"/>
      <c r="Q57" s="470">
        <f t="shared" si="19"/>
        <v>0</v>
      </c>
      <c r="R57" s="473"/>
      <c r="S57" s="470"/>
      <c r="T57" s="471"/>
      <c r="U57" s="176">
        <v>5</v>
      </c>
      <c r="V57" s="184"/>
      <c r="W57" s="169" t="str">
        <f t="shared" si="14"/>
        <v/>
      </c>
      <c r="X57" s="169"/>
      <c r="Y57" s="169"/>
      <c r="Z57" s="169"/>
      <c r="AA57" s="169"/>
      <c r="AB57" s="195"/>
      <c r="AC57" s="195"/>
      <c r="AD57" s="97" t="str">
        <f t="shared" si="4"/>
        <v/>
      </c>
      <c r="AE57" s="195"/>
      <c r="AF57" s="195"/>
      <c r="AG57" s="195"/>
      <c r="AH57" s="142" t="str">
        <f>IFERROR(IF(AND(W56="Probabilidad",W57="Probabilidad"),(AJ56-(+AJ56*AD57)),IF(AND(W56="Impacto",W57="Probabilidad"),(AJ55-(+AJ55*AD57)),IF(W57="Impacto",AJ56,""))),"")</f>
        <v/>
      </c>
      <c r="AI57" s="130" t="str">
        <f t="shared" si="5"/>
        <v/>
      </c>
      <c r="AJ57" s="97" t="str">
        <f t="shared" si="15"/>
        <v/>
      </c>
      <c r="AK57" s="130" t="str">
        <f t="shared" si="7"/>
        <v/>
      </c>
      <c r="AL57" s="97" t="str">
        <f>IFERROR(IF(AND(W56="Impacto",W57="Impacto"),(AL56-(+AL56*AD57)),IF(AND(W56="Probabilidad",W57="Impacto"),(AL55-(+AL55*AD57)),IF(W57="Probabilidad",AL56,""))),"")</f>
        <v/>
      </c>
      <c r="AM57" s="98" t="str">
        <f t="shared" si="16"/>
        <v/>
      </c>
      <c r="AN57" s="454"/>
      <c r="AO57" s="185"/>
      <c r="AP57" s="176"/>
      <c r="AQ57" s="188"/>
      <c r="AR57" s="99"/>
      <c r="AS57" s="170"/>
      <c r="AT57" s="99"/>
      <c r="AU57" s="170"/>
      <c r="AV57" s="188"/>
      <c r="AW57" s="185"/>
      <c r="AX57" s="99"/>
      <c r="AY57" s="170"/>
      <c r="AZ57" s="131"/>
      <c r="BA57" s="170"/>
      <c r="BB57" s="170"/>
      <c r="BC57" s="131"/>
      <c r="BD57" s="99"/>
      <c r="BE57" s="99"/>
      <c r="BF57" s="170"/>
      <c r="BG57" s="170"/>
      <c r="BH57" s="131"/>
      <c r="BI57" s="99"/>
      <c r="BJ57" s="99"/>
      <c r="BK57" s="185"/>
      <c r="BL57" s="185"/>
      <c r="BM57" s="176"/>
      <c r="BN57" s="188"/>
      <c r="BO57" s="188"/>
      <c r="BP57" s="170"/>
      <c r="BQ57" s="170"/>
      <c r="BR57" s="131"/>
      <c r="BS57" s="99"/>
      <c r="BT57" s="99"/>
      <c r="BU57" s="99"/>
      <c r="BV57" s="170"/>
      <c r="BW57" s="170"/>
      <c r="BX57" s="170"/>
      <c r="BY57" s="99"/>
      <c r="BZ57" s="170"/>
      <c r="CA57" s="170"/>
      <c r="CB57" s="99"/>
      <c r="CC57" s="170"/>
      <c r="CD57" s="131"/>
      <c r="CE57" s="170"/>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row>
    <row r="58" spans="1:109" ht="15.75" customHeight="1" x14ac:dyDescent="0.3">
      <c r="A58" s="445"/>
      <c r="B58" s="446"/>
      <c r="C58" s="446"/>
      <c r="D58" s="446"/>
      <c r="E58" s="472"/>
      <c r="F58" s="446"/>
      <c r="G58" s="446"/>
      <c r="H58" s="446"/>
      <c r="I58" s="185"/>
      <c r="J58" s="185"/>
      <c r="K58" s="446"/>
      <c r="L58" s="472"/>
      <c r="M58" s="445"/>
      <c r="N58" s="473"/>
      <c r="O58" s="470"/>
      <c r="P58" s="542"/>
      <c r="Q58" s="470">
        <f t="shared" si="19"/>
        <v>0</v>
      </c>
      <c r="R58" s="473"/>
      <c r="S58" s="470"/>
      <c r="T58" s="471"/>
      <c r="U58" s="176">
        <v>6</v>
      </c>
      <c r="V58" s="184"/>
      <c r="W58" s="169" t="str">
        <f t="shared" si="14"/>
        <v/>
      </c>
      <c r="X58" s="169"/>
      <c r="Y58" s="169"/>
      <c r="Z58" s="169"/>
      <c r="AA58" s="169"/>
      <c r="AB58" s="195"/>
      <c r="AC58" s="195"/>
      <c r="AD58" s="97" t="str">
        <f t="shared" si="4"/>
        <v/>
      </c>
      <c r="AE58" s="195"/>
      <c r="AF58" s="195"/>
      <c r="AG58" s="195"/>
      <c r="AH58" s="142" t="str">
        <f>IFERROR(IF(AND(W57="Probabilidad",W58="Probabilidad"),(AJ57-(+AJ57*AD58)),IF(AND(W57="Impacto",W58="Probabilidad"),(AJ56-(+AJ56*AD58)),IF(W58="Impacto",AJ57,""))),"")</f>
        <v/>
      </c>
      <c r="AI58" s="130" t="str">
        <f t="shared" si="5"/>
        <v/>
      </c>
      <c r="AJ58" s="97" t="str">
        <f t="shared" si="15"/>
        <v/>
      </c>
      <c r="AK58" s="130" t="str">
        <f t="shared" si="7"/>
        <v/>
      </c>
      <c r="AL58" s="97" t="str">
        <f>IFERROR(IF(AND(W57="Impacto",W58="Impacto"),(AL57-(+AL57*AD58)),IF(AND(W57="Probabilidad",W58="Impacto"),(AL56-(+AL56*AD58)),IF(W58="Probabilidad",AL57,""))),"")</f>
        <v/>
      </c>
      <c r="AM58" s="98" t="str">
        <f t="shared" si="16"/>
        <v/>
      </c>
      <c r="AN58" s="455"/>
      <c r="AO58" s="185"/>
      <c r="AP58" s="176"/>
      <c r="AQ58" s="188"/>
      <c r="AR58" s="99"/>
      <c r="AS58" s="170"/>
      <c r="AT58" s="99"/>
      <c r="AU58" s="170"/>
      <c r="AV58" s="188"/>
      <c r="AW58" s="185"/>
      <c r="AX58" s="99"/>
      <c r="AY58" s="170"/>
      <c r="AZ58" s="131"/>
      <c r="BA58" s="170"/>
      <c r="BB58" s="170"/>
      <c r="BC58" s="131"/>
      <c r="BD58" s="99"/>
      <c r="BE58" s="99"/>
      <c r="BF58" s="170"/>
      <c r="BG58" s="170"/>
      <c r="BH58" s="131"/>
      <c r="BI58" s="99"/>
      <c r="BJ58" s="99"/>
      <c r="BK58" s="185"/>
      <c r="BL58" s="185"/>
      <c r="BM58" s="176"/>
      <c r="BN58" s="188"/>
      <c r="BO58" s="188"/>
      <c r="BP58" s="170"/>
      <c r="BQ58" s="170"/>
      <c r="BR58" s="131"/>
      <c r="BS58" s="99"/>
      <c r="BT58" s="99"/>
      <c r="BU58" s="99"/>
      <c r="BV58" s="170"/>
      <c r="BW58" s="170"/>
      <c r="BX58" s="170"/>
      <c r="BY58" s="99"/>
      <c r="BZ58" s="170"/>
      <c r="CA58" s="170"/>
      <c r="CB58" s="99"/>
      <c r="CC58" s="170"/>
      <c r="CD58" s="131"/>
      <c r="CE58" s="170"/>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row>
    <row r="59" spans="1:109" ht="15.75" customHeight="1" x14ac:dyDescent="0.3">
      <c r="A59" s="445">
        <v>10</v>
      </c>
      <c r="B59" s="446"/>
      <c r="C59" s="446"/>
      <c r="D59" s="446"/>
      <c r="E59" s="472"/>
      <c r="F59" s="446"/>
      <c r="G59" s="446"/>
      <c r="H59" s="446"/>
      <c r="I59" s="185"/>
      <c r="J59" s="185"/>
      <c r="K59" s="446"/>
      <c r="L59" s="472"/>
      <c r="M59" s="445"/>
      <c r="N59" s="473" t="str">
        <f>IF(M59&lt;=0,"",IF(M59&lt;=2,"Muy Baja",IF(M59&lt;=24,"Baja",IF(M59&lt;=500,"Media",IF(M59&lt;=5000,"Alta","Muy Alta")))))</f>
        <v/>
      </c>
      <c r="O59" s="470" t="str">
        <f>IF(N59="","",IF(N59="Muy Baja",0.2,IF(N59="Baja",0.4,IF(N59="Media",0.6,IF(N59="Alta",0.8,IF(N59="Muy Alta",1,))))))</f>
        <v/>
      </c>
      <c r="P59" s="542"/>
      <c r="Q59" s="470">
        <f ca="1">IF(NOT(ISERROR(MATCH(P59,'Tabla Impacto'!$B$221:$B$223,0))),'Tabla Impacto'!$F$223&amp;"Por favor no seleccionar los criterios de impacto(Afectación Económica o presupuestal y Pérdida Reputacional)",P59)</f>
        <v>0</v>
      </c>
      <c r="R59" s="473" t="str">
        <f ca="1">IF(OR(Q59='Tabla Impacto'!$C$11,Q59='Tabla Impacto'!$D$11),"Leve",IF(OR(Q59='Tabla Impacto'!$C$12,Q59='Tabla Impacto'!$D$12),"Menor",IF(OR(Q59='Tabla Impacto'!$C$13,Q59='Tabla Impacto'!$D$13),"Moderado",IF(OR(Q59='Tabla Impacto'!$C$14,Q59='Tabla Impacto'!$D$14),"Mayor",IF(OR(Q59='Tabla Impacto'!$C$15,Q59='Tabla Impacto'!$D$15),"Catastrófico","")))))</f>
        <v/>
      </c>
      <c r="S59" s="470" t="str">
        <f ca="1">IF(R59="","",IF(R59="Leve",0.2,IF(R59="Menor",0.4,IF(R59="Moderado",0.6,IF(R59="Mayor",0.8,IF(R59="Catastrófico",1,))))))</f>
        <v/>
      </c>
      <c r="T59" s="471"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76">
        <v>1</v>
      </c>
      <c r="V59" s="184"/>
      <c r="W59" s="169" t="str">
        <f t="shared" si="14"/>
        <v/>
      </c>
      <c r="X59" s="169"/>
      <c r="Y59" s="169"/>
      <c r="Z59" s="169"/>
      <c r="AA59" s="169"/>
      <c r="AB59" s="195"/>
      <c r="AC59" s="195"/>
      <c r="AD59" s="97" t="str">
        <f t="shared" si="4"/>
        <v/>
      </c>
      <c r="AE59" s="195"/>
      <c r="AF59" s="195"/>
      <c r="AG59" s="195"/>
      <c r="AH59" s="142" t="str">
        <f>IFERROR(IF(W59="Probabilidad",(O59-(+O59*AD59)),IF(W59="Impacto",O59,"")),"")</f>
        <v/>
      </c>
      <c r="AI59" s="130" t="str">
        <f>IFERROR(IF(AH59="","",IF(AH59&lt;=0.2,"Muy Baja",IF(AH59&lt;=0.4,"Baja",IF(AH59&lt;=0.6,"Media",IF(AH59&lt;=0.8,"Alta","Muy Alta"))))),"")</f>
        <v/>
      </c>
      <c r="AJ59" s="97" t="str">
        <f t="shared" si="15"/>
        <v/>
      </c>
      <c r="AK59" s="130" t="str">
        <f>IFERROR(IF(AL59="","",IF(AL59&lt;=0.2,"Leve",IF(AL59&lt;=0.4,"Menor",IF(AL59&lt;=0.6,"Moderado",IF(AL59&lt;=0.8,"Mayor","Catastrófico"))))),"")</f>
        <v/>
      </c>
      <c r="AL59" s="97" t="str">
        <f>IFERROR(IF(W59="Impacto",(S59-(+S59*AD59)),IF(W59="Probabilidad",S59,"")),"")</f>
        <v/>
      </c>
      <c r="AM59" s="98" t="str">
        <f t="shared" si="16"/>
        <v/>
      </c>
      <c r="AN59" s="453"/>
      <c r="AO59" s="185"/>
      <c r="AP59" s="176"/>
      <c r="AQ59" s="188"/>
      <c r="AR59" s="99"/>
      <c r="AS59" s="170"/>
      <c r="AT59" s="99"/>
      <c r="AU59" s="170"/>
      <c r="AV59" s="188"/>
      <c r="AW59" s="185"/>
      <c r="AX59" s="99"/>
      <c r="AY59" s="170"/>
      <c r="AZ59" s="131"/>
      <c r="BA59" s="170"/>
      <c r="BB59" s="170"/>
      <c r="BC59" s="131"/>
      <c r="BD59" s="99"/>
      <c r="BE59" s="99"/>
      <c r="BF59" s="170"/>
      <c r="BG59" s="170"/>
      <c r="BH59" s="131"/>
      <c r="BI59" s="99"/>
      <c r="BJ59" s="99"/>
      <c r="BK59" s="185"/>
      <c r="BL59" s="185"/>
      <c r="BM59" s="176"/>
      <c r="BN59" s="188"/>
      <c r="BO59" s="188"/>
      <c r="BP59" s="170"/>
      <c r="BQ59" s="170"/>
      <c r="BR59" s="131"/>
      <c r="BS59" s="99"/>
      <c r="BT59" s="99"/>
      <c r="BU59" s="99"/>
      <c r="BV59" s="170"/>
      <c r="BW59" s="170"/>
      <c r="BX59" s="170"/>
      <c r="BY59" s="99"/>
      <c r="BZ59" s="170"/>
      <c r="CA59" s="170"/>
      <c r="CB59" s="99"/>
      <c r="CC59" s="170"/>
      <c r="CD59" s="131"/>
      <c r="CE59" s="170"/>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row>
    <row r="60" spans="1:109" ht="15.75" customHeight="1" x14ac:dyDescent="0.3">
      <c r="A60" s="445"/>
      <c r="B60" s="446"/>
      <c r="C60" s="446"/>
      <c r="D60" s="446"/>
      <c r="E60" s="472"/>
      <c r="F60" s="446"/>
      <c r="G60" s="446"/>
      <c r="H60" s="446"/>
      <c r="I60" s="185"/>
      <c r="J60" s="185"/>
      <c r="K60" s="446"/>
      <c r="L60" s="472"/>
      <c r="M60" s="445"/>
      <c r="N60" s="473"/>
      <c r="O60" s="470"/>
      <c r="P60" s="542"/>
      <c r="Q60" s="470">
        <f>IF(NOT(ISERROR(MATCH(P60,_xlfn.ANCHORARRAY(E71),0))),O73&amp;"Por favor no seleccionar los criterios de impacto",P60)</f>
        <v>0</v>
      </c>
      <c r="R60" s="473"/>
      <c r="S60" s="470"/>
      <c r="T60" s="471"/>
      <c r="U60" s="176">
        <v>2</v>
      </c>
      <c r="V60" s="184"/>
      <c r="W60" s="169" t="str">
        <f t="shared" si="14"/>
        <v/>
      </c>
      <c r="X60" s="169"/>
      <c r="Y60" s="169"/>
      <c r="Z60" s="169"/>
      <c r="AA60" s="169"/>
      <c r="AB60" s="195"/>
      <c r="AC60" s="195"/>
      <c r="AD60" s="97" t="str">
        <f t="shared" si="4"/>
        <v/>
      </c>
      <c r="AE60" s="195"/>
      <c r="AF60" s="195"/>
      <c r="AG60" s="195"/>
      <c r="AH60" s="142" t="str">
        <f>IFERROR(IF(AND(W59="Probabilidad",W60="Probabilidad"),(AJ59-(+AJ59*AD60)),IF(W60="Probabilidad",(O59-(+O59*AD60)),IF(W60="Impacto",AJ59,""))),"")</f>
        <v/>
      </c>
      <c r="AI60" s="130" t="str">
        <f t="shared" si="5"/>
        <v/>
      </c>
      <c r="AJ60" s="97" t="str">
        <f t="shared" si="15"/>
        <v/>
      </c>
      <c r="AK60" s="130" t="str">
        <f t="shared" si="7"/>
        <v/>
      </c>
      <c r="AL60" s="97" t="str">
        <f>IFERROR(IF(AND(W59="Impacto",W60="Impacto"),(AL53-(+AL53*AD60)),IF(W60="Impacto",($S$59-(+$S$59*AD60)),IF(W60="Probabilidad",AL53,""))),"")</f>
        <v/>
      </c>
      <c r="AM60" s="98" t="str">
        <f t="shared" si="16"/>
        <v/>
      </c>
      <c r="AN60" s="454"/>
      <c r="AO60" s="185"/>
      <c r="AP60" s="176"/>
      <c r="AQ60" s="188"/>
      <c r="AR60" s="99"/>
      <c r="AS60" s="170"/>
      <c r="AT60" s="99"/>
      <c r="AU60" s="170"/>
      <c r="AV60" s="188"/>
      <c r="AW60" s="185"/>
      <c r="AX60" s="99"/>
      <c r="AY60" s="170"/>
      <c r="AZ60" s="131"/>
      <c r="BA60" s="170"/>
      <c r="BB60" s="170"/>
      <c r="BC60" s="131"/>
      <c r="BD60" s="99"/>
      <c r="BE60" s="99"/>
      <c r="BF60" s="170"/>
      <c r="BG60" s="170"/>
      <c r="BH60" s="131"/>
      <c r="BI60" s="99"/>
      <c r="BJ60" s="99"/>
      <c r="BK60" s="185"/>
      <c r="BL60" s="185"/>
      <c r="BM60" s="176"/>
      <c r="BN60" s="188"/>
      <c r="BO60" s="188"/>
      <c r="BP60" s="170"/>
      <c r="BQ60" s="170"/>
      <c r="BR60" s="131"/>
      <c r="BS60" s="99"/>
      <c r="BT60" s="99"/>
      <c r="BU60" s="99"/>
      <c r="BV60" s="170"/>
      <c r="BW60" s="170"/>
      <c r="BX60" s="170"/>
      <c r="BY60" s="99"/>
      <c r="BZ60" s="170"/>
      <c r="CA60" s="170"/>
      <c r="CB60" s="99"/>
      <c r="CC60" s="170"/>
      <c r="CD60" s="131"/>
      <c r="CE60" s="170"/>
    </row>
    <row r="61" spans="1:109" ht="15.75" customHeight="1" x14ac:dyDescent="0.3">
      <c r="A61" s="445"/>
      <c r="B61" s="446"/>
      <c r="C61" s="446"/>
      <c r="D61" s="446"/>
      <c r="E61" s="472"/>
      <c r="F61" s="446"/>
      <c r="G61" s="446"/>
      <c r="H61" s="446"/>
      <c r="I61" s="185"/>
      <c r="J61" s="185"/>
      <c r="K61" s="446"/>
      <c r="L61" s="472"/>
      <c r="M61" s="445"/>
      <c r="N61" s="473"/>
      <c r="O61" s="470"/>
      <c r="P61" s="542"/>
      <c r="Q61" s="470">
        <f>IF(NOT(ISERROR(MATCH(P61,_xlfn.ANCHORARRAY(E72),0))),O74&amp;"Por favor no seleccionar los criterios de impacto",P61)</f>
        <v>0</v>
      </c>
      <c r="R61" s="473"/>
      <c r="S61" s="470"/>
      <c r="T61" s="471"/>
      <c r="U61" s="176">
        <v>3</v>
      </c>
      <c r="V61" s="183"/>
      <c r="W61" s="169" t="str">
        <f t="shared" si="14"/>
        <v/>
      </c>
      <c r="X61" s="169"/>
      <c r="Y61" s="169"/>
      <c r="Z61" s="169"/>
      <c r="AA61" s="169"/>
      <c r="AB61" s="195"/>
      <c r="AC61" s="195"/>
      <c r="AD61" s="97" t="str">
        <f t="shared" si="4"/>
        <v/>
      </c>
      <c r="AE61" s="195"/>
      <c r="AF61" s="195"/>
      <c r="AG61" s="195"/>
      <c r="AH61" s="142" t="str">
        <f>IFERROR(IF(AND(W60="Probabilidad",W61="Probabilidad"),(AJ60-(+AJ60*AD61)),IF(AND(W60="Impacto",W61="Probabilidad"),(AJ59-(+AJ59*AD61)),IF(W61="Impacto",AJ60,""))),"")</f>
        <v/>
      </c>
      <c r="AI61" s="130" t="str">
        <f t="shared" si="5"/>
        <v/>
      </c>
      <c r="AJ61" s="97" t="str">
        <f t="shared" si="15"/>
        <v/>
      </c>
      <c r="AK61" s="130" t="str">
        <f t="shared" si="7"/>
        <v/>
      </c>
      <c r="AL61" s="97" t="str">
        <f>IFERROR(IF(AND(W60="Impacto",W61="Impacto"),(AL60-(+AL60*AD61)),IF(AND(W60="Probabilidad",W61="Impacto"),(AL59-(+AL59*AD61)),IF(W61="Probabilidad",AL60,""))),"")</f>
        <v/>
      </c>
      <c r="AM61" s="98" t="str">
        <f t="shared" si="16"/>
        <v/>
      </c>
      <c r="AN61" s="454"/>
      <c r="AO61" s="185"/>
      <c r="AP61" s="176"/>
      <c r="AQ61" s="188"/>
      <c r="AR61" s="99"/>
      <c r="AS61" s="170"/>
      <c r="AT61" s="99"/>
      <c r="AU61" s="170"/>
      <c r="AV61" s="188"/>
      <c r="AW61" s="185"/>
      <c r="AX61" s="99"/>
      <c r="AY61" s="170"/>
      <c r="AZ61" s="131"/>
      <c r="BA61" s="170"/>
      <c r="BB61" s="170"/>
      <c r="BC61" s="131"/>
      <c r="BD61" s="99"/>
      <c r="BE61" s="99"/>
      <c r="BF61" s="170"/>
      <c r="BG61" s="170"/>
      <c r="BH61" s="131"/>
      <c r="BI61" s="99"/>
      <c r="BJ61" s="99"/>
      <c r="BK61" s="185"/>
      <c r="BL61" s="185"/>
      <c r="BM61" s="176"/>
      <c r="BN61" s="188"/>
      <c r="BO61" s="188"/>
      <c r="BP61" s="170"/>
      <c r="BQ61" s="170"/>
      <c r="BR61" s="131"/>
      <c r="BS61" s="99"/>
      <c r="BT61" s="99"/>
      <c r="BU61" s="99"/>
      <c r="BV61" s="170"/>
      <c r="BW61" s="170"/>
      <c r="BX61" s="170"/>
      <c r="BY61" s="99"/>
      <c r="BZ61" s="170"/>
      <c r="CA61" s="170"/>
      <c r="CB61" s="99"/>
      <c r="CC61" s="170"/>
      <c r="CD61" s="131"/>
      <c r="CE61" s="170"/>
    </row>
    <row r="62" spans="1:109" ht="15.75" customHeight="1" x14ac:dyDescent="0.3">
      <c r="A62" s="445"/>
      <c r="B62" s="446"/>
      <c r="C62" s="446"/>
      <c r="D62" s="446"/>
      <c r="E62" s="472"/>
      <c r="F62" s="446"/>
      <c r="G62" s="446"/>
      <c r="H62" s="446"/>
      <c r="I62" s="185"/>
      <c r="J62" s="185"/>
      <c r="K62" s="446"/>
      <c r="L62" s="472"/>
      <c r="M62" s="445"/>
      <c r="N62" s="473"/>
      <c r="O62" s="470"/>
      <c r="P62" s="542"/>
      <c r="Q62" s="470">
        <f>IF(NOT(ISERROR(MATCH(P62,_xlfn.ANCHORARRAY(E73),0))),O75&amp;"Por favor no seleccionar los criterios de impacto",P62)</f>
        <v>0</v>
      </c>
      <c r="R62" s="473"/>
      <c r="S62" s="470"/>
      <c r="T62" s="471"/>
      <c r="U62" s="176">
        <v>4</v>
      </c>
      <c r="V62" s="184"/>
      <c r="W62" s="169" t="str">
        <f t="shared" si="14"/>
        <v/>
      </c>
      <c r="X62" s="169"/>
      <c r="Y62" s="169"/>
      <c r="Z62" s="169"/>
      <c r="AA62" s="169"/>
      <c r="AB62" s="195"/>
      <c r="AC62" s="195"/>
      <c r="AD62" s="97" t="str">
        <f t="shared" si="4"/>
        <v/>
      </c>
      <c r="AE62" s="195"/>
      <c r="AF62" s="195"/>
      <c r="AG62" s="195"/>
      <c r="AH62" s="142" t="str">
        <f>IFERROR(IF(AND(W61="Probabilidad",W62="Probabilidad"),(AJ61-(+AJ61*AD62)),IF(AND(W61="Impacto",W62="Probabilidad"),(AJ60-(+AJ60*AD62)),IF(W62="Impacto",AJ61,""))),"")</f>
        <v/>
      </c>
      <c r="AI62" s="130" t="str">
        <f t="shared" si="5"/>
        <v/>
      </c>
      <c r="AJ62" s="97" t="str">
        <f t="shared" si="15"/>
        <v/>
      </c>
      <c r="AK62" s="130" t="str">
        <f t="shared" si="7"/>
        <v/>
      </c>
      <c r="AL62" s="97" t="str">
        <f>IFERROR(IF(AND(W61="Impacto",W62="Impacto"),(AL61-(+AL61*AD62)),IF(AND(W61="Probabilidad",W62="Impacto"),(AL60-(+AL60*AD62)),IF(W62="Probabilidad",AL61,""))),"")</f>
        <v/>
      </c>
      <c r="AM62" s="98" t="str">
        <f t="shared" si="16"/>
        <v/>
      </c>
      <c r="AN62" s="454"/>
      <c r="AO62" s="185"/>
      <c r="AP62" s="176"/>
      <c r="AQ62" s="188"/>
      <c r="AR62" s="99"/>
      <c r="AS62" s="170"/>
      <c r="AT62" s="99"/>
      <c r="AU62" s="170"/>
      <c r="AV62" s="188"/>
      <c r="AW62" s="185"/>
      <c r="AX62" s="99"/>
      <c r="AY62" s="170"/>
      <c r="AZ62" s="131"/>
      <c r="BA62" s="170"/>
      <c r="BB62" s="170"/>
      <c r="BC62" s="131"/>
      <c r="BD62" s="99"/>
      <c r="BE62" s="99"/>
      <c r="BF62" s="170"/>
      <c r="BG62" s="170"/>
      <c r="BH62" s="131"/>
      <c r="BI62" s="99"/>
      <c r="BJ62" s="99"/>
      <c r="BK62" s="185"/>
      <c r="BL62" s="185"/>
      <c r="BM62" s="176"/>
      <c r="BN62" s="188"/>
      <c r="BO62" s="188"/>
      <c r="BP62" s="170"/>
      <c r="BQ62" s="170"/>
      <c r="BR62" s="131"/>
      <c r="BS62" s="99"/>
      <c r="BT62" s="99"/>
      <c r="BU62" s="99"/>
      <c r="BV62" s="170"/>
      <c r="BW62" s="170"/>
      <c r="BX62" s="170"/>
      <c r="BY62" s="99"/>
      <c r="BZ62" s="170"/>
      <c r="CA62" s="170"/>
      <c r="CB62" s="99"/>
      <c r="CC62" s="170"/>
      <c r="CD62" s="131"/>
      <c r="CE62" s="170"/>
    </row>
    <row r="63" spans="1:109" ht="15.75" customHeight="1" x14ac:dyDescent="0.3">
      <c r="A63" s="445"/>
      <c r="B63" s="446"/>
      <c r="C63" s="446"/>
      <c r="D63" s="446"/>
      <c r="E63" s="472"/>
      <c r="F63" s="446"/>
      <c r="G63" s="446"/>
      <c r="H63" s="446"/>
      <c r="I63" s="185"/>
      <c r="J63" s="185"/>
      <c r="K63" s="446"/>
      <c r="L63" s="472"/>
      <c r="M63" s="445"/>
      <c r="N63" s="473"/>
      <c r="O63" s="470"/>
      <c r="P63" s="542"/>
      <c r="Q63" s="470">
        <f>IF(NOT(ISERROR(MATCH(P63,_xlfn.ANCHORARRAY(E74),0))),O76&amp;"Por favor no seleccionar los criterios de impacto",P63)</f>
        <v>0</v>
      </c>
      <c r="R63" s="473"/>
      <c r="S63" s="470"/>
      <c r="T63" s="471"/>
      <c r="U63" s="176">
        <v>5</v>
      </c>
      <c r="V63" s="184"/>
      <c r="W63" s="169" t="str">
        <f t="shared" si="14"/>
        <v/>
      </c>
      <c r="X63" s="169"/>
      <c r="Y63" s="169"/>
      <c r="Z63" s="169"/>
      <c r="AA63" s="169"/>
      <c r="AB63" s="195"/>
      <c r="AC63" s="195"/>
      <c r="AD63" s="97" t="str">
        <f t="shared" si="4"/>
        <v/>
      </c>
      <c r="AE63" s="195"/>
      <c r="AF63" s="195"/>
      <c r="AG63" s="195"/>
      <c r="AH63" s="142" t="str">
        <f>IFERROR(IF(AND(W62="Probabilidad",W63="Probabilidad"),(AJ62-(+AJ62*AD63)),IF(AND(W62="Impacto",W63="Probabilidad"),(AJ61-(+AJ61*AD63)),IF(W63="Impacto",AJ62,""))),"")</f>
        <v/>
      </c>
      <c r="AI63" s="130" t="str">
        <f t="shared" si="5"/>
        <v/>
      </c>
      <c r="AJ63" s="97" t="str">
        <f t="shared" si="15"/>
        <v/>
      </c>
      <c r="AK63" s="130" t="str">
        <f t="shared" si="7"/>
        <v/>
      </c>
      <c r="AL63" s="97" t="str">
        <f>IFERROR(IF(AND(W62="Impacto",W63="Impacto"),(AL62-(+AL62*AD63)),IF(AND(W62="Probabilidad",W63="Impacto"),(AL61-(+AL61*AD63)),IF(W63="Probabilidad",AL62,""))),"")</f>
        <v/>
      </c>
      <c r="AM63" s="98" t="str">
        <f t="shared" si="16"/>
        <v/>
      </c>
      <c r="AN63" s="454"/>
      <c r="AO63" s="185"/>
      <c r="AP63" s="176"/>
      <c r="AQ63" s="188"/>
      <c r="AR63" s="99"/>
      <c r="AS63" s="170"/>
      <c r="AT63" s="99"/>
      <c r="AU63" s="170"/>
      <c r="AV63" s="188"/>
      <c r="AW63" s="185"/>
      <c r="AX63" s="99"/>
      <c r="AY63" s="170"/>
      <c r="AZ63" s="131"/>
      <c r="BA63" s="170"/>
      <c r="BB63" s="170"/>
      <c r="BC63" s="131"/>
      <c r="BD63" s="99"/>
      <c r="BE63" s="99"/>
      <c r="BF63" s="170"/>
      <c r="BG63" s="170"/>
      <c r="BH63" s="131"/>
      <c r="BI63" s="99"/>
      <c r="BJ63" s="99"/>
      <c r="BK63" s="185"/>
      <c r="BL63" s="185"/>
      <c r="BM63" s="176"/>
      <c r="BN63" s="188"/>
      <c r="BO63" s="188"/>
      <c r="BP63" s="170"/>
      <c r="BQ63" s="170"/>
      <c r="BR63" s="131"/>
      <c r="BS63" s="99"/>
      <c r="BT63" s="99"/>
      <c r="BU63" s="99"/>
      <c r="BV63" s="170"/>
      <c r="BW63" s="170"/>
      <c r="BX63" s="170"/>
      <c r="BY63" s="99"/>
      <c r="BZ63" s="170"/>
      <c r="CA63" s="170"/>
      <c r="CB63" s="99"/>
      <c r="CC63" s="170"/>
      <c r="CD63" s="131"/>
      <c r="CE63" s="170"/>
    </row>
    <row r="64" spans="1:109" ht="15.75" customHeight="1" x14ac:dyDescent="0.3">
      <c r="A64" s="445"/>
      <c r="B64" s="446"/>
      <c r="C64" s="446"/>
      <c r="D64" s="446"/>
      <c r="E64" s="472"/>
      <c r="F64" s="446"/>
      <c r="G64" s="446"/>
      <c r="H64" s="446"/>
      <c r="I64" s="185"/>
      <c r="J64" s="185"/>
      <c r="K64" s="446"/>
      <c r="L64" s="472"/>
      <c r="M64" s="445"/>
      <c r="N64" s="473"/>
      <c r="O64" s="470"/>
      <c r="P64" s="542"/>
      <c r="Q64" s="470">
        <f>IF(NOT(ISERROR(MATCH(P64,_xlfn.ANCHORARRAY(E75),0))),O77&amp;"Por favor no seleccionar los criterios de impacto",P64)</f>
        <v>0</v>
      </c>
      <c r="R64" s="473"/>
      <c r="S64" s="470"/>
      <c r="T64" s="471"/>
      <c r="U64" s="176">
        <v>6</v>
      </c>
      <c r="V64" s="184"/>
      <c r="W64" s="169" t="str">
        <f t="shared" si="14"/>
        <v/>
      </c>
      <c r="X64" s="169"/>
      <c r="Y64" s="169"/>
      <c r="Z64" s="169"/>
      <c r="AA64" s="169"/>
      <c r="AB64" s="195"/>
      <c r="AC64" s="195"/>
      <c r="AD64" s="97" t="str">
        <f t="shared" si="4"/>
        <v/>
      </c>
      <c r="AE64" s="195"/>
      <c r="AF64" s="195"/>
      <c r="AG64" s="195"/>
      <c r="AH64" s="142" t="str">
        <f>IFERROR(IF(AND(W63="Probabilidad",W64="Probabilidad"),(AJ63-(+AJ63*AD64)),IF(AND(W63="Impacto",W64="Probabilidad"),(AJ62-(+AJ62*AD64)),IF(W64="Impacto",AJ63,""))),"")</f>
        <v/>
      </c>
      <c r="AI64" s="130" t="str">
        <f t="shared" si="5"/>
        <v/>
      </c>
      <c r="AJ64" s="97" t="str">
        <f t="shared" si="15"/>
        <v/>
      </c>
      <c r="AK64" s="130" t="str">
        <f t="shared" si="7"/>
        <v/>
      </c>
      <c r="AL64" s="97" t="str">
        <f>IFERROR(IF(AND(W63="Impacto",W64="Impacto"),(AL63-(+AL63*AD64)),IF(AND(W63="Probabilidad",W64="Impacto"),(AL62-(+AL62*AD64)),IF(W64="Probabilidad",AL63,""))),"")</f>
        <v/>
      </c>
      <c r="AM64" s="98" t="str">
        <f t="shared" si="16"/>
        <v/>
      </c>
      <c r="AN64" s="455"/>
      <c r="AO64" s="185"/>
      <c r="AP64" s="176"/>
      <c r="AQ64" s="188"/>
      <c r="AR64" s="99"/>
      <c r="AS64" s="170"/>
      <c r="AT64" s="99"/>
      <c r="AU64" s="170"/>
      <c r="AV64" s="188"/>
      <c r="AW64" s="185"/>
      <c r="AX64" s="99"/>
      <c r="AY64" s="170"/>
      <c r="AZ64" s="131"/>
      <c r="BA64" s="170"/>
      <c r="BB64" s="170"/>
      <c r="BC64" s="131"/>
      <c r="BD64" s="99"/>
      <c r="BE64" s="99"/>
      <c r="BF64" s="170"/>
      <c r="BG64" s="170"/>
      <c r="BH64" s="131"/>
      <c r="BI64" s="99"/>
      <c r="BJ64" s="99"/>
      <c r="BK64" s="185"/>
      <c r="BL64" s="185"/>
      <c r="BM64" s="176"/>
      <c r="BN64" s="188"/>
      <c r="BO64" s="188"/>
      <c r="BP64" s="170"/>
      <c r="BQ64" s="170"/>
      <c r="BR64" s="131"/>
      <c r="BS64" s="99"/>
      <c r="BT64" s="99"/>
      <c r="BU64" s="99"/>
      <c r="BV64" s="170"/>
      <c r="BW64" s="170"/>
      <c r="BX64" s="170"/>
      <c r="BY64" s="99"/>
      <c r="BZ64" s="170"/>
      <c r="CA64" s="170"/>
      <c r="CB64" s="99"/>
      <c r="CC64" s="170"/>
      <c r="CD64" s="131"/>
      <c r="CE64" s="170"/>
    </row>
  </sheetData>
  <sheetProtection algorithmName="SHA-512" hashValue="8GtMICMsgoDSKeAqdy1kRjO44FkStsVB4592Nb4DXriSF/XuVTq2z0ZPH09OX1gmMUajak52TZvRfj+deFO7Vg==" saltValue="gCxVbNxKGsjgnMbHLe+ynw=="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104" priority="244" operator="equal">
      <formula>"Baja"</formula>
    </cfRule>
    <cfRule type="cellIs" dxfId="103" priority="243" operator="equal">
      <formula>"Media"</formula>
    </cfRule>
    <cfRule type="cellIs" dxfId="102" priority="242" operator="equal">
      <formula>"Alta"</formula>
    </cfRule>
    <cfRule type="cellIs" dxfId="101" priority="241" operator="equal">
      <formula>"Muy Alta"</formula>
    </cfRule>
    <cfRule type="cellIs" dxfId="100" priority="245" operator="equal">
      <formula>"Muy Baja"</formula>
    </cfRule>
  </conditionalFormatting>
  <conditionalFormatting sqref="N17">
    <cfRule type="cellIs" dxfId="99" priority="197" operator="equal">
      <formula>"Media"</formula>
    </cfRule>
    <cfRule type="cellIs" dxfId="98" priority="199" operator="equal">
      <formula>"Muy Baja"</formula>
    </cfRule>
    <cfRule type="cellIs" dxfId="97" priority="198" operator="equal">
      <formula>"Baja"</formula>
    </cfRule>
    <cfRule type="cellIs" dxfId="96" priority="196" operator="equal">
      <formula>"Alta"</formula>
    </cfRule>
    <cfRule type="cellIs" dxfId="95" priority="195" operator="equal">
      <formula>"Muy Alta"</formula>
    </cfRule>
  </conditionalFormatting>
  <conditionalFormatting sqref="N23">
    <cfRule type="cellIs" dxfId="94" priority="176" operator="equal">
      <formula>"Muy Baja"</formula>
    </cfRule>
    <cfRule type="cellIs" dxfId="93" priority="174" operator="equal">
      <formula>"Media"</formula>
    </cfRule>
    <cfRule type="cellIs" dxfId="92" priority="172" operator="equal">
      <formula>"Muy Alta"</formula>
    </cfRule>
    <cfRule type="cellIs" dxfId="91" priority="173" operator="equal">
      <formula>"Alta"</formula>
    </cfRule>
    <cfRule type="cellIs" dxfId="90" priority="175" operator="equal">
      <formula>"Baja"</formula>
    </cfRule>
  </conditionalFormatting>
  <conditionalFormatting sqref="N29">
    <cfRule type="cellIs" dxfId="89" priority="150" operator="equal">
      <formula>"Alta"</formula>
    </cfRule>
    <cfRule type="cellIs" dxfId="88" priority="149" operator="equal">
      <formula>"Muy Alta"</formula>
    </cfRule>
    <cfRule type="cellIs" dxfId="87" priority="151" operator="equal">
      <formula>"Media"</formula>
    </cfRule>
    <cfRule type="cellIs" dxfId="86" priority="152" operator="equal">
      <formula>"Baja"</formula>
    </cfRule>
    <cfRule type="cellIs" dxfId="85" priority="153" operator="equal">
      <formula>"Muy Baja"</formula>
    </cfRule>
  </conditionalFormatting>
  <conditionalFormatting sqref="N35">
    <cfRule type="cellIs" dxfId="84" priority="127" operator="equal">
      <formula>"Alta"</formula>
    </cfRule>
    <cfRule type="cellIs" dxfId="83" priority="126" operator="equal">
      <formula>"Muy Alta"</formula>
    </cfRule>
    <cfRule type="cellIs" dxfId="82" priority="129" operator="equal">
      <formula>"Baja"</formula>
    </cfRule>
    <cfRule type="cellIs" dxfId="81" priority="130" operator="equal">
      <formula>"Muy Baja"</formula>
    </cfRule>
    <cfRule type="cellIs" dxfId="80" priority="128" operator="equal">
      <formula>"Media"</formula>
    </cfRule>
  </conditionalFormatting>
  <conditionalFormatting sqref="N41">
    <cfRule type="cellIs" dxfId="79" priority="107" operator="equal">
      <formula>"Muy Baja"</formula>
    </cfRule>
    <cfRule type="cellIs" dxfId="78" priority="103" operator="equal">
      <formula>"Muy Alta"</formula>
    </cfRule>
    <cfRule type="cellIs" dxfId="77" priority="104" operator="equal">
      <formula>"Alta"</formula>
    </cfRule>
    <cfRule type="cellIs" dxfId="76" priority="105" operator="equal">
      <formula>"Media"</formula>
    </cfRule>
    <cfRule type="cellIs" dxfId="75" priority="106" operator="equal">
      <formula>"Baja"</formula>
    </cfRule>
  </conditionalFormatting>
  <conditionalFormatting sqref="N47">
    <cfRule type="cellIs" dxfId="74" priority="82" operator="equal">
      <formula>"Media"</formula>
    </cfRule>
    <cfRule type="cellIs" dxfId="73" priority="80" operator="equal">
      <formula>"Muy Alta"</formula>
    </cfRule>
    <cfRule type="cellIs" dxfId="72" priority="83" operator="equal">
      <formula>"Baja"</formula>
    </cfRule>
    <cfRule type="cellIs" dxfId="71" priority="84" operator="equal">
      <formula>"Muy Baja"</formula>
    </cfRule>
    <cfRule type="cellIs" dxfId="70" priority="81" operator="equal">
      <formula>"Alta"</formula>
    </cfRule>
  </conditionalFormatting>
  <conditionalFormatting sqref="N53">
    <cfRule type="cellIs" dxfId="69" priority="59" operator="equal">
      <formula>"Media"</formula>
    </cfRule>
    <cfRule type="cellIs" dxfId="68" priority="61" operator="equal">
      <formula>"Muy Baja"</formula>
    </cfRule>
    <cfRule type="cellIs" dxfId="67" priority="60" operator="equal">
      <formula>"Baja"</formula>
    </cfRule>
    <cfRule type="cellIs" dxfId="66" priority="57" operator="equal">
      <formula>"Muy Alta"</formula>
    </cfRule>
    <cfRule type="cellIs" dxfId="65" priority="58" operator="equal">
      <formula>"Alta"</formula>
    </cfRule>
  </conditionalFormatting>
  <conditionalFormatting sqref="N59">
    <cfRule type="cellIs" dxfId="64" priority="34" operator="equal">
      <formula>"Muy Alta"</formula>
    </cfRule>
    <cfRule type="cellIs" dxfId="63" priority="36" operator="equal">
      <formula>"Media"</formula>
    </cfRule>
    <cfRule type="cellIs" dxfId="62" priority="35" operator="equal">
      <formula>"Alta"</formula>
    </cfRule>
    <cfRule type="cellIs" dxfId="61" priority="38" operator="equal">
      <formula>"Muy Baja"</formula>
    </cfRule>
    <cfRule type="cellIs" dxfId="60" priority="37" operator="equal">
      <formula>"Baja"</formula>
    </cfRule>
  </conditionalFormatting>
  <conditionalFormatting sqref="Q5:Q64">
    <cfRule type="containsText" dxfId="59" priority="15" operator="containsText" text="❌">
      <formula>NOT(ISERROR(SEARCH("❌",Q5)))</formula>
    </cfRule>
  </conditionalFormatting>
  <conditionalFormatting sqref="R5 R11 R17 R23 R29 R35 R41 R47 R53 R59">
    <cfRule type="cellIs" dxfId="58" priority="239" operator="equal">
      <formula>"Menor"</formula>
    </cfRule>
    <cfRule type="cellIs" dxfId="57" priority="236" operator="equal">
      <formula>"Catastrófico"</formula>
    </cfRule>
    <cfRule type="cellIs" dxfId="56" priority="237" operator="equal">
      <formula>"Mayor"</formula>
    </cfRule>
    <cfRule type="cellIs" dxfId="55" priority="238" operator="equal">
      <formula>"Moderado"</formula>
    </cfRule>
    <cfRule type="cellIs" dxfId="54" priority="240" operator="equal">
      <formula>"Leve"</formula>
    </cfRule>
  </conditionalFormatting>
  <conditionalFormatting sqref="T5">
    <cfRule type="cellIs" dxfId="53" priority="235" operator="equal">
      <formula>"Bajo"</formula>
    </cfRule>
    <cfRule type="cellIs" dxfId="52" priority="232" operator="equal">
      <formula>"Extremo"</formula>
    </cfRule>
    <cfRule type="cellIs" dxfId="51" priority="233" operator="equal">
      <formula>"Alto"</formula>
    </cfRule>
    <cfRule type="cellIs" dxfId="50" priority="234" operator="equal">
      <formula>"Moderado"</formula>
    </cfRule>
  </conditionalFormatting>
  <conditionalFormatting sqref="T11">
    <cfRule type="cellIs" dxfId="49" priority="214" operator="equal">
      <formula>"Extremo"</formula>
    </cfRule>
    <cfRule type="cellIs" dxfId="48" priority="217" operator="equal">
      <formula>"Bajo"</formula>
    </cfRule>
    <cfRule type="cellIs" dxfId="47" priority="216" operator="equal">
      <formula>"Moderado"</formula>
    </cfRule>
    <cfRule type="cellIs" dxfId="46" priority="215" operator="equal">
      <formula>"Alto"</formula>
    </cfRule>
  </conditionalFormatting>
  <conditionalFormatting sqref="T17">
    <cfRule type="cellIs" dxfId="45" priority="194" operator="equal">
      <formula>"Bajo"</formula>
    </cfRule>
    <cfRule type="cellIs" dxfId="44" priority="191" operator="equal">
      <formula>"Extremo"</formula>
    </cfRule>
    <cfRule type="cellIs" dxfId="43" priority="192" operator="equal">
      <formula>"Alto"</formula>
    </cfRule>
    <cfRule type="cellIs" dxfId="42" priority="193" operator="equal">
      <formula>"Moderado"</formula>
    </cfRule>
  </conditionalFormatting>
  <conditionalFormatting sqref="T23">
    <cfRule type="cellIs" dxfId="41" priority="168" operator="equal">
      <formula>"Extremo"</formula>
    </cfRule>
    <cfRule type="cellIs" dxfId="40" priority="169" operator="equal">
      <formula>"Alto"</formula>
    </cfRule>
    <cfRule type="cellIs" dxfId="39" priority="170" operator="equal">
      <formula>"Moderado"</formula>
    </cfRule>
    <cfRule type="cellIs" dxfId="38" priority="171" operator="equal">
      <formula>"Bajo"</formula>
    </cfRule>
  </conditionalFormatting>
  <conditionalFormatting sqref="T29">
    <cfRule type="cellIs" dxfId="37" priority="146" operator="equal">
      <formula>"Alto"</formula>
    </cfRule>
    <cfRule type="cellIs" dxfId="36" priority="145" operator="equal">
      <formula>"Extremo"</formula>
    </cfRule>
    <cfRule type="cellIs" dxfId="35" priority="147" operator="equal">
      <formula>"Moderado"</formula>
    </cfRule>
    <cfRule type="cellIs" dxfId="34" priority="148" operator="equal">
      <formula>"Bajo"</formula>
    </cfRule>
  </conditionalFormatting>
  <conditionalFormatting sqref="T35">
    <cfRule type="cellIs" dxfId="33" priority="124" operator="equal">
      <formula>"Moderado"</formula>
    </cfRule>
    <cfRule type="cellIs" dxfId="32" priority="123" operator="equal">
      <formula>"Alto"</formula>
    </cfRule>
    <cfRule type="cellIs" dxfId="31" priority="125" operator="equal">
      <formula>"Bajo"</formula>
    </cfRule>
    <cfRule type="cellIs" dxfId="30" priority="122" operator="equal">
      <formula>"Extremo"</formula>
    </cfRule>
  </conditionalFormatting>
  <conditionalFormatting sqref="T41">
    <cfRule type="cellIs" dxfId="29" priority="102" operator="equal">
      <formula>"Bajo"</formula>
    </cfRule>
    <cfRule type="cellIs" dxfId="28" priority="101" operator="equal">
      <formula>"Moderado"</formula>
    </cfRule>
    <cfRule type="cellIs" dxfId="27" priority="100" operator="equal">
      <formula>"Alto"</formula>
    </cfRule>
    <cfRule type="cellIs" dxfId="26" priority="99" operator="equal">
      <formula>"Extremo"</formula>
    </cfRule>
  </conditionalFormatting>
  <conditionalFormatting sqref="T47">
    <cfRule type="cellIs" dxfId="25" priority="76" operator="equal">
      <formula>"Extremo"</formula>
    </cfRule>
    <cfRule type="cellIs" dxfId="24" priority="77" operator="equal">
      <formula>"Alto"</formula>
    </cfRule>
    <cfRule type="cellIs" dxfId="23" priority="79" operator="equal">
      <formula>"Bajo"</formula>
    </cfRule>
    <cfRule type="cellIs" dxfId="22" priority="78" operator="equal">
      <formula>"Moderado"</formula>
    </cfRule>
  </conditionalFormatting>
  <conditionalFormatting sqref="T53">
    <cfRule type="cellIs" dxfId="21" priority="53" operator="equal">
      <formula>"Extremo"</formula>
    </cfRule>
    <cfRule type="cellIs" dxfId="20" priority="54" operator="equal">
      <formula>"Alto"</formula>
    </cfRule>
    <cfRule type="cellIs" dxfId="19" priority="56" operator="equal">
      <formula>"Bajo"</formula>
    </cfRule>
    <cfRule type="cellIs" dxfId="18" priority="55" operator="equal">
      <formula>"Moderado"</formula>
    </cfRule>
  </conditionalFormatting>
  <conditionalFormatting sqref="T59">
    <cfRule type="cellIs" dxfId="17" priority="30" operator="equal">
      <formula>"Extremo"</formula>
    </cfRule>
    <cfRule type="cellIs" dxfId="16" priority="33" operator="equal">
      <formula>"Bajo"</formula>
    </cfRule>
    <cfRule type="cellIs" dxfId="15" priority="32" operator="equal">
      <formula>"Moderado"</formula>
    </cfRule>
    <cfRule type="cellIs" dxfId="14" priority="31" operator="equal">
      <formula>"Alto"</formula>
    </cfRule>
  </conditionalFormatting>
  <conditionalFormatting sqref="AI5:AI64">
    <cfRule type="cellIs" dxfId="13" priority="13" operator="equal">
      <formula>"Baja"</formula>
    </cfRule>
    <cfRule type="cellIs" dxfId="12" priority="12" operator="equal">
      <formula>"Media"</formula>
    </cfRule>
    <cfRule type="cellIs" dxfId="11" priority="14" operator="equal">
      <formula>"Muy Baja"</formula>
    </cfRule>
    <cfRule type="cellIs" dxfId="10" priority="10" operator="equal">
      <formula>"Muy Alta"</formula>
    </cfRule>
    <cfRule type="cellIs" dxfId="9" priority="11" operator="equal">
      <formula>"Alta"</formula>
    </cfRule>
  </conditionalFormatting>
  <conditionalFormatting sqref="AK5:AK64">
    <cfRule type="cellIs" dxfId="8" priority="9" operator="equal">
      <formula>"Leve"</formula>
    </cfRule>
    <cfRule type="cellIs" dxfId="7" priority="8" operator="equal">
      <formula>"Menor"</formula>
    </cfRule>
    <cfRule type="cellIs" dxfId="6" priority="6" operator="equal">
      <formula>"Mayor"</formula>
    </cfRule>
    <cfRule type="cellIs" dxfId="5" priority="5" operator="equal">
      <formula>"Catastrófico"</formula>
    </cfRule>
    <cfRule type="cellIs" dxfId="4" priority="7" operator="equal">
      <formula>"Moderado"</formula>
    </cfRule>
  </conditionalFormatting>
  <conditionalFormatting sqref="AM5:AM64">
    <cfRule type="cellIs" dxfId="3" priority="1" operator="equal">
      <formula>"Extremo"</formula>
    </cfRule>
    <cfRule type="cellIs" dxfId="2" priority="4" operator="equal">
      <formula>"Bajo"</formula>
    </cfRule>
    <cfRule type="cellIs" dxfId="1" priority="3" operator="equal">
      <formula>"Moderado"</formula>
    </cfRule>
    <cfRule type="cellIs" dxfId="0"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70" zoomScaleNormal="70" workbookViewId="0">
      <selection activeCell="A5" sqref="A5:A10"/>
    </sheetView>
  </sheetViews>
  <sheetFormatPr baseColWidth="10" defaultColWidth="11.42578125" defaultRowHeight="16.5" x14ac:dyDescent="0.3"/>
  <cols>
    <col min="1" max="1" width="4" style="2" bestFit="1" customWidth="1"/>
    <col min="2" max="3" width="18.7109375" style="93" customWidth="1"/>
    <col min="4" max="4" width="25.85546875" style="93" customWidth="1"/>
    <col min="5" max="5" width="14.140625" style="2" customWidth="1"/>
    <col min="6" max="6" width="17.5703125" style="2" customWidth="1"/>
    <col min="7" max="7" width="32.42578125" style="1" customWidth="1"/>
    <col min="8" max="8" width="30" style="1" customWidth="1"/>
    <col min="9" max="9" width="28.2851562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31" style="1" customWidth="1"/>
    <col min="24" max="24" width="58.7109375" style="1" customWidth="1"/>
    <col min="25" max="25" width="61.85546875" style="1" customWidth="1"/>
  </cols>
  <sheetData>
    <row r="1" spans="1:25" x14ac:dyDescent="0.3">
      <c r="H1" s="3"/>
      <c r="I1" s="3"/>
      <c r="J1" s="3"/>
      <c r="K1" s="3"/>
      <c r="L1" s="3"/>
      <c r="M1" s="3"/>
      <c r="N1" s="3"/>
      <c r="O1" s="3"/>
      <c r="P1" s="3"/>
      <c r="Q1" s="3"/>
      <c r="R1" s="3"/>
      <c r="S1" s="3"/>
      <c r="T1" s="3"/>
      <c r="U1" s="3"/>
      <c r="V1" s="3"/>
      <c r="W1" s="3"/>
      <c r="X1" s="3"/>
      <c r="Y1" s="3"/>
    </row>
    <row r="2" spans="1:25" x14ac:dyDescent="0.25">
      <c r="A2" s="450" t="s">
        <v>560</v>
      </c>
      <c r="B2" s="451"/>
      <c r="C2" s="451"/>
      <c r="D2" s="451"/>
      <c r="E2" s="451"/>
      <c r="F2" s="451"/>
      <c r="G2" s="451"/>
      <c r="H2" s="489" t="s">
        <v>561</v>
      </c>
      <c r="I2" s="489"/>
      <c r="J2" s="489"/>
      <c r="K2" s="489"/>
      <c r="L2" s="489"/>
      <c r="M2" s="489"/>
      <c r="N2" s="489"/>
      <c r="O2" s="489"/>
      <c r="P2" s="489"/>
      <c r="Q2" s="489"/>
      <c r="R2" s="489"/>
      <c r="S2" s="489"/>
      <c r="T2" s="456" t="s">
        <v>147</v>
      </c>
      <c r="U2" s="456"/>
      <c r="V2" s="456"/>
      <c r="W2" s="543" t="s">
        <v>562</v>
      </c>
      <c r="X2" s="543"/>
      <c r="Y2" s="543"/>
    </row>
    <row r="3" spans="1:25" ht="15" customHeight="1" x14ac:dyDescent="0.25">
      <c r="A3" s="539" t="s">
        <v>149</v>
      </c>
      <c r="B3" s="477" t="s">
        <v>7</v>
      </c>
      <c r="C3" s="477" t="s">
        <v>9</v>
      </c>
      <c r="D3" s="477" t="s">
        <v>11</v>
      </c>
      <c r="E3" s="540" t="s">
        <v>15</v>
      </c>
      <c r="F3" s="477" t="s">
        <v>563</v>
      </c>
      <c r="G3" s="540" t="s">
        <v>564</v>
      </c>
      <c r="H3" s="465" t="s">
        <v>165</v>
      </c>
      <c r="I3" s="465" t="s">
        <v>166</v>
      </c>
      <c r="J3" s="465" t="s">
        <v>167</v>
      </c>
      <c r="K3" s="465" t="s">
        <v>168</v>
      </c>
      <c r="L3" s="465" t="s">
        <v>169</v>
      </c>
      <c r="M3" s="465" t="s">
        <v>168</v>
      </c>
      <c r="N3" s="465" t="s">
        <v>170</v>
      </c>
      <c r="O3" s="465" t="s">
        <v>168</v>
      </c>
      <c r="P3" s="465" t="s">
        <v>171</v>
      </c>
      <c r="Q3" s="465" t="s">
        <v>168</v>
      </c>
      <c r="R3" s="465" t="s">
        <v>172</v>
      </c>
      <c r="S3" s="465" t="s">
        <v>53</v>
      </c>
      <c r="T3" s="457" t="s">
        <v>168</v>
      </c>
      <c r="U3" s="457" t="s">
        <v>180</v>
      </c>
      <c r="V3" s="457" t="s">
        <v>565</v>
      </c>
      <c r="W3" s="492" t="s">
        <v>168</v>
      </c>
      <c r="X3" s="492" t="s">
        <v>566</v>
      </c>
      <c r="Y3" s="492" t="s">
        <v>53</v>
      </c>
    </row>
    <row r="4" spans="1:25" ht="15" customHeight="1" x14ac:dyDescent="0.25">
      <c r="A4" s="539"/>
      <c r="B4" s="477"/>
      <c r="C4" s="477"/>
      <c r="D4" s="477"/>
      <c r="E4" s="540"/>
      <c r="F4" s="477"/>
      <c r="G4" s="540"/>
      <c r="H4" s="465"/>
      <c r="I4" s="465"/>
      <c r="J4" s="465"/>
      <c r="K4" s="465"/>
      <c r="L4" s="465"/>
      <c r="M4" s="465"/>
      <c r="N4" s="465"/>
      <c r="O4" s="465"/>
      <c r="P4" s="465"/>
      <c r="Q4" s="465"/>
      <c r="R4" s="465"/>
      <c r="S4" s="465"/>
      <c r="T4" s="457"/>
      <c r="U4" s="457"/>
      <c r="V4" s="457"/>
      <c r="W4" s="492"/>
      <c r="X4" s="492"/>
      <c r="Y4" s="492"/>
    </row>
    <row r="5" spans="1:25" s="140" customFormat="1" ht="85.5" customHeight="1" x14ac:dyDescent="0.25">
      <c r="A5" s="544">
        <v>1</v>
      </c>
      <c r="B5" s="545"/>
      <c r="C5" s="545"/>
      <c r="D5" s="545"/>
      <c r="E5" s="545"/>
      <c r="F5" s="545"/>
      <c r="G5" s="546"/>
      <c r="H5" s="170"/>
      <c r="I5" s="170"/>
      <c r="J5" s="99"/>
      <c r="K5" s="99"/>
      <c r="L5" s="170"/>
      <c r="M5" s="99"/>
      <c r="N5" s="170"/>
      <c r="O5" s="99"/>
      <c r="P5" s="170"/>
      <c r="Q5" s="99"/>
      <c r="R5" s="170"/>
      <c r="S5" s="131"/>
      <c r="T5" s="99"/>
      <c r="U5" s="170"/>
      <c r="V5" s="170"/>
      <c r="W5" s="293" t="s">
        <v>567</v>
      </c>
      <c r="X5" s="170" t="s">
        <v>568</v>
      </c>
      <c r="Y5" s="170" t="s">
        <v>569</v>
      </c>
    </row>
    <row r="6" spans="1:25" s="140" customFormat="1" ht="31.5" customHeight="1" x14ac:dyDescent="0.25">
      <c r="A6" s="544"/>
      <c r="B6" s="545"/>
      <c r="C6" s="545"/>
      <c r="D6" s="545"/>
      <c r="E6" s="545"/>
      <c r="F6" s="545"/>
      <c r="G6" s="546"/>
      <c r="H6" s="170"/>
      <c r="I6" s="131"/>
      <c r="J6" s="99"/>
      <c r="K6" s="99"/>
      <c r="L6" s="170"/>
      <c r="M6" s="99"/>
      <c r="N6" s="170"/>
      <c r="O6" s="99"/>
      <c r="P6" s="170"/>
      <c r="Q6" s="99"/>
      <c r="R6" s="170"/>
      <c r="S6" s="131"/>
      <c r="T6" s="99"/>
      <c r="U6" s="170"/>
      <c r="V6" s="170"/>
      <c r="W6" s="99"/>
      <c r="X6" s="170"/>
      <c r="Y6" s="131"/>
    </row>
    <row r="7" spans="1:25" s="140" customFormat="1" ht="23.25" customHeight="1" x14ac:dyDescent="0.25">
      <c r="A7" s="544"/>
      <c r="B7" s="545"/>
      <c r="C7" s="545"/>
      <c r="D7" s="545"/>
      <c r="E7" s="545"/>
      <c r="F7" s="545"/>
      <c r="G7" s="546"/>
      <c r="H7" s="170"/>
      <c r="I7" s="131"/>
      <c r="J7" s="99"/>
      <c r="K7" s="99"/>
      <c r="L7" s="170"/>
      <c r="M7" s="99"/>
      <c r="N7" s="170"/>
      <c r="O7" s="99"/>
      <c r="P7" s="170"/>
      <c r="Q7" s="99"/>
      <c r="R7" s="170"/>
      <c r="S7" s="131"/>
      <c r="T7" s="99"/>
      <c r="U7" s="170"/>
      <c r="V7" s="170"/>
      <c r="W7" s="99"/>
      <c r="X7" s="170"/>
      <c r="Y7" s="131"/>
    </row>
    <row r="8" spans="1:25" s="140" customFormat="1" ht="25.5" customHeight="1" x14ac:dyDescent="0.25">
      <c r="A8" s="544"/>
      <c r="B8" s="545"/>
      <c r="C8" s="545"/>
      <c r="D8" s="545"/>
      <c r="E8" s="545"/>
      <c r="F8" s="545"/>
      <c r="G8" s="546"/>
      <c r="H8" s="170"/>
      <c r="I8" s="131"/>
      <c r="J8" s="99"/>
      <c r="K8" s="99"/>
      <c r="L8" s="170"/>
      <c r="M8" s="99"/>
      <c r="N8" s="170"/>
      <c r="O8" s="99"/>
      <c r="P8" s="170"/>
      <c r="Q8" s="99"/>
      <c r="R8" s="170"/>
      <c r="S8" s="131"/>
      <c r="T8" s="99"/>
      <c r="U8" s="170"/>
      <c r="V8" s="170"/>
      <c r="W8" s="99"/>
      <c r="X8" s="170"/>
      <c r="Y8" s="131"/>
    </row>
    <row r="9" spans="1:25" s="140" customFormat="1" ht="26.25" customHeight="1" x14ac:dyDescent="0.25">
      <c r="A9" s="544"/>
      <c r="B9" s="545"/>
      <c r="C9" s="545"/>
      <c r="D9" s="545"/>
      <c r="E9" s="545"/>
      <c r="F9" s="545"/>
      <c r="G9" s="546"/>
      <c r="H9" s="170"/>
      <c r="I9" s="131"/>
      <c r="J9" s="99"/>
      <c r="K9" s="99"/>
      <c r="L9" s="170"/>
      <c r="M9" s="99"/>
      <c r="N9" s="170"/>
      <c r="O9" s="99"/>
      <c r="P9" s="170"/>
      <c r="Q9" s="99"/>
      <c r="R9" s="170"/>
      <c r="S9" s="131"/>
      <c r="T9" s="99"/>
      <c r="U9" s="170"/>
      <c r="V9" s="170"/>
      <c r="W9" s="99"/>
      <c r="X9" s="170"/>
      <c r="Y9" s="131"/>
    </row>
    <row r="10" spans="1:25" s="140" customFormat="1" ht="35.25" customHeight="1" x14ac:dyDescent="0.25">
      <c r="A10" s="544"/>
      <c r="B10" s="545"/>
      <c r="C10" s="545"/>
      <c r="D10" s="545"/>
      <c r="E10" s="545"/>
      <c r="F10" s="545"/>
      <c r="G10" s="546"/>
      <c r="H10" s="170"/>
      <c r="I10" s="131"/>
      <c r="J10" s="99"/>
      <c r="K10" s="99"/>
      <c r="L10" s="170"/>
      <c r="M10" s="99"/>
      <c r="N10" s="170"/>
      <c r="O10" s="99"/>
      <c r="P10" s="170"/>
      <c r="Q10" s="99"/>
      <c r="R10" s="170"/>
      <c r="S10" s="131"/>
      <c r="T10" s="99"/>
      <c r="U10" s="170"/>
      <c r="V10" s="170"/>
      <c r="W10" s="99"/>
      <c r="X10" s="170"/>
      <c r="Y10" s="131"/>
    </row>
    <row r="11" spans="1:25" s="140" customFormat="1" ht="15" customHeight="1" x14ac:dyDescent="0.25">
      <c r="A11" s="544">
        <v>2</v>
      </c>
      <c r="B11" s="545"/>
      <c r="C11" s="545"/>
      <c r="D11" s="545"/>
      <c r="E11" s="545"/>
      <c r="F11" s="545"/>
      <c r="G11" s="546"/>
      <c r="H11" s="170"/>
      <c r="I11" s="131"/>
      <c r="J11" s="99"/>
      <c r="K11" s="99"/>
      <c r="L11" s="170"/>
      <c r="M11" s="99"/>
      <c r="N11" s="170"/>
      <c r="O11" s="99"/>
      <c r="P11" s="170"/>
      <c r="Q11" s="99"/>
      <c r="R11" s="170"/>
      <c r="S11" s="131"/>
      <c r="T11" s="99"/>
      <c r="U11" s="170"/>
      <c r="V11" s="170"/>
      <c r="W11" s="99"/>
      <c r="X11" s="170"/>
      <c r="Y11" s="131"/>
    </row>
    <row r="12" spans="1:25" s="140" customFormat="1" ht="15" customHeight="1" x14ac:dyDescent="0.25">
      <c r="A12" s="544"/>
      <c r="B12" s="545"/>
      <c r="C12" s="545"/>
      <c r="D12" s="545"/>
      <c r="E12" s="545"/>
      <c r="F12" s="545"/>
      <c r="G12" s="546"/>
      <c r="H12" s="170"/>
      <c r="I12" s="131"/>
      <c r="J12" s="99"/>
      <c r="K12" s="99"/>
      <c r="L12" s="170"/>
      <c r="M12" s="99"/>
      <c r="N12" s="170"/>
      <c r="O12" s="99"/>
      <c r="P12" s="170"/>
      <c r="Q12" s="99"/>
      <c r="R12" s="170"/>
      <c r="S12" s="131"/>
      <c r="T12" s="99"/>
      <c r="U12" s="170"/>
      <c r="V12" s="170"/>
      <c r="W12" s="99"/>
      <c r="X12" s="170"/>
      <c r="Y12" s="131"/>
    </row>
    <row r="13" spans="1:25" s="140" customFormat="1" ht="15" customHeight="1" x14ac:dyDescent="0.25">
      <c r="A13" s="544"/>
      <c r="B13" s="545"/>
      <c r="C13" s="545"/>
      <c r="D13" s="545"/>
      <c r="E13" s="545"/>
      <c r="F13" s="545"/>
      <c r="G13" s="546"/>
      <c r="H13" s="170"/>
      <c r="I13" s="131"/>
      <c r="J13" s="99"/>
      <c r="K13" s="99"/>
      <c r="L13" s="170"/>
      <c r="M13" s="99"/>
      <c r="N13" s="170"/>
      <c r="O13" s="99"/>
      <c r="P13" s="170"/>
      <c r="Q13" s="99"/>
      <c r="R13" s="170"/>
      <c r="S13" s="131"/>
      <c r="T13" s="99"/>
      <c r="U13" s="170"/>
      <c r="V13" s="170"/>
      <c r="W13" s="99"/>
      <c r="X13" s="170"/>
      <c r="Y13" s="131"/>
    </row>
    <row r="14" spans="1:25" s="140" customFormat="1" ht="15" customHeight="1" x14ac:dyDescent="0.25">
      <c r="A14" s="544"/>
      <c r="B14" s="545"/>
      <c r="C14" s="545"/>
      <c r="D14" s="545"/>
      <c r="E14" s="545"/>
      <c r="F14" s="545"/>
      <c r="G14" s="546"/>
      <c r="H14" s="170"/>
      <c r="I14" s="131"/>
      <c r="J14" s="99"/>
      <c r="K14" s="99"/>
      <c r="L14" s="170"/>
      <c r="M14" s="99"/>
      <c r="N14" s="170"/>
      <c r="O14" s="99"/>
      <c r="P14" s="170"/>
      <c r="Q14" s="99"/>
      <c r="R14" s="170"/>
      <c r="S14" s="131"/>
      <c r="T14" s="99"/>
      <c r="U14" s="170"/>
      <c r="V14" s="170"/>
      <c r="W14" s="99"/>
      <c r="X14" s="170"/>
      <c r="Y14" s="131"/>
    </row>
    <row r="15" spans="1:25" s="140" customFormat="1" ht="15" customHeight="1" x14ac:dyDescent="0.25">
      <c r="A15" s="544"/>
      <c r="B15" s="545"/>
      <c r="C15" s="545"/>
      <c r="D15" s="545"/>
      <c r="E15" s="545"/>
      <c r="F15" s="545"/>
      <c r="G15" s="546"/>
      <c r="H15" s="170"/>
      <c r="I15" s="131"/>
      <c r="J15" s="99"/>
      <c r="K15" s="99"/>
      <c r="L15" s="170"/>
      <c r="M15" s="99"/>
      <c r="N15" s="170"/>
      <c r="O15" s="99"/>
      <c r="P15" s="170"/>
      <c r="Q15" s="99"/>
      <c r="R15" s="170"/>
      <c r="S15" s="131"/>
      <c r="T15" s="99"/>
      <c r="U15" s="170"/>
      <c r="V15" s="170"/>
      <c r="W15" s="99"/>
      <c r="X15" s="170"/>
      <c r="Y15" s="131"/>
    </row>
    <row r="16" spans="1:25" s="140" customFormat="1" ht="15" customHeight="1" x14ac:dyDescent="0.25">
      <c r="A16" s="544"/>
      <c r="B16" s="545"/>
      <c r="C16" s="545"/>
      <c r="D16" s="545"/>
      <c r="E16" s="545"/>
      <c r="F16" s="545"/>
      <c r="G16" s="546"/>
      <c r="H16" s="170"/>
      <c r="I16" s="131"/>
      <c r="J16" s="99"/>
      <c r="K16" s="99"/>
      <c r="L16" s="170"/>
      <c r="M16" s="99"/>
      <c r="N16" s="170"/>
      <c r="O16" s="99"/>
      <c r="P16" s="170"/>
      <c r="Q16" s="99"/>
      <c r="R16" s="170"/>
      <c r="S16" s="131"/>
      <c r="T16" s="99"/>
      <c r="U16" s="170"/>
      <c r="V16" s="170"/>
      <c r="W16" s="99"/>
      <c r="X16" s="170"/>
      <c r="Y16" s="131"/>
    </row>
    <row r="17" spans="1:25" s="140" customFormat="1" ht="15" customHeight="1" x14ac:dyDescent="0.25">
      <c r="A17" s="544">
        <v>3</v>
      </c>
      <c r="B17" s="545"/>
      <c r="C17" s="545"/>
      <c r="D17" s="545"/>
      <c r="E17" s="545"/>
      <c r="F17" s="545"/>
      <c r="G17" s="546"/>
      <c r="H17" s="170"/>
      <c r="I17" s="131"/>
      <c r="J17" s="99"/>
      <c r="K17" s="99"/>
      <c r="L17" s="170"/>
      <c r="M17" s="99"/>
      <c r="N17" s="170"/>
      <c r="O17" s="99"/>
      <c r="P17" s="170"/>
      <c r="Q17" s="99"/>
      <c r="R17" s="170"/>
      <c r="S17" s="131"/>
      <c r="T17" s="99"/>
      <c r="U17" s="170"/>
      <c r="V17" s="170"/>
      <c r="W17" s="99"/>
      <c r="X17" s="170"/>
      <c r="Y17" s="131"/>
    </row>
    <row r="18" spans="1:25" s="140" customFormat="1" ht="15" customHeight="1" x14ac:dyDescent="0.25">
      <c r="A18" s="544"/>
      <c r="B18" s="545"/>
      <c r="C18" s="545"/>
      <c r="D18" s="545"/>
      <c r="E18" s="545"/>
      <c r="F18" s="545"/>
      <c r="G18" s="546"/>
      <c r="H18" s="170"/>
      <c r="I18" s="131"/>
      <c r="J18" s="99"/>
      <c r="K18" s="99"/>
      <c r="L18" s="170"/>
      <c r="M18" s="99"/>
      <c r="N18" s="170"/>
      <c r="O18" s="99"/>
      <c r="P18" s="170"/>
      <c r="Q18" s="99"/>
      <c r="R18" s="170"/>
      <c r="S18" s="131"/>
      <c r="T18" s="99"/>
      <c r="U18" s="170"/>
      <c r="V18" s="170"/>
      <c r="W18" s="99"/>
      <c r="X18" s="170"/>
      <c r="Y18" s="131"/>
    </row>
    <row r="19" spans="1:25" s="140" customFormat="1" ht="15" customHeight="1" x14ac:dyDescent="0.25">
      <c r="A19" s="544"/>
      <c r="B19" s="545"/>
      <c r="C19" s="545"/>
      <c r="D19" s="545"/>
      <c r="E19" s="545"/>
      <c r="F19" s="545"/>
      <c r="G19" s="546"/>
      <c r="H19" s="170"/>
      <c r="I19" s="131"/>
      <c r="J19" s="99"/>
      <c r="K19" s="99"/>
      <c r="L19" s="170"/>
      <c r="M19" s="99"/>
      <c r="N19" s="170"/>
      <c r="O19" s="99"/>
      <c r="P19" s="170"/>
      <c r="Q19" s="99"/>
      <c r="R19" s="170"/>
      <c r="S19" s="131"/>
      <c r="T19" s="99"/>
      <c r="U19" s="170"/>
      <c r="V19" s="170"/>
      <c r="W19" s="99"/>
      <c r="X19" s="170"/>
      <c r="Y19" s="131"/>
    </row>
    <row r="20" spans="1:25" s="140" customFormat="1" ht="15" customHeight="1" x14ac:dyDescent="0.25">
      <c r="A20" s="544"/>
      <c r="B20" s="545"/>
      <c r="C20" s="545"/>
      <c r="D20" s="545"/>
      <c r="E20" s="545"/>
      <c r="F20" s="545"/>
      <c r="G20" s="546"/>
      <c r="H20" s="170"/>
      <c r="I20" s="131"/>
      <c r="J20" s="99"/>
      <c r="K20" s="99"/>
      <c r="L20" s="170"/>
      <c r="M20" s="99"/>
      <c r="N20" s="170"/>
      <c r="O20" s="99"/>
      <c r="P20" s="170"/>
      <c r="Q20" s="99"/>
      <c r="R20" s="170"/>
      <c r="S20" s="131"/>
      <c r="T20" s="99"/>
      <c r="U20" s="170"/>
      <c r="V20" s="170"/>
      <c r="W20" s="99"/>
      <c r="X20" s="170"/>
      <c r="Y20" s="131"/>
    </row>
    <row r="21" spans="1:25" s="140" customFormat="1" ht="15" customHeight="1" x14ac:dyDescent="0.25">
      <c r="A21" s="544"/>
      <c r="B21" s="545"/>
      <c r="C21" s="545"/>
      <c r="D21" s="545"/>
      <c r="E21" s="545"/>
      <c r="F21" s="545"/>
      <c r="G21" s="546"/>
      <c r="H21" s="170"/>
      <c r="I21" s="131"/>
      <c r="J21" s="99"/>
      <c r="K21" s="99"/>
      <c r="L21" s="170"/>
      <c r="M21" s="99"/>
      <c r="N21" s="170"/>
      <c r="O21" s="99"/>
      <c r="P21" s="170"/>
      <c r="Q21" s="99"/>
      <c r="R21" s="170"/>
      <c r="S21" s="131"/>
      <c r="T21" s="99"/>
      <c r="U21" s="170"/>
      <c r="V21" s="170"/>
      <c r="W21" s="99"/>
      <c r="X21" s="170"/>
      <c r="Y21" s="131"/>
    </row>
    <row r="22" spans="1:25" s="140" customFormat="1" ht="15" customHeight="1" x14ac:dyDescent="0.25">
      <c r="A22" s="544"/>
      <c r="B22" s="545"/>
      <c r="C22" s="545"/>
      <c r="D22" s="545"/>
      <c r="E22" s="545"/>
      <c r="F22" s="545"/>
      <c r="G22" s="546"/>
      <c r="H22" s="170"/>
      <c r="I22" s="131"/>
      <c r="J22" s="99"/>
      <c r="K22" s="99"/>
      <c r="L22" s="170"/>
      <c r="M22" s="99"/>
      <c r="N22" s="170"/>
      <c r="O22" s="99"/>
      <c r="P22" s="170"/>
      <c r="Q22" s="99"/>
      <c r="R22" s="170"/>
      <c r="S22" s="131"/>
      <c r="T22" s="99"/>
      <c r="U22" s="170"/>
      <c r="V22" s="170"/>
      <c r="W22" s="99"/>
      <c r="X22" s="170"/>
      <c r="Y22" s="131"/>
    </row>
    <row r="23" spans="1:25" s="140" customFormat="1" ht="15" customHeight="1" x14ac:dyDescent="0.25">
      <c r="A23" s="544">
        <v>4</v>
      </c>
      <c r="B23" s="545"/>
      <c r="C23" s="545"/>
      <c r="D23" s="545"/>
      <c r="E23" s="545"/>
      <c r="F23" s="545"/>
      <c r="G23" s="546"/>
      <c r="H23" s="170"/>
      <c r="I23" s="131"/>
      <c r="J23" s="99"/>
      <c r="K23" s="99"/>
      <c r="L23" s="170"/>
      <c r="M23" s="99"/>
      <c r="N23" s="170"/>
      <c r="O23" s="99"/>
      <c r="P23" s="170"/>
      <c r="Q23" s="99"/>
      <c r="R23" s="170"/>
      <c r="S23" s="131"/>
      <c r="T23" s="99"/>
      <c r="U23" s="170"/>
      <c r="V23" s="170"/>
      <c r="W23" s="99"/>
      <c r="X23" s="170"/>
      <c r="Y23" s="131"/>
    </row>
    <row r="24" spans="1:25" s="140" customFormat="1" ht="15" customHeight="1" x14ac:dyDescent="0.25">
      <c r="A24" s="544"/>
      <c r="B24" s="545"/>
      <c r="C24" s="545"/>
      <c r="D24" s="545"/>
      <c r="E24" s="545"/>
      <c r="F24" s="545"/>
      <c r="G24" s="546"/>
      <c r="H24" s="170"/>
      <c r="I24" s="131"/>
      <c r="J24" s="99"/>
      <c r="K24" s="99"/>
      <c r="L24" s="170"/>
      <c r="M24" s="99"/>
      <c r="N24" s="170"/>
      <c r="O24" s="99"/>
      <c r="P24" s="170"/>
      <c r="Q24" s="99"/>
      <c r="R24" s="170"/>
      <c r="S24" s="131"/>
      <c r="T24" s="99"/>
      <c r="U24" s="170"/>
      <c r="V24" s="170"/>
      <c r="W24" s="99"/>
      <c r="X24" s="170"/>
      <c r="Y24" s="131"/>
    </row>
    <row r="25" spans="1:25" s="140" customFormat="1" ht="15" customHeight="1" x14ac:dyDescent="0.25">
      <c r="A25" s="544"/>
      <c r="B25" s="545"/>
      <c r="C25" s="545"/>
      <c r="D25" s="545"/>
      <c r="E25" s="545"/>
      <c r="F25" s="545"/>
      <c r="G25" s="546"/>
      <c r="H25" s="170"/>
      <c r="I25" s="131"/>
      <c r="J25" s="99"/>
      <c r="K25" s="99"/>
      <c r="L25" s="170"/>
      <c r="M25" s="99"/>
      <c r="N25" s="170"/>
      <c r="O25" s="99"/>
      <c r="P25" s="170"/>
      <c r="Q25" s="99"/>
      <c r="R25" s="170"/>
      <c r="S25" s="131"/>
      <c r="T25" s="99"/>
      <c r="U25" s="170"/>
      <c r="V25" s="170"/>
      <c r="W25" s="99"/>
      <c r="X25" s="170"/>
      <c r="Y25" s="131"/>
    </row>
    <row r="26" spans="1:25" s="140" customFormat="1" ht="15" customHeight="1" x14ac:dyDescent="0.25">
      <c r="A26" s="544"/>
      <c r="B26" s="545"/>
      <c r="C26" s="545"/>
      <c r="D26" s="545"/>
      <c r="E26" s="545"/>
      <c r="F26" s="545"/>
      <c r="G26" s="546"/>
      <c r="H26" s="170"/>
      <c r="I26" s="131"/>
      <c r="J26" s="99"/>
      <c r="K26" s="99"/>
      <c r="L26" s="170"/>
      <c r="M26" s="99"/>
      <c r="N26" s="170"/>
      <c r="O26" s="99"/>
      <c r="P26" s="170"/>
      <c r="Q26" s="99"/>
      <c r="R26" s="170"/>
      <c r="S26" s="131"/>
      <c r="T26" s="99"/>
      <c r="U26" s="170"/>
      <c r="V26" s="170"/>
      <c r="W26" s="99"/>
      <c r="X26" s="170"/>
      <c r="Y26" s="131"/>
    </row>
    <row r="27" spans="1:25" s="140" customFormat="1" ht="15" customHeight="1" x14ac:dyDescent="0.25">
      <c r="A27" s="544"/>
      <c r="B27" s="545"/>
      <c r="C27" s="545"/>
      <c r="D27" s="545"/>
      <c r="E27" s="545"/>
      <c r="F27" s="545"/>
      <c r="G27" s="546"/>
      <c r="H27" s="170"/>
      <c r="I27" s="131"/>
      <c r="J27" s="99"/>
      <c r="K27" s="99"/>
      <c r="L27" s="170"/>
      <c r="M27" s="99"/>
      <c r="N27" s="170"/>
      <c r="O27" s="99"/>
      <c r="P27" s="170"/>
      <c r="Q27" s="99"/>
      <c r="R27" s="170"/>
      <c r="S27" s="131"/>
      <c r="T27" s="99"/>
      <c r="U27" s="170"/>
      <c r="V27" s="170"/>
      <c r="W27" s="99"/>
      <c r="X27" s="170"/>
      <c r="Y27" s="131"/>
    </row>
    <row r="28" spans="1:25" s="140" customFormat="1" ht="15" customHeight="1" x14ac:dyDescent="0.25">
      <c r="A28" s="544"/>
      <c r="B28" s="545"/>
      <c r="C28" s="545"/>
      <c r="D28" s="545"/>
      <c r="E28" s="545"/>
      <c r="F28" s="545"/>
      <c r="G28" s="546"/>
      <c r="H28" s="170"/>
      <c r="I28" s="131"/>
      <c r="J28" s="99"/>
      <c r="K28" s="99"/>
      <c r="L28" s="170"/>
      <c r="M28" s="99"/>
      <c r="N28" s="170"/>
      <c r="O28" s="99"/>
      <c r="P28" s="170"/>
      <c r="Q28" s="99"/>
      <c r="R28" s="170"/>
      <c r="S28" s="131"/>
      <c r="T28" s="99"/>
      <c r="U28" s="170"/>
      <c r="V28" s="170"/>
      <c r="W28" s="99"/>
      <c r="X28" s="170"/>
      <c r="Y28" s="131"/>
    </row>
    <row r="29" spans="1:25" s="140" customFormat="1" ht="15" customHeight="1" x14ac:dyDescent="0.25">
      <c r="A29" s="544">
        <v>5</v>
      </c>
      <c r="B29" s="545"/>
      <c r="C29" s="545"/>
      <c r="D29" s="545"/>
      <c r="E29" s="545"/>
      <c r="F29" s="545"/>
      <c r="G29" s="546"/>
      <c r="H29" s="170"/>
      <c r="I29" s="131"/>
      <c r="J29" s="99"/>
      <c r="K29" s="99"/>
      <c r="L29" s="170"/>
      <c r="M29" s="99"/>
      <c r="N29" s="170"/>
      <c r="O29" s="99"/>
      <c r="P29" s="170"/>
      <c r="Q29" s="99"/>
      <c r="R29" s="170"/>
      <c r="S29" s="131"/>
      <c r="T29" s="99"/>
      <c r="U29" s="170"/>
      <c r="V29" s="170"/>
      <c r="W29" s="99"/>
      <c r="X29" s="170"/>
      <c r="Y29" s="131"/>
    </row>
    <row r="30" spans="1:25" s="140" customFormat="1" ht="15" customHeight="1" x14ac:dyDescent="0.25">
      <c r="A30" s="544"/>
      <c r="B30" s="545"/>
      <c r="C30" s="545"/>
      <c r="D30" s="545"/>
      <c r="E30" s="545"/>
      <c r="F30" s="545"/>
      <c r="G30" s="546"/>
      <c r="H30" s="170"/>
      <c r="I30" s="131"/>
      <c r="J30" s="99"/>
      <c r="K30" s="99"/>
      <c r="L30" s="170"/>
      <c r="M30" s="99"/>
      <c r="N30" s="170"/>
      <c r="O30" s="99"/>
      <c r="P30" s="170"/>
      <c r="Q30" s="99"/>
      <c r="R30" s="170"/>
      <c r="S30" s="131"/>
      <c r="T30" s="99"/>
      <c r="U30" s="170"/>
      <c r="V30" s="170"/>
      <c r="W30" s="99"/>
      <c r="X30" s="170"/>
      <c r="Y30" s="131"/>
    </row>
    <row r="31" spans="1:25" s="140" customFormat="1" ht="15" customHeight="1" x14ac:dyDescent="0.25">
      <c r="A31" s="544"/>
      <c r="B31" s="545"/>
      <c r="C31" s="545"/>
      <c r="D31" s="545"/>
      <c r="E31" s="545"/>
      <c r="F31" s="545"/>
      <c r="G31" s="546"/>
      <c r="H31" s="170"/>
      <c r="I31" s="131"/>
      <c r="J31" s="99"/>
      <c r="K31" s="99"/>
      <c r="L31" s="170"/>
      <c r="M31" s="99"/>
      <c r="N31" s="170"/>
      <c r="O31" s="99"/>
      <c r="P31" s="170"/>
      <c r="Q31" s="99"/>
      <c r="R31" s="170"/>
      <c r="S31" s="131"/>
      <c r="T31" s="99"/>
      <c r="U31" s="170"/>
      <c r="V31" s="170"/>
      <c r="W31" s="99"/>
      <c r="X31" s="170"/>
      <c r="Y31" s="131"/>
    </row>
    <row r="32" spans="1:25" s="140" customFormat="1" ht="15" customHeight="1" x14ac:dyDescent="0.25">
      <c r="A32" s="544"/>
      <c r="B32" s="545"/>
      <c r="C32" s="545"/>
      <c r="D32" s="545"/>
      <c r="E32" s="545"/>
      <c r="F32" s="545"/>
      <c r="G32" s="546"/>
      <c r="H32" s="170"/>
      <c r="I32" s="131"/>
      <c r="J32" s="99"/>
      <c r="K32" s="99"/>
      <c r="L32" s="170"/>
      <c r="M32" s="99"/>
      <c r="N32" s="170"/>
      <c r="O32" s="99"/>
      <c r="P32" s="170"/>
      <c r="Q32" s="99"/>
      <c r="R32" s="170"/>
      <c r="S32" s="131"/>
      <c r="T32" s="99"/>
      <c r="U32" s="170"/>
      <c r="V32" s="170"/>
      <c r="W32" s="99"/>
      <c r="X32" s="170"/>
      <c r="Y32" s="131"/>
    </row>
    <row r="33" spans="1:25" s="140" customFormat="1" ht="15" customHeight="1" x14ac:dyDescent="0.25">
      <c r="A33" s="544"/>
      <c r="B33" s="545"/>
      <c r="C33" s="545"/>
      <c r="D33" s="545"/>
      <c r="E33" s="545"/>
      <c r="F33" s="545"/>
      <c r="G33" s="546"/>
      <c r="H33" s="170"/>
      <c r="I33" s="131"/>
      <c r="J33" s="99"/>
      <c r="K33" s="99"/>
      <c r="L33" s="170"/>
      <c r="M33" s="99"/>
      <c r="N33" s="170"/>
      <c r="O33" s="99"/>
      <c r="P33" s="170"/>
      <c r="Q33" s="99"/>
      <c r="R33" s="170"/>
      <c r="S33" s="131"/>
      <c r="T33" s="99"/>
      <c r="U33" s="170"/>
      <c r="V33" s="170"/>
      <c r="W33" s="99"/>
      <c r="X33" s="170"/>
      <c r="Y33" s="131"/>
    </row>
    <row r="34" spans="1:25" s="140" customFormat="1" ht="15" customHeight="1" x14ac:dyDescent="0.25">
      <c r="A34" s="544"/>
      <c r="B34" s="545"/>
      <c r="C34" s="545"/>
      <c r="D34" s="545"/>
      <c r="E34" s="545"/>
      <c r="F34" s="545"/>
      <c r="G34" s="546"/>
      <c r="H34" s="170"/>
      <c r="I34" s="131"/>
      <c r="J34" s="99"/>
      <c r="K34" s="99"/>
      <c r="L34" s="170"/>
      <c r="M34" s="99"/>
      <c r="N34" s="170"/>
      <c r="O34" s="99"/>
      <c r="P34" s="170"/>
      <c r="Q34" s="99"/>
      <c r="R34" s="170"/>
      <c r="S34" s="131"/>
      <c r="T34" s="99"/>
      <c r="U34" s="170"/>
      <c r="V34" s="170"/>
      <c r="W34" s="99"/>
      <c r="X34" s="170"/>
      <c r="Y34" s="131"/>
    </row>
    <row r="35" spans="1:25" s="140" customFormat="1" ht="15" customHeight="1" x14ac:dyDescent="0.25">
      <c r="A35" s="544">
        <v>6</v>
      </c>
      <c r="B35" s="545"/>
      <c r="C35" s="545"/>
      <c r="D35" s="545"/>
      <c r="E35" s="545"/>
      <c r="F35" s="545"/>
      <c r="G35" s="546"/>
      <c r="H35" s="170"/>
      <c r="I35" s="131"/>
      <c r="J35" s="99"/>
      <c r="K35" s="99"/>
      <c r="L35" s="170"/>
      <c r="M35" s="99"/>
      <c r="N35" s="170"/>
      <c r="O35" s="99"/>
      <c r="P35" s="170"/>
      <c r="Q35" s="99"/>
      <c r="R35" s="170"/>
      <c r="S35" s="131"/>
      <c r="T35" s="99"/>
      <c r="U35" s="170"/>
      <c r="V35" s="170"/>
      <c r="W35" s="99"/>
      <c r="X35" s="170"/>
      <c r="Y35" s="131"/>
    </row>
    <row r="36" spans="1:25" s="140" customFormat="1" ht="15" customHeight="1" x14ac:dyDescent="0.25">
      <c r="A36" s="544"/>
      <c r="B36" s="545"/>
      <c r="C36" s="545"/>
      <c r="D36" s="545"/>
      <c r="E36" s="545"/>
      <c r="F36" s="545"/>
      <c r="G36" s="546"/>
      <c r="H36" s="170"/>
      <c r="I36" s="131"/>
      <c r="J36" s="99"/>
      <c r="K36" s="99"/>
      <c r="L36" s="170"/>
      <c r="M36" s="99"/>
      <c r="N36" s="170"/>
      <c r="O36" s="99"/>
      <c r="P36" s="170"/>
      <c r="Q36" s="99"/>
      <c r="R36" s="170"/>
      <c r="S36" s="131"/>
      <c r="T36" s="99"/>
      <c r="U36" s="170"/>
      <c r="V36" s="170"/>
      <c r="W36" s="99"/>
      <c r="X36" s="170"/>
      <c r="Y36" s="131"/>
    </row>
    <row r="37" spans="1:25" s="140" customFormat="1" ht="15" customHeight="1" x14ac:dyDescent="0.25">
      <c r="A37" s="544"/>
      <c r="B37" s="545"/>
      <c r="C37" s="545"/>
      <c r="D37" s="545"/>
      <c r="E37" s="545"/>
      <c r="F37" s="545"/>
      <c r="G37" s="546"/>
      <c r="H37" s="170"/>
      <c r="I37" s="131"/>
      <c r="J37" s="99"/>
      <c r="K37" s="99"/>
      <c r="L37" s="170"/>
      <c r="M37" s="99"/>
      <c r="N37" s="170"/>
      <c r="O37" s="99"/>
      <c r="P37" s="170"/>
      <c r="Q37" s="99"/>
      <c r="R37" s="170"/>
      <c r="S37" s="131"/>
      <c r="T37" s="99"/>
      <c r="U37" s="170"/>
      <c r="V37" s="170"/>
      <c r="W37" s="99"/>
      <c r="X37" s="170"/>
      <c r="Y37" s="131"/>
    </row>
    <row r="38" spans="1:25" s="140" customFormat="1" ht="15" customHeight="1" x14ac:dyDescent="0.25">
      <c r="A38" s="544"/>
      <c r="B38" s="545"/>
      <c r="C38" s="545"/>
      <c r="D38" s="545"/>
      <c r="E38" s="545"/>
      <c r="F38" s="545"/>
      <c r="G38" s="546"/>
      <c r="H38" s="170"/>
      <c r="I38" s="131"/>
      <c r="J38" s="99"/>
      <c r="K38" s="99"/>
      <c r="L38" s="170"/>
      <c r="M38" s="99"/>
      <c r="N38" s="170"/>
      <c r="O38" s="99"/>
      <c r="P38" s="170"/>
      <c r="Q38" s="99"/>
      <c r="R38" s="170"/>
      <c r="S38" s="131"/>
      <c r="T38" s="99"/>
      <c r="U38" s="170"/>
      <c r="V38" s="170"/>
      <c r="W38" s="99"/>
      <c r="X38" s="170"/>
      <c r="Y38" s="131"/>
    </row>
    <row r="39" spans="1:25" s="140" customFormat="1" ht="15" customHeight="1" x14ac:dyDescent="0.25">
      <c r="A39" s="544"/>
      <c r="B39" s="545"/>
      <c r="C39" s="545"/>
      <c r="D39" s="545"/>
      <c r="E39" s="545"/>
      <c r="F39" s="545"/>
      <c r="G39" s="546"/>
      <c r="H39" s="170"/>
      <c r="I39" s="131"/>
      <c r="J39" s="99"/>
      <c r="K39" s="99"/>
      <c r="L39" s="170"/>
      <c r="M39" s="99"/>
      <c r="N39" s="170"/>
      <c r="O39" s="99"/>
      <c r="P39" s="170"/>
      <c r="Q39" s="99"/>
      <c r="R39" s="170"/>
      <c r="S39" s="131"/>
      <c r="T39" s="99"/>
      <c r="U39" s="170"/>
      <c r="V39" s="170"/>
      <c r="W39" s="99"/>
      <c r="X39" s="170"/>
      <c r="Y39" s="131"/>
    </row>
    <row r="40" spans="1:25" s="140" customFormat="1" ht="15" customHeight="1" x14ac:dyDescent="0.25">
      <c r="A40" s="544"/>
      <c r="B40" s="545"/>
      <c r="C40" s="545"/>
      <c r="D40" s="545"/>
      <c r="E40" s="545"/>
      <c r="F40" s="545"/>
      <c r="G40" s="546"/>
      <c r="H40" s="170"/>
      <c r="I40" s="131"/>
      <c r="J40" s="99"/>
      <c r="K40" s="99"/>
      <c r="L40" s="170"/>
      <c r="M40" s="99"/>
      <c r="N40" s="170"/>
      <c r="O40" s="99"/>
      <c r="P40" s="170"/>
      <c r="Q40" s="99"/>
      <c r="R40" s="170"/>
      <c r="S40" s="131"/>
      <c r="T40" s="99"/>
      <c r="U40" s="170"/>
      <c r="V40" s="170"/>
      <c r="W40" s="99"/>
      <c r="X40" s="170"/>
      <c r="Y40" s="131"/>
    </row>
    <row r="41" spans="1:25" s="140" customFormat="1" ht="15" customHeight="1" x14ac:dyDescent="0.25">
      <c r="A41" s="544">
        <v>7</v>
      </c>
      <c r="B41" s="545"/>
      <c r="C41" s="545"/>
      <c r="D41" s="545"/>
      <c r="E41" s="545"/>
      <c r="F41" s="545"/>
      <c r="G41" s="546"/>
      <c r="H41" s="170"/>
      <c r="I41" s="131"/>
      <c r="J41" s="99"/>
      <c r="K41" s="99"/>
      <c r="L41" s="170"/>
      <c r="M41" s="99"/>
      <c r="N41" s="170"/>
      <c r="O41" s="99"/>
      <c r="P41" s="170"/>
      <c r="Q41" s="99"/>
      <c r="R41" s="170"/>
      <c r="S41" s="131"/>
      <c r="T41" s="99"/>
      <c r="U41" s="170"/>
      <c r="V41" s="170"/>
      <c r="W41" s="99"/>
      <c r="X41" s="170"/>
      <c r="Y41" s="131"/>
    </row>
    <row r="42" spans="1:25" s="140" customFormat="1" ht="15" customHeight="1" x14ac:dyDescent="0.25">
      <c r="A42" s="544"/>
      <c r="B42" s="545"/>
      <c r="C42" s="545"/>
      <c r="D42" s="545"/>
      <c r="E42" s="545"/>
      <c r="F42" s="545"/>
      <c r="G42" s="546"/>
      <c r="H42" s="170"/>
      <c r="I42" s="131"/>
      <c r="J42" s="99"/>
      <c r="K42" s="99"/>
      <c r="L42" s="170"/>
      <c r="M42" s="99"/>
      <c r="N42" s="170"/>
      <c r="O42" s="99"/>
      <c r="P42" s="170"/>
      <c r="Q42" s="99"/>
      <c r="R42" s="170"/>
      <c r="S42" s="131"/>
      <c r="T42" s="99"/>
      <c r="U42" s="170"/>
      <c r="V42" s="170"/>
      <c r="W42" s="99"/>
      <c r="X42" s="170"/>
      <c r="Y42" s="131"/>
    </row>
    <row r="43" spans="1:25" s="140" customFormat="1" ht="15" customHeight="1" x14ac:dyDescent="0.25">
      <c r="A43" s="544"/>
      <c r="B43" s="545"/>
      <c r="C43" s="545"/>
      <c r="D43" s="545"/>
      <c r="E43" s="545"/>
      <c r="F43" s="545"/>
      <c r="G43" s="546"/>
      <c r="H43" s="170"/>
      <c r="I43" s="131"/>
      <c r="J43" s="99"/>
      <c r="K43" s="99"/>
      <c r="L43" s="170"/>
      <c r="M43" s="99"/>
      <c r="N43" s="170"/>
      <c r="O43" s="99"/>
      <c r="P43" s="170"/>
      <c r="Q43" s="99"/>
      <c r="R43" s="170"/>
      <c r="S43" s="131"/>
      <c r="T43" s="99"/>
      <c r="U43" s="170"/>
      <c r="V43" s="170"/>
      <c r="W43" s="99"/>
      <c r="X43" s="170"/>
      <c r="Y43" s="131"/>
    </row>
    <row r="44" spans="1:25" s="140" customFormat="1" ht="15" customHeight="1" x14ac:dyDescent="0.25">
      <c r="A44" s="544"/>
      <c r="B44" s="545"/>
      <c r="C44" s="545"/>
      <c r="D44" s="545"/>
      <c r="E44" s="545"/>
      <c r="F44" s="545"/>
      <c r="G44" s="546"/>
      <c r="H44" s="170"/>
      <c r="I44" s="131"/>
      <c r="J44" s="99"/>
      <c r="K44" s="99"/>
      <c r="L44" s="170"/>
      <c r="M44" s="99"/>
      <c r="N44" s="170"/>
      <c r="O44" s="99"/>
      <c r="P44" s="170"/>
      <c r="Q44" s="99"/>
      <c r="R44" s="170"/>
      <c r="S44" s="131"/>
      <c r="T44" s="99"/>
      <c r="U44" s="170"/>
      <c r="V44" s="170"/>
      <c r="W44" s="99"/>
      <c r="X44" s="170"/>
      <c r="Y44" s="131"/>
    </row>
    <row r="45" spans="1:25" s="140" customFormat="1" ht="15" customHeight="1" x14ac:dyDescent="0.25">
      <c r="A45" s="544"/>
      <c r="B45" s="545"/>
      <c r="C45" s="545"/>
      <c r="D45" s="545"/>
      <c r="E45" s="545"/>
      <c r="F45" s="545"/>
      <c r="G45" s="546"/>
      <c r="H45" s="170"/>
      <c r="I45" s="131"/>
      <c r="J45" s="99"/>
      <c r="K45" s="99"/>
      <c r="L45" s="170"/>
      <c r="M45" s="99"/>
      <c r="N45" s="170"/>
      <c r="O45" s="99"/>
      <c r="P45" s="170"/>
      <c r="Q45" s="99"/>
      <c r="R45" s="170"/>
      <c r="S45" s="131"/>
      <c r="T45" s="99"/>
      <c r="U45" s="170"/>
      <c r="V45" s="170"/>
      <c r="W45" s="99"/>
      <c r="X45" s="170"/>
      <c r="Y45" s="131"/>
    </row>
    <row r="46" spans="1:25" s="140" customFormat="1" ht="15" customHeight="1" x14ac:dyDescent="0.25">
      <c r="A46" s="544"/>
      <c r="B46" s="545"/>
      <c r="C46" s="545"/>
      <c r="D46" s="545"/>
      <c r="E46" s="545"/>
      <c r="F46" s="545"/>
      <c r="G46" s="546"/>
      <c r="H46" s="170"/>
      <c r="I46" s="131"/>
      <c r="J46" s="99"/>
      <c r="K46" s="99"/>
      <c r="L46" s="170"/>
      <c r="M46" s="99"/>
      <c r="N46" s="170"/>
      <c r="O46" s="99"/>
      <c r="P46" s="170"/>
      <c r="Q46" s="99"/>
      <c r="R46" s="170"/>
      <c r="S46" s="131"/>
      <c r="T46" s="99"/>
      <c r="U46" s="170"/>
      <c r="V46" s="170"/>
      <c r="W46" s="99"/>
      <c r="X46" s="170"/>
      <c r="Y46" s="131"/>
    </row>
    <row r="47" spans="1:25" s="140" customFormat="1" ht="15" customHeight="1" x14ac:dyDescent="0.25">
      <c r="A47" s="544">
        <v>8</v>
      </c>
      <c r="B47" s="545"/>
      <c r="C47" s="545"/>
      <c r="D47" s="545"/>
      <c r="E47" s="545"/>
      <c r="F47" s="545"/>
      <c r="G47" s="546"/>
      <c r="H47" s="170"/>
      <c r="I47" s="131"/>
      <c r="J47" s="99"/>
      <c r="K47" s="99"/>
      <c r="L47" s="170"/>
      <c r="M47" s="99"/>
      <c r="N47" s="170"/>
      <c r="O47" s="99"/>
      <c r="P47" s="170"/>
      <c r="Q47" s="99"/>
      <c r="R47" s="170"/>
      <c r="S47" s="131"/>
      <c r="T47" s="99"/>
      <c r="U47" s="170"/>
      <c r="V47" s="170"/>
      <c r="W47" s="99"/>
      <c r="X47" s="170"/>
      <c r="Y47" s="131"/>
    </row>
    <row r="48" spans="1:25" s="140" customFormat="1" ht="15" customHeight="1" x14ac:dyDescent="0.25">
      <c r="A48" s="544"/>
      <c r="B48" s="545"/>
      <c r="C48" s="545"/>
      <c r="D48" s="545"/>
      <c r="E48" s="545"/>
      <c r="F48" s="545"/>
      <c r="G48" s="546"/>
      <c r="H48" s="170"/>
      <c r="I48" s="131"/>
      <c r="J48" s="99"/>
      <c r="K48" s="99"/>
      <c r="L48" s="170"/>
      <c r="M48" s="99"/>
      <c r="N48" s="170"/>
      <c r="O48" s="99"/>
      <c r="P48" s="170"/>
      <c r="Q48" s="99"/>
      <c r="R48" s="170"/>
      <c r="S48" s="131"/>
      <c r="T48" s="99"/>
      <c r="U48" s="170"/>
      <c r="V48" s="170"/>
      <c r="W48" s="99"/>
      <c r="X48" s="170"/>
      <c r="Y48" s="131"/>
    </row>
    <row r="49" spans="1:25" s="140" customFormat="1" ht="15" customHeight="1" x14ac:dyDescent="0.25">
      <c r="A49" s="544"/>
      <c r="B49" s="545"/>
      <c r="C49" s="545"/>
      <c r="D49" s="545"/>
      <c r="E49" s="545"/>
      <c r="F49" s="545"/>
      <c r="G49" s="546"/>
      <c r="H49" s="170"/>
      <c r="I49" s="131"/>
      <c r="J49" s="99"/>
      <c r="K49" s="99"/>
      <c r="L49" s="170"/>
      <c r="M49" s="99"/>
      <c r="N49" s="170"/>
      <c r="O49" s="99"/>
      <c r="P49" s="170"/>
      <c r="Q49" s="99"/>
      <c r="R49" s="170"/>
      <c r="S49" s="131"/>
      <c r="T49" s="99"/>
      <c r="U49" s="170"/>
      <c r="V49" s="170"/>
      <c r="W49" s="99"/>
      <c r="X49" s="170"/>
      <c r="Y49" s="131"/>
    </row>
    <row r="50" spans="1:25" s="140" customFormat="1" ht="15" customHeight="1" x14ac:dyDescent="0.25">
      <c r="A50" s="544"/>
      <c r="B50" s="545"/>
      <c r="C50" s="545"/>
      <c r="D50" s="545"/>
      <c r="E50" s="545"/>
      <c r="F50" s="545"/>
      <c r="G50" s="546"/>
      <c r="H50" s="170"/>
      <c r="I50" s="131"/>
      <c r="J50" s="99"/>
      <c r="K50" s="99"/>
      <c r="L50" s="170"/>
      <c r="M50" s="99"/>
      <c r="N50" s="170"/>
      <c r="O50" s="99"/>
      <c r="P50" s="170"/>
      <c r="Q50" s="99"/>
      <c r="R50" s="170"/>
      <c r="S50" s="131"/>
      <c r="T50" s="99"/>
      <c r="U50" s="170"/>
      <c r="V50" s="170"/>
      <c r="W50" s="99"/>
      <c r="X50" s="170"/>
      <c r="Y50" s="131"/>
    </row>
    <row r="51" spans="1:25" s="140" customFormat="1" ht="15" customHeight="1" x14ac:dyDescent="0.25">
      <c r="A51" s="544"/>
      <c r="B51" s="545"/>
      <c r="C51" s="545"/>
      <c r="D51" s="545"/>
      <c r="E51" s="545"/>
      <c r="F51" s="545"/>
      <c r="G51" s="546"/>
      <c r="H51" s="170"/>
      <c r="I51" s="131"/>
      <c r="J51" s="99"/>
      <c r="K51" s="99"/>
      <c r="L51" s="170"/>
      <c r="M51" s="99"/>
      <c r="N51" s="170"/>
      <c r="O51" s="99"/>
      <c r="P51" s="170"/>
      <c r="Q51" s="99"/>
      <c r="R51" s="170"/>
      <c r="S51" s="131"/>
      <c r="T51" s="99"/>
      <c r="U51" s="170"/>
      <c r="V51" s="170"/>
      <c r="W51" s="99"/>
      <c r="X51" s="170"/>
      <c r="Y51" s="131"/>
    </row>
    <row r="52" spans="1:25" s="140" customFormat="1" ht="15" customHeight="1" x14ac:dyDescent="0.25">
      <c r="A52" s="544"/>
      <c r="B52" s="545"/>
      <c r="C52" s="545"/>
      <c r="D52" s="545"/>
      <c r="E52" s="545"/>
      <c r="F52" s="545"/>
      <c r="G52" s="546"/>
      <c r="H52" s="170"/>
      <c r="I52" s="131"/>
      <c r="J52" s="99"/>
      <c r="K52" s="99"/>
      <c r="L52" s="170"/>
      <c r="M52" s="99"/>
      <c r="N52" s="170"/>
      <c r="O52" s="99"/>
      <c r="P52" s="170"/>
      <c r="Q52" s="99"/>
      <c r="R52" s="170"/>
      <c r="S52" s="131"/>
      <c r="T52" s="99"/>
      <c r="U52" s="170"/>
      <c r="V52" s="170"/>
      <c r="W52" s="99"/>
      <c r="X52" s="170"/>
      <c r="Y52" s="131"/>
    </row>
    <row r="53" spans="1:25" s="140" customFormat="1" ht="15" customHeight="1" x14ac:dyDescent="0.25">
      <c r="A53" s="544">
        <v>9</v>
      </c>
      <c r="B53" s="545"/>
      <c r="C53" s="545"/>
      <c r="D53" s="545"/>
      <c r="E53" s="545"/>
      <c r="F53" s="545"/>
      <c r="G53" s="546"/>
      <c r="H53" s="170"/>
      <c r="I53" s="131"/>
      <c r="J53" s="99"/>
      <c r="K53" s="99"/>
      <c r="L53" s="170"/>
      <c r="M53" s="99"/>
      <c r="N53" s="170"/>
      <c r="O53" s="99"/>
      <c r="P53" s="170"/>
      <c r="Q53" s="99"/>
      <c r="R53" s="170"/>
      <c r="S53" s="131"/>
      <c r="T53" s="99"/>
      <c r="U53" s="170"/>
      <c r="V53" s="170"/>
      <c r="W53" s="99"/>
      <c r="X53" s="170"/>
      <c r="Y53" s="131"/>
    </row>
    <row r="54" spans="1:25" s="140" customFormat="1" ht="15" customHeight="1" x14ac:dyDescent="0.25">
      <c r="A54" s="544"/>
      <c r="B54" s="545"/>
      <c r="C54" s="545"/>
      <c r="D54" s="545"/>
      <c r="E54" s="545"/>
      <c r="F54" s="545"/>
      <c r="G54" s="546"/>
      <c r="H54" s="170"/>
      <c r="I54" s="131"/>
      <c r="J54" s="99"/>
      <c r="K54" s="99"/>
      <c r="L54" s="170"/>
      <c r="M54" s="99"/>
      <c r="N54" s="170"/>
      <c r="O54" s="99"/>
      <c r="P54" s="170"/>
      <c r="Q54" s="99"/>
      <c r="R54" s="170"/>
      <c r="S54" s="131"/>
      <c r="T54" s="99"/>
      <c r="U54" s="170"/>
      <c r="V54" s="170"/>
      <c r="W54" s="99"/>
      <c r="X54" s="170"/>
      <c r="Y54" s="131"/>
    </row>
    <row r="55" spans="1:25" s="140" customFormat="1" ht="15" customHeight="1" x14ac:dyDescent="0.25">
      <c r="A55" s="544"/>
      <c r="B55" s="545"/>
      <c r="C55" s="545"/>
      <c r="D55" s="545"/>
      <c r="E55" s="545"/>
      <c r="F55" s="545"/>
      <c r="G55" s="546"/>
      <c r="H55" s="170"/>
      <c r="I55" s="131"/>
      <c r="J55" s="99"/>
      <c r="K55" s="99"/>
      <c r="L55" s="170"/>
      <c r="M55" s="99"/>
      <c r="N55" s="170"/>
      <c r="O55" s="99"/>
      <c r="P55" s="170"/>
      <c r="Q55" s="99"/>
      <c r="R55" s="170"/>
      <c r="S55" s="131"/>
      <c r="T55" s="99"/>
      <c r="U55" s="170"/>
      <c r="V55" s="170"/>
      <c r="W55" s="99"/>
      <c r="X55" s="170"/>
      <c r="Y55" s="131"/>
    </row>
    <row r="56" spans="1:25" s="140" customFormat="1" ht="15" customHeight="1" x14ac:dyDescent="0.25">
      <c r="A56" s="544"/>
      <c r="B56" s="545"/>
      <c r="C56" s="545"/>
      <c r="D56" s="545"/>
      <c r="E56" s="545"/>
      <c r="F56" s="545"/>
      <c r="G56" s="546"/>
      <c r="H56" s="170"/>
      <c r="I56" s="131"/>
      <c r="J56" s="99"/>
      <c r="K56" s="99"/>
      <c r="L56" s="170"/>
      <c r="M56" s="99"/>
      <c r="N56" s="170"/>
      <c r="O56" s="99"/>
      <c r="P56" s="170"/>
      <c r="Q56" s="99"/>
      <c r="R56" s="170"/>
      <c r="S56" s="131"/>
      <c r="T56" s="99"/>
      <c r="U56" s="170"/>
      <c r="V56" s="170"/>
      <c r="W56" s="99"/>
      <c r="X56" s="170"/>
      <c r="Y56" s="131"/>
    </row>
    <row r="57" spans="1:25" s="140" customFormat="1" ht="15" customHeight="1" x14ac:dyDescent="0.25">
      <c r="A57" s="544"/>
      <c r="B57" s="545"/>
      <c r="C57" s="545"/>
      <c r="D57" s="545"/>
      <c r="E57" s="545"/>
      <c r="F57" s="545"/>
      <c r="G57" s="546"/>
      <c r="H57" s="170"/>
      <c r="I57" s="131"/>
      <c r="J57" s="99"/>
      <c r="K57" s="99"/>
      <c r="L57" s="170"/>
      <c r="M57" s="99"/>
      <c r="N57" s="170"/>
      <c r="O57" s="99"/>
      <c r="P57" s="170"/>
      <c r="Q57" s="99"/>
      <c r="R57" s="170"/>
      <c r="S57" s="131"/>
      <c r="T57" s="99"/>
      <c r="U57" s="170"/>
      <c r="V57" s="170"/>
      <c r="W57" s="99"/>
      <c r="X57" s="170"/>
      <c r="Y57" s="131"/>
    </row>
    <row r="58" spans="1:25" s="140" customFormat="1" ht="15" customHeight="1" x14ac:dyDescent="0.25">
      <c r="A58" s="544"/>
      <c r="B58" s="545"/>
      <c r="C58" s="545"/>
      <c r="D58" s="545"/>
      <c r="E58" s="545"/>
      <c r="F58" s="545"/>
      <c r="G58" s="546"/>
      <c r="H58" s="170"/>
      <c r="I58" s="131"/>
      <c r="J58" s="99"/>
      <c r="K58" s="99"/>
      <c r="L58" s="170"/>
      <c r="M58" s="99"/>
      <c r="N58" s="170"/>
      <c r="O58" s="99"/>
      <c r="P58" s="170"/>
      <c r="Q58" s="99"/>
      <c r="R58" s="170"/>
      <c r="S58" s="131"/>
      <c r="T58" s="99"/>
      <c r="U58" s="170"/>
      <c r="V58" s="170"/>
      <c r="W58" s="99"/>
      <c r="X58" s="170"/>
      <c r="Y58" s="131"/>
    </row>
    <row r="59" spans="1:25" s="140" customFormat="1" ht="15" customHeight="1" x14ac:dyDescent="0.25">
      <c r="A59" s="544">
        <v>10</v>
      </c>
      <c r="B59" s="545"/>
      <c r="C59" s="545"/>
      <c r="D59" s="545"/>
      <c r="E59" s="545"/>
      <c r="F59" s="545"/>
      <c r="G59" s="546"/>
      <c r="H59" s="170"/>
      <c r="I59" s="131"/>
      <c r="J59" s="99"/>
      <c r="K59" s="99"/>
      <c r="L59" s="170"/>
      <c r="M59" s="99"/>
      <c r="N59" s="170"/>
      <c r="O59" s="99"/>
      <c r="P59" s="170"/>
      <c r="Q59" s="99"/>
      <c r="R59" s="170"/>
      <c r="S59" s="131"/>
      <c r="T59" s="99"/>
      <c r="U59" s="170"/>
      <c r="V59" s="170"/>
      <c r="W59" s="99"/>
      <c r="X59" s="170"/>
      <c r="Y59" s="131"/>
    </row>
    <row r="60" spans="1:25" s="140" customFormat="1" ht="15" customHeight="1" x14ac:dyDescent="0.25">
      <c r="A60" s="544"/>
      <c r="B60" s="545"/>
      <c r="C60" s="545"/>
      <c r="D60" s="545"/>
      <c r="E60" s="545"/>
      <c r="F60" s="545"/>
      <c r="G60" s="546"/>
      <c r="H60" s="170"/>
      <c r="I60" s="131"/>
      <c r="J60" s="99"/>
      <c r="K60" s="99"/>
      <c r="L60" s="170"/>
      <c r="M60" s="99"/>
      <c r="N60" s="170"/>
      <c r="O60" s="99"/>
      <c r="P60" s="170"/>
      <c r="Q60" s="99"/>
      <c r="R60" s="170"/>
      <c r="S60" s="131"/>
      <c r="T60" s="99"/>
      <c r="U60" s="170"/>
      <c r="V60" s="170"/>
      <c r="W60" s="99"/>
      <c r="X60" s="170"/>
      <c r="Y60" s="131"/>
    </row>
    <row r="61" spans="1:25" s="140" customFormat="1" ht="15" customHeight="1" x14ac:dyDescent="0.25">
      <c r="A61" s="544"/>
      <c r="B61" s="545"/>
      <c r="C61" s="545"/>
      <c r="D61" s="545"/>
      <c r="E61" s="545"/>
      <c r="F61" s="545"/>
      <c r="G61" s="546"/>
      <c r="H61" s="170"/>
      <c r="I61" s="131"/>
      <c r="J61" s="99"/>
      <c r="K61" s="99"/>
      <c r="L61" s="170"/>
      <c r="M61" s="99"/>
      <c r="N61" s="170"/>
      <c r="O61" s="99"/>
      <c r="P61" s="170"/>
      <c r="Q61" s="99"/>
      <c r="R61" s="170"/>
      <c r="S61" s="131"/>
      <c r="T61" s="99"/>
      <c r="U61" s="170"/>
      <c r="V61" s="170"/>
      <c r="W61" s="99"/>
      <c r="X61" s="170"/>
      <c r="Y61" s="131"/>
    </row>
    <row r="62" spans="1:25" s="140" customFormat="1" ht="15" customHeight="1" x14ac:dyDescent="0.25">
      <c r="A62" s="544"/>
      <c r="B62" s="545"/>
      <c r="C62" s="545"/>
      <c r="D62" s="545"/>
      <c r="E62" s="545"/>
      <c r="F62" s="545"/>
      <c r="G62" s="546"/>
      <c r="H62" s="170"/>
      <c r="I62" s="131"/>
      <c r="J62" s="99"/>
      <c r="K62" s="99"/>
      <c r="L62" s="170"/>
      <c r="M62" s="99"/>
      <c r="N62" s="170"/>
      <c r="O62" s="99"/>
      <c r="P62" s="170"/>
      <c r="Q62" s="99"/>
      <c r="R62" s="170"/>
      <c r="S62" s="131"/>
      <c r="T62" s="99"/>
      <c r="U62" s="170"/>
      <c r="V62" s="170"/>
      <c r="W62" s="99"/>
      <c r="X62" s="170"/>
      <c r="Y62" s="131"/>
    </row>
    <row r="63" spans="1:25" s="140" customFormat="1" ht="15" customHeight="1" x14ac:dyDescent="0.25">
      <c r="A63" s="544"/>
      <c r="B63" s="545"/>
      <c r="C63" s="545"/>
      <c r="D63" s="545"/>
      <c r="E63" s="545"/>
      <c r="F63" s="545"/>
      <c r="G63" s="546"/>
      <c r="H63" s="170"/>
      <c r="I63" s="131"/>
      <c r="J63" s="99"/>
      <c r="K63" s="99"/>
      <c r="L63" s="170"/>
      <c r="M63" s="99"/>
      <c r="N63" s="170"/>
      <c r="O63" s="99"/>
      <c r="P63" s="170"/>
      <c r="Q63" s="99"/>
      <c r="R63" s="170"/>
      <c r="S63" s="131"/>
      <c r="T63" s="99"/>
      <c r="U63" s="170"/>
      <c r="V63" s="170"/>
      <c r="W63" s="99"/>
      <c r="X63" s="170"/>
      <c r="Y63" s="131"/>
    </row>
    <row r="64" spans="1:25" s="140" customFormat="1" ht="15" customHeight="1" x14ac:dyDescent="0.25">
      <c r="A64" s="544"/>
      <c r="B64" s="545"/>
      <c r="C64" s="545"/>
      <c r="D64" s="545"/>
      <c r="E64" s="545"/>
      <c r="F64" s="545"/>
      <c r="G64" s="546"/>
      <c r="H64" s="170"/>
      <c r="I64" s="131"/>
      <c r="J64" s="99"/>
      <c r="K64" s="99"/>
      <c r="L64" s="170"/>
      <c r="M64" s="99"/>
      <c r="N64" s="170"/>
      <c r="O64" s="99"/>
      <c r="P64" s="170"/>
      <c r="Q64" s="99"/>
      <c r="R64" s="170"/>
      <c r="S64" s="131"/>
      <c r="T64" s="99"/>
      <c r="U64" s="170"/>
      <c r="V64" s="170"/>
      <c r="W64" s="99"/>
      <c r="X64" s="170"/>
      <c r="Y64" s="131"/>
    </row>
  </sheetData>
  <sheetProtection algorithmName="SHA-512" hashValue="pIUFpGBS8RTOgM32iLqk8IpX2PFCDvvKNkk1qjImrAg+x5HppWYrPTecliREqjJDVUHc1+eFipEeug/gCN/+og==" saltValue="qbu5q6kdB6YCsdtwy3rmRw=="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row>
    <row r="2" spans="1:99" ht="18" customHeight="1" x14ac:dyDescent="0.25">
      <c r="A2" s="57"/>
      <c r="B2" s="632" t="s">
        <v>570</v>
      </c>
      <c r="C2" s="632"/>
      <c r="D2" s="632"/>
      <c r="E2" s="632"/>
      <c r="F2" s="632"/>
      <c r="G2" s="632"/>
      <c r="H2" s="632"/>
      <c r="I2" s="632"/>
      <c r="J2" s="600" t="s">
        <v>15</v>
      </c>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row>
    <row r="3" spans="1:99" ht="18.75" customHeight="1" x14ac:dyDescent="0.25">
      <c r="A3" s="57"/>
      <c r="B3" s="632"/>
      <c r="C3" s="632"/>
      <c r="D3" s="632"/>
      <c r="E3" s="632"/>
      <c r="F3" s="632"/>
      <c r="G3" s="632"/>
      <c r="H3" s="632"/>
      <c r="I3" s="632"/>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row>
    <row r="4" spans="1:99" ht="15" customHeight="1" x14ac:dyDescent="0.25">
      <c r="A4" s="57"/>
      <c r="B4" s="632"/>
      <c r="C4" s="632"/>
      <c r="D4" s="632"/>
      <c r="E4" s="632"/>
      <c r="F4" s="632"/>
      <c r="G4" s="632"/>
      <c r="H4" s="632"/>
      <c r="I4" s="632"/>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row>
    <row r="5" spans="1:99"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row>
    <row r="6" spans="1:99" ht="15" customHeight="1" x14ac:dyDescent="0.25">
      <c r="A6" s="57"/>
      <c r="B6" s="547" t="s">
        <v>347</v>
      </c>
      <c r="C6" s="547"/>
      <c r="D6" s="548"/>
      <c r="E6" s="585" t="s">
        <v>571</v>
      </c>
      <c r="F6" s="586"/>
      <c r="G6" s="586"/>
      <c r="H6" s="586"/>
      <c r="I6" s="587"/>
      <c r="J6" s="596" t="e">
        <f>IF(AND(' RIESGOS DE GESTION'!#REF!="Muy Alta",' RIESGOS DE GESTION'!#REF!="Leve"),CONCATENATE("R",' RIESGOS DE GESTION'!#REF!),"")</f>
        <v>#REF!</v>
      </c>
      <c r="K6" s="597"/>
      <c r="L6" s="597" t="e">
        <f>IF(AND(' RIESGOS DE GESTION'!#REF!="Muy Alta",' RIESGOS DE GESTION'!#REF!="Leve"),CONCATENATE("R",' RIESGOS DE GESTION'!#REF!),"")</f>
        <v>#REF!</v>
      </c>
      <c r="M6" s="597"/>
      <c r="N6" s="597" t="e">
        <f>IF(AND(' RIESGOS DE GESTION'!#REF!="Muy Alta",' RIESGOS DE GESTION'!#REF!="Leve"),CONCATENATE("R",' RIESGOS DE GESTION'!#REF!),"")</f>
        <v>#REF!</v>
      </c>
      <c r="O6" s="599"/>
      <c r="P6" s="596" t="e">
        <f>IF(AND(' RIESGOS DE GESTION'!#REF!="Muy Alta",' RIESGOS DE GESTION'!#REF!="Menor"),CONCATENATE("R",' RIESGOS DE GESTION'!#REF!),"")</f>
        <v>#REF!</v>
      </c>
      <c r="Q6" s="597"/>
      <c r="R6" s="597" t="e">
        <f>IF(AND(' RIESGOS DE GESTION'!#REF!="Muy Alta",' RIESGOS DE GESTION'!#REF!="Menor"),CONCATENATE("R",' RIESGOS DE GESTION'!#REF!),"")</f>
        <v>#REF!</v>
      </c>
      <c r="S6" s="597"/>
      <c r="T6" s="597" t="e">
        <f>IF(AND(' RIESGOS DE GESTION'!#REF!="Muy Alta",' RIESGOS DE GESTION'!#REF!="Menor"),CONCATENATE("R",' RIESGOS DE GESTION'!#REF!),"")</f>
        <v>#REF!</v>
      </c>
      <c r="U6" s="599"/>
      <c r="V6" s="596" t="e">
        <f>IF(AND(' RIESGOS DE GESTION'!#REF!="Muy Alta",' RIESGOS DE GESTION'!#REF!="Moderado"),CONCATENATE("R",' RIESGOS DE GESTION'!#REF!),"")</f>
        <v>#REF!</v>
      </c>
      <c r="W6" s="597"/>
      <c r="X6" s="597" t="e">
        <f>IF(AND(' RIESGOS DE GESTION'!#REF!="Muy Alta",' RIESGOS DE GESTION'!#REF!="Moderado"),CONCATENATE("R",' RIESGOS DE GESTION'!#REF!),"")</f>
        <v>#REF!</v>
      </c>
      <c r="Y6" s="597"/>
      <c r="Z6" s="597" t="e">
        <f>IF(AND(' RIESGOS DE GESTION'!#REF!="Muy Alta",' RIESGOS DE GESTION'!#REF!="Moderado"),CONCATENATE("R",' RIESGOS DE GESTION'!#REF!),"")</f>
        <v>#REF!</v>
      </c>
      <c r="AA6" s="599"/>
      <c r="AB6" s="596" t="e">
        <f>IF(AND(' RIESGOS DE GESTION'!#REF!="Muy Alta",' RIESGOS DE GESTION'!#REF!="Mayor"),CONCATENATE("R",' RIESGOS DE GESTION'!#REF!),"")</f>
        <v>#REF!</v>
      </c>
      <c r="AC6" s="597"/>
      <c r="AD6" s="597" t="e">
        <f>IF(AND(' RIESGOS DE GESTION'!#REF!="Muy Alta",' RIESGOS DE GESTION'!#REF!="Mayor"),CONCATENATE("R",' RIESGOS DE GESTION'!#REF!),"")</f>
        <v>#REF!</v>
      </c>
      <c r="AE6" s="597"/>
      <c r="AF6" s="597" t="e">
        <f>IF(AND(' RIESGOS DE GESTION'!#REF!="Muy Alta",' RIESGOS DE GESTION'!#REF!="Mayor"),CONCATENATE("R",' RIESGOS DE GESTION'!#REF!),"")</f>
        <v>#REF!</v>
      </c>
      <c r="AG6" s="599"/>
      <c r="AH6" s="611" t="e">
        <f>IF(AND(' RIESGOS DE GESTION'!#REF!="Muy Alta",' RIESGOS DE GESTION'!#REF!="Catastrófico"),CONCATENATE("R",' RIESGOS DE GESTION'!#REF!),"")</f>
        <v>#REF!</v>
      </c>
      <c r="AI6" s="612"/>
      <c r="AJ6" s="612" t="e">
        <f>IF(AND(' RIESGOS DE GESTION'!#REF!="Muy Alta",' RIESGOS DE GESTION'!#REF!="Catastrófico"),CONCATENATE("R",' RIESGOS DE GESTION'!#REF!),"")</f>
        <v>#REF!</v>
      </c>
      <c r="AK6" s="612"/>
      <c r="AL6" s="612" t="e">
        <f>IF(AND(' RIESGOS DE GESTION'!#REF!="Muy Alta",' RIESGOS DE GESTION'!#REF!="Catastrófico"),CONCATENATE("R",' RIESGOS DE GESTION'!#REF!),"")</f>
        <v>#REF!</v>
      </c>
      <c r="AM6" s="613"/>
      <c r="AO6" s="549" t="s">
        <v>572</v>
      </c>
      <c r="AP6" s="550"/>
      <c r="AQ6" s="550"/>
      <c r="AR6" s="550"/>
      <c r="AS6" s="550"/>
      <c r="AT6" s="551"/>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row>
    <row r="7" spans="1:99" ht="15" customHeight="1" x14ac:dyDescent="0.25">
      <c r="A7" s="57"/>
      <c r="B7" s="547"/>
      <c r="C7" s="547"/>
      <c r="D7" s="548"/>
      <c r="E7" s="588"/>
      <c r="F7" s="589"/>
      <c r="G7" s="589"/>
      <c r="H7" s="589"/>
      <c r="I7" s="590"/>
      <c r="J7" s="598"/>
      <c r="K7" s="594"/>
      <c r="L7" s="594"/>
      <c r="M7" s="594"/>
      <c r="N7" s="594"/>
      <c r="O7" s="595"/>
      <c r="P7" s="598"/>
      <c r="Q7" s="594"/>
      <c r="R7" s="594"/>
      <c r="S7" s="594"/>
      <c r="T7" s="594"/>
      <c r="U7" s="595"/>
      <c r="V7" s="598"/>
      <c r="W7" s="594"/>
      <c r="X7" s="594"/>
      <c r="Y7" s="594"/>
      <c r="Z7" s="594"/>
      <c r="AA7" s="595"/>
      <c r="AB7" s="598"/>
      <c r="AC7" s="594"/>
      <c r="AD7" s="594"/>
      <c r="AE7" s="594"/>
      <c r="AF7" s="594"/>
      <c r="AG7" s="595"/>
      <c r="AH7" s="605"/>
      <c r="AI7" s="606"/>
      <c r="AJ7" s="606"/>
      <c r="AK7" s="606"/>
      <c r="AL7" s="606"/>
      <c r="AM7" s="607"/>
      <c r="AN7" s="57"/>
      <c r="AO7" s="552"/>
      <c r="AP7" s="553"/>
      <c r="AQ7" s="553"/>
      <c r="AR7" s="553"/>
      <c r="AS7" s="553"/>
      <c r="AT7" s="554"/>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row>
    <row r="8" spans="1:99" ht="15" customHeight="1" x14ac:dyDescent="0.25">
      <c r="A8" s="57"/>
      <c r="B8" s="547"/>
      <c r="C8" s="547"/>
      <c r="D8" s="548"/>
      <c r="E8" s="588"/>
      <c r="F8" s="589"/>
      <c r="G8" s="589"/>
      <c r="H8" s="589"/>
      <c r="I8" s="590"/>
      <c r="J8" s="598" t="e">
        <f>IF(AND(' RIESGOS DE GESTION'!#REF!="Muy Alta",' RIESGOS DE GESTION'!#REF!="Leve"),CONCATENATE("R",' RIESGOS DE GESTION'!#REF!),"")</f>
        <v>#REF!</v>
      </c>
      <c r="K8" s="594"/>
      <c r="L8" s="594" t="e">
        <f>IF(AND(' RIESGOS DE GESTION'!#REF!="Muy Alta",' RIESGOS DE GESTION'!#REF!="Leve"),CONCATENATE("R",' RIESGOS DE GESTION'!#REF!),"")</f>
        <v>#REF!</v>
      </c>
      <c r="M8" s="594"/>
      <c r="N8" s="594" t="e">
        <f>IF(AND(' RIESGOS DE GESTION'!#REF!="Muy Alta",' RIESGOS DE GESTION'!#REF!="Leve"),CONCATENATE("R",' RIESGOS DE GESTION'!#REF!),"")</f>
        <v>#REF!</v>
      </c>
      <c r="O8" s="595"/>
      <c r="P8" s="598" t="e">
        <f>IF(AND(' RIESGOS DE GESTION'!#REF!="Muy Alta",' RIESGOS DE GESTION'!#REF!="Menor"),CONCATENATE("R",' RIESGOS DE GESTION'!#REF!),"")</f>
        <v>#REF!</v>
      </c>
      <c r="Q8" s="594"/>
      <c r="R8" s="594" t="e">
        <f>IF(AND(' RIESGOS DE GESTION'!#REF!="Muy Alta",' RIESGOS DE GESTION'!#REF!="Menor"),CONCATENATE("R",' RIESGOS DE GESTION'!#REF!),"")</f>
        <v>#REF!</v>
      </c>
      <c r="S8" s="594"/>
      <c r="T8" s="594" t="e">
        <f>IF(AND(' RIESGOS DE GESTION'!#REF!="Muy Alta",' RIESGOS DE GESTION'!#REF!="Menor"),CONCATENATE("R",' RIESGOS DE GESTION'!#REF!),"")</f>
        <v>#REF!</v>
      </c>
      <c r="U8" s="595"/>
      <c r="V8" s="598" t="e">
        <f>IF(AND(' RIESGOS DE GESTION'!#REF!="Muy Alta",' RIESGOS DE GESTION'!#REF!="Moderado"),CONCATENATE("R",' RIESGOS DE GESTION'!#REF!),"")</f>
        <v>#REF!</v>
      </c>
      <c r="W8" s="594"/>
      <c r="X8" s="594" t="e">
        <f>IF(AND(' RIESGOS DE GESTION'!#REF!="Muy Alta",' RIESGOS DE GESTION'!#REF!="Moderado"),CONCATENATE("R",' RIESGOS DE GESTION'!#REF!),"")</f>
        <v>#REF!</v>
      </c>
      <c r="Y8" s="594"/>
      <c r="Z8" s="594" t="e">
        <f>IF(AND(' RIESGOS DE GESTION'!#REF!="Muy Alta",' RIESGOS DE GESTION'!#REF!="Moderado"),CONCATENATE("R",' RIESGOS DE GESTION'!#REF!),"")</f>
        <v>#REF!</v>
      </c>
      <c r="AA8" s="595"/>
      <c r="AB8" s="598" t="e">
        <f>IF(AND(' RIESGOS DE GESTION'!#REF!="Muy Alta",' RIESGOS DE GESTION'!#REF!="Mayor"),CONCATENATE("R",' RIESGOS DE GESTION'!#REF!),"")</f>
        <v>#REF!</v>
      </c>
      <c r="AC8" s="594"/>
      <c r="AD8" s="594" t="e">
        <f>IF(AND(' RIESGOS DE GESTION'!#REF!="Muy Alta",' RIESGOS DE GESTION'!#REF!="Mayor"),CONCATENATE("R",' RIESGOS DE GESTION'!#REF!),"")</f>
        <v>#REF!</v>
      </c>
      <c r="AE8" s="594"/>
      <c r="AF8" s="594" t="e">
        <f>IF(AND(' RIESGOS DE GESTION'!#REF!="Muy Alta",' RIESGOS DE GESTION'!#REF!="Mayor"),CONCATENATE("R",' RIESGOS DE GESTION'!#REF!),"")</f>
        <v>#REF!</v>
      </c>
      <c r="AG8" s="595"/>
      <c r="AH8" s="605" t="e">
        <f>IF(AND(' RIESGOS DE GESTION'!#REF!="Muy Alta",' RIESGOS DE GESTION'!#REF!="Catastrófico"),CONCATENATE("R",' RIESGOS DE GESTION'!#REF!),"")</f>
        <v>#REF!</v>
      </c>
      <c r="AI8" s="606"/>
      <c r="AJ8" s="606" t="e">
        <f>IF(AND(' RIESGOS DE GESTION'!#REF!="Muy Alta",' RIESGOS DE GESTION'!#REF!="Catastrófico"),CONCATENATE("R",' RIESGOS DE GESTION'!#REF!),"")</f>
        <v>#REF!</v>
      </c>
      <c r="AK8" s="606"/>
      <c r="AL8" s="606" t="e">
        <f>IF(AND(' RIESGOS DE GESTION'!#REF!="Muy Alta",' RIESGOS DE GESTION'!#REF!="Catastrófico"),CONCATENATE("R",' RIESGOS DE GESTION'!#REF!),"")</f>
        <v>#REF!</v>
      </c>
      <c r="AM8" s="607"/>
      <c r="AN8" s="57"/>
      <c r="AO8" s="552"/>
      <c r="AP8" s="553"/>
      <c r="AQ8" s="553"/>
      <c r="AR8" s="553"/>
      <c r="AS8" s="553"/>
      <c r="AT8" s="554"/>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99" ht="15" customHeight="1" x14ac:dyDescent="0.25">
      <c r="A9" s="57"/>
      <c r="B9" s="547"/>
      <c r="C9" s="547"/>
      <c r="D9" s="548"/>
      <c r="E9" s="588"/>
      <c r="F9" s="589"/>
      <c r="G9" s="589"/>
      <c r="H9" s="589"/>
      <c r="I9" s="590"/>
      <c r="J9" s="598"/>
      <c r="K9" s="594"/>
      <c r="L9" s="594"/>
      <c r="M9" s="594"/>
      <c r="N9" s="594"/>
      <c r="O9" s="595"/>
      <c r="P9" s="598"/>
      <c r="Q9" s="594"/>
      <c r="R9" s="594"/>
      <c r="S9" s="594"/>
      <c r="T9" s="594"/>
      <c r="U9" s="595"/>
      <c r="V9" s="598"/>
      <c r="W9" s="594"/>
      <c r="X9" s="594"/>
      <c r="Y9" s="594"/>
      <c r="Z9" s="594"/>
      <c r="AA9" s="595"/>
      <c r="AB9" s="598"/>
      <c r="AC9" s="594"/>
      <c r="AD9" s="594"/>
      <c r="AE9" s="594"/>
      <c r="AF9" s="594"/>
      <c r="AG9" s="595"/>
      <c r="AH9" s="605"/>
      <c r="AI9" s="606"/>
      <c r="AJ9" s="606"/>
      <c r="AK9" s="606"/>
      <c r="AL9" s="606"/>
      <c r="AM9" s="607"/>
      <c r="AN9" s="57"/>
      <c r="AO9" s="552"/>
      <c r="AP9" s="553"/>
      <c r="AQ9" s="553"/>
      <c r="AR9" s="553"/>
      <c r="AS9" s="553"/>
      <c r="AT9" s="554"/>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99" ht="15" customHeight="1" x14ac:dyDescent="0.25">
      <c r="A10" s="57"/>
      <c r="B10" s="547"/>
      <c r="C10" s="547"/>
      <c r="D10" s="548"/>
      <c r="E10" s="588"/>
      <c r="F10" s="589"/>
      <c r="G10" s="589"/>
      <c r="H10" s="589"/>
      <c r="I10" s="590"/>
      <c r="J10" s="598" t="e">
        <f>IF(AND(' RIESGOS DE GESTION'!#REF!="Muy Alta",' RIESGOS DE GESTION'!#REF!="Leve"),CONCATENATE("R",' RIESGOS DE GESTION'!#REF!),"")</f>
        <v>#REF!</v>
      </c>
      <c r="K10" s="594"/>
      <c r="L10" s="594" t="e">
        <f>IF(AND(' RIESGOS DE GESTION'!#REF!="Muy Alta",' RIESGOS DE GESTION'!#REF!="Leve"),CONCATENATE("R",' RIESGOS DE GESTION'!#REF!),"")</f>
        <v>#REF!</v>
      </c>
      <c r="M10" s="594"/>
      <c r="N10" s="594" t="e">
        <f>IF(AND(' RIESGOS DE GESTION'!#REF!="Muy Alta",' RIESGOS DE GESTION'!#REF!="Leve"),CONCATENATE("R",' RIESGOS DE GESTION'!#REF!),"")</f>
        <v>#REF!</v>
      </c>
      <c r="O10" s="595"/>
      <c r="P10" s="598" t="e">
        <f>IF(AND(' RIESGOS DE GESTION'!#REF!="Muy Alta",' RIESGOS DE GESTION'!#REF!="Menor"),CONCATENATE("R",' RIESGOS DE GESTION'!#REF!),"")</f>
        <v>#REF!</v>
      </c>
      <c r="Q10" s="594"/>
      <c r="R10" s="594" t="e">
        <f>IF(AND(' RIESGOS DE GESTION'!#REF!="Muy Alta",' RIESGOS DE GESTION'!#REF!="Menor"),CONCATENATE("R",' RIESGOS DE GESTION'!#REF!),"")</f>
        <v>#REF!</v>
      </c>
      <c r="S10" s="594"/>
      <c r="T10" s="594" t="e">
        <f>IF(AND(' RIESGOS DE GESTION'!#REF!="Muy Alta",' RIESGOS DE GESTION'!#REF!="Menor"),CONCATENATE("R",' RIESGOS DE GESTION'!#REF!),"")</f>
        <v>#REF!</v>
      </c>
      <c r="U10" s="595"/>
      <c r="V10" s="598" t="e">
        <f>IF(AND(' RIESGOS DE GESTION'!#REF!="Muy Alta",' RIESGOS DE GESTION'!#REF!="Moderado"),CONCATENATE("R",' RIESGOS DE GESTION'!#REF!),"")</f>
        <v>#REF!</v>
      </c>
      <c r="W10" s="594"/>
      <c r="X10" s="594" t="e">
        <f>IF(AND(' RIESGOS DE GESTION'!#REF!="Muy Alta",' RIESGOS DE GESTION'!#REF!="Moderado"),CONCATENATE("R",' RIESGOS DE GESTION'!#REF!),"")</f>
        <v>#REF!</v>
      </c>
      <c r="Y10" s="594"/>
      <c r="Z10" s="594" t="e">
        <f>IF(AND(' RIESGOS DE GESTION'!#REF!="Muy Alta",' RIESGOS DE GESTION'!#REF!="Moderado"),CONCATENATE("R",' RIESGOS DE GESTION'!#REF!),"")</f>
        <v>#REF!</v>
      </c>
      <c r="AA10" s="595"/>
      <c r="AB10" s="598" t="e">
        <f>IF(AND(' RIESGOS DE GESTION'!#REF!="Muy Alta",' RIESGOS DE GESTION'!#REF!="Mayor"),CONCATENATE("R",' RIESGOS DE GESTION'!#REF!),"")</f>
        <v>#REF!</v>
      </c>
      <c r="AC10" s="594"/>
      <c r="AD10" s="594" t="e">
        <f>IF(AND(' RIESGOS DE GESTION'!#REF!="Muy Alta",' RIESGOS DE GESTION'!#REF!="Mayor"),CONCATENATE("R",' RIESGOS DE GESTION'!#REF!),"")</f>
        <v>#REF!</v>
      </c>
      <c r="AE10" s="594"/>
      <c r="AF10" s="594" t="e">
        <f>IF(AND(' RIESGOS DE GESTION'!#REF!="Muy Alta",' RIESGOS DE GESTION'!#REF!="Mayor"),CONCATENATE("R",' RIESGOS DE GESTION'!#REF!),"")</f>
        <v>#REF!</v>
      </c>
      <c r="AG10" s="595"/>
      <c r="AH10" s="605" t="e">
        <f>IF(AND(' RIESGOS DE GESTION'!#REF!="Muy Alta",' RIESGOS DE GESTION'!#REF!="Catastrófico"),CONCATENATE("R",' RIESGOS DE GESTION'!#REF!),"")</f>
        <v>#REF!</v>
      </c>
      <c r="AI10" s="606"/>
      <c r="AJ10" s="606" t="e">
        <f>IF(AND(' RIESGOS DE GESTION'!#REF!="Muy Alta",' RIESGOS DE GESTION'!#REF!="Catastrófico"),CONCATENATE("R",' RIESGOS DE GESTION'!#REF!),"")</f>
        <v>#REF!</v>
      </c>
      <c r="AK10" s="606"/>
      <c r="AL10" s="606" t="e">
        <f>IF(AND(' RIESGOS DE GESTION'!#REF!="Muy Alta",' RIESGOS DE GESTION'!#REF!="Catastrófico"),CONCATENATE("R",' RIESGOS DE GESTION'!#REF!),"")</f>
        <v>#REF!</v>
      </c>
      <c r="AM10" s="607"/>
      <c r="AN10" s="57"/>
      <c r="AO10" s="552"/>
      <c r="AP10" s="553"/>
      <c r="AQ10" s="553"/>
      <c r="AR10" s="553"/>
      <c r="AS10" s="553"/>
      <c r="AT10" s="554"/>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99" ht="15" customHeight="1" x14ac:dyDescent="0.25">
      <c r="A11" s="57"/>
      <c r="B11" s="547"/>
      <c r="C11" s="547"/>
      <c r="D11" s="548"/>
      <c r="E11" s="588"/>
      <c r="F11" s="589"/>
      <c r="G11" s="589"/>
      <c r="H11" s="589"/>
      <c r="I11" s="590"/>
      <c r="J11" s="598"/>
      <c r="K11" s="594"/>
      <c r="L11" s="594"/>
      <c r="M11" s="594"/>
      <c r="N11" s="594"/>
      <c r="O11" s="595"/>
      <c r="P11" s="598"/>
      <c r="Q11" s="594"/>
      <c r="R11" s="594"/>
      <c r="S11" s="594"/>
      <c r="T11" s="594"/>
      <c r="U11" s="595"/>
      <c r="V11" s="598"/>
      <c r="W11" s="594"/>
      <c r="X11" s="594"/>
      <c r="Y11" s="594"/>
      <c r="Z11" s="594"/>
      <c r="AA11" s="595"/>
      <c r="AB11" s="598"/>
      <c r="AC11" s="594"/>
      <c r="AD11" s="594"/>
      <c r="AE11" s="594"/>
      <c r="AF11" s="594"/>
      <c r="AG11" s="595"/>
      <c r="AH11" s="605"/>
      <c r="AI11" s="606"/>
      <c r="AJ11" s="606"/>
      <c r="AK11" s="606"/>
      <c r="AL11" s="606"/>
      <c r="AM11" s="607"/>
      <c r="AN11" s="57"/>
      <c r="AO11" s="552"/>
      <c r="AP11" s="553"/>
      <c r="AQ11" s="553"/>
      <c r="AR11" s="553"/>
      <c r="AS11" s="553"/>
      <c r="AT11" s="554"/>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99" ht="15" customHeight="1" x14ac:dyDescent="0.25">
      <c r="A12" s="57"/>
      <c r="B12" s="547"/>
      <c r="C12" s="547"/>
      <c r="D12" s="548"/>
      <c r="E12" s="588"/>
      <c r="F12" s="589"/>
      <c r="G12" s="589"/>
      <c r="H12" s="589"/>
      <c r="I12" s="590"/>
      <c r="J12" s="598" t="e">
        <f>IF(AND(' RIESGOS DE GESTION'!#REF!="Muy Alta",' RIESGOS DE GESTION'!#REF!="Leve"),CONCATENATE("R",' RIESGOS DE GESTION'!#REF!),"")</f>
        <v>#REF!</v>
      </c>
      <c r="K12" s="594"/>
      <c r="L12" s="594" t="e">
        <f>IF(AND(' RIESGOS DE GESTION'!#REF!="Muy Alta",' RIESGOS DE GESTION'!#REF!="Leve"),CONCATENATE("R",' RIESGOS DE GESTION'!#REF!),"")</f>
        <v>#REF!</v>
      </c>
      <c r="M12" s="594"/>
      <c r="N12" s="594" t="e">
        <f>IF(AND(' RIESGOS DE GESTION'!#REF!="Muy Alta",' RIESGOS DE GESTION'!#REF!="Leve"),CONCATENATE("R",' RIESGOS DE GESTION'!#REF!),"")</f>
        <v>#REF!</v>
      </c>
      <c r="O12" s="595"/>
      <c r="P12" s="598" t="e">
        <f>IF(AND(' RIESGOS DE GESTION'!#REF!="Muy Alta",' RIESGOS DE GESTION'!#REF!="Menor"),CONCATENATE("R",' RIESGOS DE GESTION'!#REF!),"")</f>
        <v>#REF!</v>
      </c>
      <c r="Q12" s="594"/>
      <c r="R12" s="594" t="e">
        <f>IF(AND(' RIESGOS DE GESTION'!#REF!="Muy Alta",' RIESGOS DE GESTION'!#REF!="Menor"),CONCATENATE("R",' RIESGOS DE GESTION'!#REF!),"")</f>
        <v>#REF!</v>
      </c>
      <c r="S12" s="594"/>
      <c r="T12" s="594" t="e">
        <f>IF(AND(' RIESGOS DE GESTION'!#REF!="Muy Alta",' RIESGOS DE GESTION'!#REF!="Menor"),CONCATENATE("R",' RIESGOS DE GESTION'!#REF!),"")</f>
        <v>#REF!</v>
      </c>
      <c r="U12" s="595"/>
      <c r="V12" s="598" t="e">
        <f>IF(AND(' RIESGOS DE GESTION'!#REF!="Muy Alta",' RIESGOS DE GESTION'!#REF!="Moderado"),CONCATENATE("R",' RIESGOS DE GESTION'!#REF!),"")</f>
        <v>#REF!</v>
      </c>
      <c r="W12" s="594"/>
      <c r="X12" s="594" t="e">
        <f>IF(AND(' RIESGOS DE GESTION'!#REF!="Muy Alta",' RIESGOS DE GESTION'!#REF!="Moderado"),CONCATENATE("R",' RIESGOS DE GESTION'!#REF!),"")</f>
        <v>#REF!</v>
      </c>
      <c r="Y12" s="594"/>
      <c r="Z12" s="594" t="e">
        <f>IF(AND(' RIESGOS DE GESTION'!#REF!="Muy Alta",' RIESGOS DE GESTION'!#REF!="Moderado"),CONCATENATE("R",' RIESGOS DE GESTION'!#REF!),"")</f>
        <v>#REF!</v>
      </c>
      <c r="AA12" s="595"/>
      <c r="AB12" s="598" t="e">
        <f>IF(AND(' RIESGOS DE GESTION'!#REF!="Muy Alta",' RIESGOS DE GESTION'!#REF!="Mayor"),CONCATENATE("R",' RIESGOS DE GESTION'!#REF!),"")</f>
        <v>#REF!</v>
      </c>
      <c r="AC12" s="594"/>
      <c r="AD12" s="594" t="e">
        <f>IF(AND(' RIESGOS DE GESTION'!#REF!="Muy Alta",' RIESGOS DE GESTION'!#REF!="Mayor"),CONCATENATE("R",' RIESGOS DE GESTION'!#REF!),"")</f>
        <v>#REF!</v>
      </c>
      <c r="AE12" s="594"/>
      <c r="AF12" s="594" t="e">
        <f>IF(AND(' RIESGOS DE GESTION'!#REF!="Muy Alta",' RIESGOS DE GESTION'!#REF!="Mayor"),CONCATENATE("R",' RIESGOS DE GESTION'!#REF!),"")</f>
        <v>#REF!</v>
      </c>
      <c r="AG12" s="595"/>
      <c r="AH12" s="605" t="e">
        <f>IF(AND(' RIESGOS DE GESTION'!#REF!="Muy Alta",' RIESGOS DE GESTION'!#REF!="Catastrófico"),CONCATENATE("R",' RIESGOS DE GESTION'!#REF!),"")</f>
        <v>#REF!</v>
      </c>
      <c r="AI12" s="606"/>
      <c r="AJ12" s="606" t="e">
        <f>IF(AND(' RIESGOS DE GESTION'!#REF!="Muy Alta",' RIESGOS DE GESTION'!#REF!="Catastrófico"),CONCATENATE("R",' RIESGOS DE GESTION'!#REF!),"")</f>
        <v>#REF!</v>
      </c>
      <c r="AK12" s="606"/>
      <c r="AL12" s="606" t="e">
        <f>IF(AND(' RIESGOS DE GESTION'!#REF!="Muy Alta",' RIESGOS DE GESTION'!#REF!="Catastrófico"),CONCATENATE("R",' RIESGOS DE GESTION'!#REF!),"")</f>
        <v>#REF!</v>
      </c>
      <c r="AM12" s="607"/>
      <c r="AN12" s="57"/>
      <c r="AO12" s="552"/>
      <c r="AP12" s="553"/>
      <c r="AQ12" s="553"/>
      <c r="AR12" s="553"/>
      <c r="AS12" s="553"/>
      <c r="AT12" s="554"/>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99" ht="15.75" customHeight="1" thickBot="1" x14ac:dyDescent="0.3">
      <c r="A13" s="57"/>
      <c r="B13" s="547"/>
      <c r="C13" s="547"/>
      <c r="D13" s="548"/>
      <c r="E13" s="591"/>
      <c r="F13" s="592"/>
      <c r="G13" s="592"/>
      <c r="H13" s="592"/>
      <c r="I13" s="593"/>
      <c r="J13" s="598"/>
      <c r="K13" s="594"/>
      <c r="L13" s="594"/>
      <c r="M13" s="594"/>
      <c r="N13" s="594"/>
      <c r="O13" s="595"/>
      <c r="P13" s="598"/>
      <c r="Q13" s="594"/>
      <c r="R13" s="594"/>
      <c r="S13" s="594"/>
      <c r="T13" s="594"/>
      <c r="U13" s="595"/>
      <c r="V13" s="598"/>
      <c r="W13" s="594"/>
      <c r="X13" s="594"/>
      <c r="Y13" s="594"/>
      <c r="Z13" s="594"/>
      <c r="AA13" s="595"/>
      <c r="AB13" s="598"/>
      <c r="AC13" s="594"/>
      <c r="AD13" s="594"/>
      <c r="AE13" s="594"/>
      <c r="AF13" s="594"/>
      <c r="AG13" s="595"/>
      <c r="AH13" s="608"/>
      <c r="AI13" s="609"/>
      <c r="AJ13" s="609"/>
      <c r="AK13" s="609"/>
      <c r="AL13" s="609"/>
      <c r="AM13" s="610"/>
      <c r="AN13" s="57"/>
      <c r="AO13" s="555"/>
      <c r="AP13" s="556"/>
      <c r="AQ13" s="556"/>
      <c r="AR13" s="556"/>
      <c r="AS13" s="556"/>
      <c r="AT13" s="5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99" ht="15" customHeight="1" x14ac:dyDescent="0.25">
      <c r="A14" s="57"/>
      <c r="B14" s="547"/>
      <c r="C14" s="547"/>
      <c r="D14" s="548"/>
      <c r="E14" s="585" t="s">
        <v>573</v>
      </c>
      <c r="F14" s="586"/>
      <c r="G14" s="586"/>
      <c r="H14" s="586"/>
      <c r="I14" s="586"/>
      <c r="J14" s="620" t="e">
        <f>IF(AND(' RIESGOS DE GESTION'!#REF!="Alta",' RIESGOS DE GESTION'!#REF!="Leve"),CONCATENATE("R",' RIESGOS DE GESTION'!#REF!),"")</f>
        <v>#REF!</v>
      </c>
      <c r="K14" s="621"/>
      <c r="L14" s="621" t="e">
        <f>IF(AND(' RIESGOS DE GESTION'!#REF!="Alta",' RIESGOS DE GESTION'!#REF!="Leve"),CONCATENATE("R",' RIESGOS DE GESTION'!#REF!),"")</f>
        <v>#REF!</v>
      </c>
      <c r="M14" s="621"/>
      <c r="N14" s="621" t="e">
        <f>IF(AND(' RIESGOS DE GESTION'!#REF!="Alta",' RIESGOS DE GESTION'!#REF!="Leve"),CONCATENATE("R",' RIESGOS DE GESTION'!#REF!),"")</f>
        <v>#REF!</v>
      </c>
      <c r="O14" s="622"/>
      <c r="P14" s="620" t="e">
        <f>IF(AND(' RIESGOS DE GESTION'!#REF!="Alta",' RIESGOS DE GESTION'!#REF!="Menor"),CONCATENATE("R",' RIESGOS DE GESTION'!#REF!),"")</f>
        <v>#REF!</v>
      </c>
      <c r="Q14" s="621"/>
      <c r="R14" s="621" t="e">
        <f>IF(AND(' RIESGOS DE GESTION'!#REF!="Alta",' RIESGOS DE GESTION'!#REF!="Menor"),CONCATENATE("R",' RIESGOS DE GESTION'!#REF!),"")</f>
        <v>#REF!</v>
      </c>
      <c r="S14" s="621"/>
      <c r="T14" s="621" t="e">
        <f>IF(AND(' RIESGOS DE GESTION'!#REF!="Alta",' RIESGOS DE GESTION'!#REF!="Menor"),CONCATENATE("R",' RIESGOS DE GESTION'!#REF!),"")</f>
        <v>#REF!</v>
      </c>
      <c r="U14" s="622"/>
      <c r="V14" s="596" t="e">
        <f>IF(AND(' RIESGOS DE GESTION'!#REF!="Alta",' RIESGOS DE GESTION'!#REF!="Moderado"),CONCATENATE("R",' RIESGOS DE GESTION'!#REF!),"")</f>
        <v>#REF!</v>
      </c>
      <c r="W14" s="597"/>
      <c r="X14" s="597" t="e">
        <f>IF(AND(' RIESGOS DE GESTION'!#REF!="Alta",' RIESGOS DE GESTION'!#REF!="Moderado"),CONCATENATE("R",' RIESGOS DE GESTION'!#REF!),"")</f>
        <v>#REF!</v>
      </c>
      <c r="Y14" s="597"/>
      <c r="Z14" s="597" t="e">
        <f>IF(AND(' RIESGOS DE GESTION'!#REF!="Alta",' RIESGOS DE GESTION'!#REF!="Moderado"),CONCATENATE("R",' RIESGOS DE GESTION'!#REF!),"")</f>
        <v>#REF!</v>
      </c>
      <c r="AA14" s="599"/>
      <c r="AB14" s="596" t="e">
        <f>IF(AND(' RIESGOS DE GESTION'!#REF!="Alta",' RIESGOS DE GESTION'!#REF!="Mayor"),CONCATENATE("R",' RIESGOS DE GESTION'!#REF!),"")</f>
        <v>#REF!</v>
      </c>
      <c r="AC14" s="597"/>
      <c r="AD14" s="597" t="e">
        <f>IF(AND(' RIESGOS DE GESTION'!#REF!="Alta",' RIESGOS DE GESTION'!#REF!="Mayor"),CONCATENATE("R",' RIESGOS DE GESTION'!#REF!),"")</f>
        <v>#REF!</v>
      </c>
      <c r="AE14" s="597"/>
      <c r="AF14" s="597" t="e">
        <f>IF(AND(' RIESGOS DE GESTION'!#REF!="Alta",' RIESGOS DE GESTION'!#REF!="Mayor"),CONCATENATE("R",' RIESGOS DE GESTION'!#REF!),"")</f>
        <v>#REF!</v>
      </c>
      <c r="AG14" s="599"/>
      <c r="AH14" s="611" t="e">
        <f>IF(AND(' RIESGOS DE GESTION'!#REF!="Alta",' RIESGOS DE GESTION'!#REF!="Catastrófico"),CONCATENATE("R",' RIESGOS DE GESTION'!#REF!),"")</f>
        <v>#REF!</v>
      </c>
      <c r="AI14" s="612"/>
      <c r="AJ14" s="612" t="e">
        <f>IF(AND(' RIESGOS DE GESTION'!#REF!="Alta",' RIESGOS DE GESTION'!#REF!="Catastrófico"),CONCATENATE("R",' RIESGOS DE GESTION'!#REF!),"")</f>
        <v>#REF!</v>
      </c>
      <c r="AK14" s="612"/>
      <c r="AL14" s="612" t="e">
        <f>IF(AND(' RIESGOS DE GESTION'!#REF!="Alta",' RIESGOS DE GESTION'!#REF!="Catastrófico"),CONCATENATE("R",' RIESGOS DE GESTION'!#REF!),"")</f>
        <v>#REF!</v>
      </c>
      <c r="AM14" s="613"/>
      <c r="AN14" s="57"/>
      <c r="AO14" s="558" t="s">
        <v>574</v>
      </c>
      <c r="AP14" s="559"/>
      <c r="AQ14" s="559"/>
      <c r="AR14" s="559"/>
      <c r="AS14" s="559"/>
      <c r="AT14" s="560"/>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99" ht="15" customHeight="1" x14ac:dyDescent="0.25">
      <c r="A15" s="57"/>
      <c r="B15" s="547"/>
      <c r="C15" s="547"/>
      <c r="D15" s="548"/>
      <c r="E15" s="588"/>
      <c r="F15" s="589"/>
      <c r="G15" s="589"/>
      <c r="H15" s="589"/>
      <c r="I15" s="589"/>
      <c r="J15" s="614"/>
      <c r="K15" s="615"/>
      <c r="L15" s="615"/>
      <c r="M15" s="615"/>
      <c r="N15" s="615"/>
      <c r="O15" s="616"/>
      <c r="P15" s="614"/>
      <c r="Q15" s="615"/>
      <c r="R15" s="615"/>
      <c r="S15" s="615"/>
      <c r="T15" s="615"/>
      <c r="U15" s="616"/>
      <c r="V15" s="598"/>
      <c r="W15" s="594"/>
      <c r="X15" s="594"/>
      <c r="Y15" s="594"/>
      <c r="Z15" s="594"/>
      <c r="AA15" s="595"/>
      <c r="AB15" s="598"/>
      <c r="AC15" s="594"/>
      <c r="AD15" s="594"/>
      <c r="AE15" s="594"/>
      <c r="AF15" s="594"/>
      <c r="AG15" s="595"/>
      <c r="AH15" s="605"/>
      <c r="AI15" s="606"/>
      <c r="AJ15" s="606"/>
      <c r="AK15" s="606"/>
      <c r="AL15" s="606"/>
      <c r="AM15" s="607"/>
      <c r="AN15" s="57"/>
      <c r="AO15" s="561"/>
      <c r="AP15" s="562"/>
      <c r="AQ15" s="562"/>
      <c r="AR15" s="562"/>
      <c r="AS15" s="562"/>
      <c r="AT15" s="563"/>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row>
    <row r="16" spans="1:99" ht="15" customHeight="1" x14ac:dyDescent="0.25">
      <c r="A16" s="57"/>
      <c r="B16" s="547"/>
      <c r="C16" s="547"/>
      <c r="D16" s="548"/>
      <c r="E16" s="588"/>
      <c r="F16" s="589"/>
      <c r="G16" s="589"/>
      <c r="H16" s="589"/>
      <c r="I16" s="589"/>
      <c r="J16" s="614" t="e">
        <f>IF(AND(' RIESGOS DE GESTION'!#REF!="Alta",' RIESGOS DE GESTION'!#REF!="Leve"),CONCATENATE("R",' RIESGOS DE GESTION'!#REF!),"")</f>
        <v>#REF!</v>
      </c>
      <c r="K16" s="615"/>
      <c r="L16" s="615" t="e">
        <f>IF(AND(' RIESGOS DE GESTION'!#REF!="Alta",' RIESGOS DE GESTION'!#REF!="Leve"),CONCATENATE("R",' RIESGOS DE GESTION'!#REF!),"")</f>
        <v>#REF!</v>
      </c>
      <c r="M16" s="615"/>
      <c r="N16" s="615" t="e">
        <f>IF(AND(' RIESGOS DE GESTION'!#REF!="Alta",' RIESGOS DE GESTION'!#REF!="Leve"),CONCATENATE("R",' RIESGOS DE GESTION'!#REF!),"")</f>
        <v>#REF!</v>
      </c>
      <c r="O16" s="616"/>
      <c r="P16" s="614" t="e">
        <f>IF(AND(' RIESGOS DE GESTION'!#REF!="Alta",' RIESGOS DE GESTION'!#REF!="Menor"),CONCATENATE("R",' RIESGOS DE GESTION'!#REF!),"")</f>
        <v>#REF!</v>
      </c>
      <c r="Q16" s="615"/>
      <c r="R16" s="615" t="e">
        <f>IF(AND(' RIESGOS DE GESTION'!#REF!="Alta",' RIESGOS DE GESTION'!#REF!="Menor"),CONCATENATE("R",' RIESGOS DE GESTION'!#REF!),"")</f>
        <v>#REF!</v>
      </c>
      <c r="S16" s="615"/>
      <c r="T16" s="615" t="e">
        <f>IF(AND(' RIESGOS DE GESTION'!#REF!="Alta",' RIESGOS DE GESTION'!#REF!="Menor"),CONCATENATE("R",' RIESGOS DE GESTION'!#REF!),"")</f>
        <v>#REF!</v>
      </c>
      <c r="U16" s="616"/>
      <c r="V16" s="598" t="e">
        <f>IF(AND(' RIESGOS DE GESTION'!#REF!="Alta",' RIESGOS DE GESTION'!#REF!="Moderado"),CONCATENATE("R",' RIESGOS DE GESTION'!#REF!),"")</f>
        <v>#REF!</v>
      </c>
      <c r="W16" s="594"/>
      <c r="X16" s="594" t="e">
        <f>IF(AND(' RIESGOS DE GESTION'!#REF!="Alta",' RIESGOS DE GESTION'!#REF!="Moderado"),CONCATENATE("R",' RIESGOS DE GESTION'!#REF!),"")</f>
        <v>#REF!</v>
      </c>
      <c r="Y16" s="594"/>
      <c r="Z16" s="594" t="e">
        <f>IF(AND(' RIESGOS DE GESTION'!#REF!="Alta",' RIESGOS DE GESTION'!#REF!="Moderado"),CONCATENATE("R",' RIESGOS DE GESTION'!#REF!),"")</f>
        <v>#REF!</v>
      </c>
      <c r="AA16" s="595"/>
      <c r="AB16" s="598" t="e">
        <f>IF(AND(' RIESGOS DE GESTION'!#REF!="Alta",' RIESGOS DE GESTION'!#REF!="Mayor"),CONCATENATE("R",' RIESGOS DE GESTION'!#REF!),"")</f>
        <v>#REF!</v>
      </c>
      <c r="AC16" s="594"/>
      <c r="AD16" s="594" t="e">
        <f>IF(AND(' RIESGOS DE GESTION'!#REF!="Alta",' RIESGOS DE GESTION'!#REF!="Mayor"),CONCATENATE("R",' RIESGOS DE GESTION'!#REF!),"")</f>
        <v>#REF!</v>
      </c>
      <c r="AE16" s="594"/>
      <c r="AF16" s="594" t="e">
        <f>IF(AND(' RIESGOS DE GESTION'!#REF!="Alta",' RIESGOS DE GESTION'!#REF!="Mayor"),CONCATENATE("R",' RIESGOS DE GESTION'!#REF!),"")</f>
        <v>#REF!</v>
      </c>
      <c r="AG16" s="595"/>
      <c r="AH16" s="605" t="e">
        <f>IF(AND(' RIESGOS DE GESTION'!#REF!="Alta",' RIESGOS DE GESTION'!#REF!="Catastrófico"),CONCATENATE("R",' RIESGOS DE GESTION'!#REF!),"")</f>
        <v>#REF!</v>
      </c>
      <c r="AI16" s="606"/>
      <c r="AJ16" s="606" t="e">
        <f>IF(AND(' RIESGOS DE GESTION'!#REF!="Alta",' RIESGOS DE GESTION'!#REF!="Catastrófico"),CONCATENATE("R",' RIESGOS DE GESTION'!#REF!),"")</f>
        <v>#REF!</v>
      </c>
      <c r="AK16" s="606"/>
      <c r="AL16" s="606" t="e">
        <f>IF(AND(' RIESGOS DE GESTION'!#REF!="Alta",' RIESGOS DE GESTION'!#REF!="Catastrófico"),CONCATENATE("R",' RIESGOS DE GESTION'!#REF!),"")</f>
        <v>#REF!</v>
      </c>
      <c r="AM16" s="607"/>
      <c r="AN16" s="57"/>
      <c r="AO16" s="561"/>
      <c r="AP16" s="562"/>
      <c r="AQ16" s="562"/>
      <c r="AR16" s="562"/>
      <c r="AS16" s="562"/>
      <c r="AT16" s="563"/>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row>
    <row r="17" spans="1:80" ht="15" customHeight="1" x14ac:dyDescent="0.25">
      <c r="A17" s="57"/>
      <c r="B17" s="547"/>
      <c r="C17" s="547"/>
      <c r="D17" s="548"/>
      <c r="E17" s="588"/>
      <c r="F17" s="589"/>
      <c r="G17" s="589"/>
      <c r="H17" s="589"/>
      <c r="I17" s="589"/>
      <c r="J17" s="614"/>
      <c r="K17" s="615"/>
      <c r="L17" s="615"/>
      <c r="M17" s="615"/>
      <c r="N17" s="615"/>
      <c r="O17" s="616"/>
      <c r="P17" s="614"/>
      <c r="Q17" s="615"/>
      <c r="R17" s="615"/>
      <c r="S17" s="615"/>
      <c r="T17" s="615"/>
      <c r="U17" s="616"/>
      <c r="V17" s="598"/>
      <c r="W17" s="594"/>
      <c r="X17" s="594"/>
      <c r="Y17" s="594"/>
      <c r="Z17" s="594"/>
      <c r="AA17" s="595"/>
      <c r="AB17" s="598"/>
      <c r="AC17" s="594"/>
      <c r="AD17" s="594"/>
      <c r="AE17" s="594"/>
      <c r="AF17" s="594"/>
      <c r="AG17" s="595"/>
      <c r="AH17" s="605"/>
      <c r="AI17" s="606"/>
      <c r="AJ17" s="606"/>
      <c r="AK17" s="606"/>
      <c r="AL17" s="606"/>
      <c r="AM17" s="607"/>
      <c r="AN17" s="57"/>
      <c r="AO17" s="561"/>
      <c r="AP17" s="562"/>
      <c r="AQ17" s="562"/>
      <c r="AR17" s="562"/>
      <c r="AS17" s="562"/>
      <c r="AT17" s="563"/>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row>
    <row r="18" spans="1:80" ht="15" customHeight="1" x14ac:dyDescent="0.25">
      <c r="A18" s="57"/>
      <c r="B18" s="547"/>
      <c r="C18" s="547"/>
      <c r="D18" s="548"/>
      <c r="E18" s="588"/>
      <c r="F18" s="589"/>
      <c r="G18" s="589"/>
      <c r="H18" s="589"/>
      <c r="I18" s="589"/>
      <c r="J18" s="614" t="e">
        <f>IF(AND(' RIESGOS DE GESTION'!#REF!="Alta",' RIESGOS DE GESTION'!#REF!="Leve"),CONCATENATE("R",' RIESGOS DE GESTION'!#REF!),"")</f>
        <v>#REF!</v>
      </c>
      <c r="K18" s="615"/>
      <c r="L18" s="615" t="e">
        <f>IF(AND(' RIESGOS DE GESTION'!#REF!="Alta",' RIESGOS DE GESTION'!#REF!="Leve"),CONCATENATE("R",' RIESGOS DE GESTION'!#REF!),"")</f>
        <v>#REF!</v>
      </c>
      <c r="M18" s="615"/>
      <c r="N18" s="615" t="e">
        <f>IF(AND(' RIESGOS DE GESTION'!#REF!="Alta",' RIESGOS DE GESTION'!#REF!="Leve"),CONCATENATE("R",' RIESGOS DE GESTION'!#REF!),"")</f>
        <v>#REF!</v>
      </c>
      <c r="O18" s="616"/>
      <c r="P18" s="614" t="e">
        <f>IF(AND(' RIESGOS DE GESTION'!#REF!="Alta",' RIESGOS DE GESTION'!#REF!="Menor"),CONCATENATE("R",' RIESGOS DE GESTION'!#REF!),"")</f>
        <v>#REF!</v>
      </c>
      <c r="Q18" s="615"/>
      <c r="R18" s="615" t="e">
        <f>IF(AND(' RIESGOS DE GESTION'!#REF!="Alta",' RIESGOS DE GESTION'!#REF!="Menor"),CONCATENATE("R",' RIESGOS DE GESTION'!#REF!),"")</f>
        <v>#REF!</v>
      </c>
      <c r="S18" s="615"/>
      <c r="T18" s="615" t="e">
        <f>IF(AND(' RIESGOS DE GESTION'!#REF!="Alta",' RIESGOS DE GESTION'!#REF!="Menor"),CONCATENATE("R",' RIESGOS DE GESTION'!#REF!),"")</f>
        <v>#REF!</v>
      </c>
      <c r="U18" s="616"/>
      <c r="V18" s="598" t="e">
        <f>IF(AND(' RIESGOS DE GESTION'!#REF!="Alta",' RIESGOS DE GESTION'!#REF!="Moderado"),CONCATENATE("R",' RIESGOS DE GESTION'!#REF!),"")</f>
        <v>#REF!</v>
      </c>
      <c r="W18" s="594"/>
      <c r="X18" s="594" t="e">
        <f>IF(AND(' RIESGOS DE GESTION'!#REF!="Alta",' RIESGOS DE GESTION'!#REF!="Moderado"),CONCATENATE("R",' RIESGOS DE GESTION'!#REF!),"")</f>
        <v>#REF!</v>
      </c>
      <c r="Y18" s="594"/>
      <c r="Z18" s="594" t="e">
        <f>IF(AND(' RIESGOS DE GESTION'!#REF!="Alta",' RIESGOS DE GESTION'!#REF!="Moderado"),CONCATENATE("R",' RIESGOS DE GESTION'!#REF!),"")</f>
        <v>#REF!</v>
      </c>
      <c r="AA18" s="595"/>
      <c r="AB18" s="598" t="e">
        <f>IF(AND(' RIESGOS DE GESTION'!#REF!="Alta",' RIESGOS DE GESTION'!#REF!="Mayor"),CONCATENATE("R",' RIESGOS DE GESTION'!#REF!),"")</f>
        <v>#REF!</v>
      </c>
      <c r="AC18" s="594"/>
      <c r="AD18" s="594" t="e">
        <f>IF(AND(' RIESGOS DE GESTION'!#REF!="Alta",' RIESGOS DE GESTION'!#REF!="Mayor"),CONCATENATE("R",' RIESGOS DE GESTION'!#REF!),"")</f>
        <v>#REF!</v>
      </c>
      <c r="AE18" s="594"/>
      <c r="AF18" s="594" t="e">
        <f>IF(AND(' RIESGOS DE GESTION'!#REF!="Alta",' RIESGOS DE GESTION'!#REF!="Mayor"),CONCATENATE("R",' RIESGOS DE GESTION'!#REF!),"")</f>
        <v>#REF!</v>
      </c>
      <c r="AG18" s="595"/>
      <c r="AH18" s="605" t="e">
        <f>IF(AND(' RIESGOS DE GESTION'!#REF!="Alta",' RIESGOS DE GESTION'!#REF!="Catastrófico"),CONCATENATE("R",' RIESGOS DE GESTION'!#REF!),"")</f>
        <v>#REF!</v>
      </c>
      <c r="AI18" s="606"/>
      <c r="AJ18" s="606" t="e">
        <f>IF(AND(' RIESGOS DE GESTION'!#REF!="Alta",' RIESGOS DE GESTION'!#REF!="Catastrófico"),CONCATENATE("R",' RIESGOS DE GESTION'!#REF!),"")</f>
        <v>#REF!</v>
      </c>
      <c r="AK18" s="606"/>
      <c r="AL18" s="606" t="e">
        <f>IF(AND(' RIESGOS DE GESTION'!#REF!="Alta",' RIESGOS DE GESTION'!#REF!="Catastrófico"),CONCATENATE("R",' RIESGOS DE GESTION'!#REF!),"")</f>
        <v>#REF!</v>
      </c>
      <c r="AM18" s="607"/>
      <c r="AN18" s="57"/>
      <c r="AO18" s="561"/>
      <c r="AP18" s="562"/>
      <c r="AQ18" s="562"/>
      <c r="AR18" s="562"/>
      <c r="AS18" s="562"/>
      <c r="AT18" s="563"/>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row>
    <row r="19" spans="1:80" ht="15" customHeight="1" x14ac:dyDescent="0.25">
      <c r="A19" s="57"/>
      <c r="B19" s="547"/>
      <c r="C19" s="547"/>
      <c r="D19" s="548"/>
      <c r="E19" s="588"/>
      <c r="F19" s="589"/>
      <c r="G19" s="589"/>
      <c r="H19" s="589"/>
      <c r="I19" s="589"/>
      <c r="J19" s="614"/>
      <c r="K19" s="615"/>
      <c r="L19" s="615"/>
      <c r="M19" s="615"/>
      <c r="N19" s="615"/>
      <c r="O19" s="616"/>
      <c r="P19" s="614"/>
      <c r="Q19" s="615"/>
      <c r="R19" s="615"/>
      <c r="S19" s="615"/>
      <c r="T19" s="615"/>
      <c r="U19" s="616"/>
      <c r="V19" s="598"/>
      <c r="W19" s="594"/>
      <c r="X19" s="594"/>
      <c r="Y19" s="594"/>
      <c r="Z19" s="594"/>
      <c r="AA19" s="595"/>
      <c r="AB19" s="598"/>
      <c r="AC19" s="594"/>
      <c r="AD19" s="594"/>
      <c r="AE19" s="594"/>
      <c r="AF19" s="594"/>
      <c r="AG19" s="595"/>
      <c r="AH19" s="605"/>
      <c r="AI19" s="606"/>
      <c r="AJ19" s="606"/>
      <c r="AK19" s="606"/>
      <c r="AL19" s="606"/>
      <c r="AM19" s="607"/>
      <c r="AN19" s="57"/>
      <c r="AO19" s="561"/>
      <c r="AP19" s="562"/>
      <c r="AQ19" s="562"/>
      <c r="AR19" s="562"/>
      <c r="AS19" s="562"/>
      <c r="AT19" s="563"/>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row>
    <row r="20" spans="1:80" ht="15" customHeight="1" x14ac:dyDescent="0.25">
      <c r="A20" s="57"/>
      <c r="B20" s="547"/>
      <c r="C20" s="547"/>
      <c r="D20" s="548"/>
      <c r="E20" s="588"/>
      <c r="F20" s="589"/>
      <c r="G20" s="589"/>
      <c r="H20" s="589"/>
      <c r="I20" s="589"/>
      <c r="J20" s="614" t="e">
        <f>IF(AND(' RIESGOS DE GESTION'!#REF!="Alta",' RIESGOS DE GESTION'!#REF!="Leve"),CONCATENATE("R",' RIESGOS DE GESTION'!#REF!),"")</f>
        <v>#REF!</v>
      </c>
      <c r="K20" s="615"/>
      <c r="L20" s="615" t="e">
        <f>IF(AND(' RIESGOS DE GESTION'!#REF!="Alta",' RIESGOS DE GESTION'!#REF!="Leve"),CONCATENATE("R",' RIESGOS DE GESTION'!#REF!),"")</f>
        <v>#REF!</v>
      </c>
      <c r="M20" s="615"/>
      <c r="N20" s="615" t="e">
        <f>IF(AND(' RIESGOS DE GESTION'!#REF!="Alta",' RIESGOS DE GESTION'!#REF!="Leve"),CONCATENATE("R",' RIESGOS DE GESTION'!#REF!),"")</f>
        <v>#REF!</v>
      </c>
      <c r="O20" s="616"/>
      <c r="P20" s="614" t="e">
        <f>IF(AND(' RIESGOS DE GESTION'!#REF!="Alta",' RIESGOS DE GESTION'!#REF!="Menor"),CONCATENATE("R",' RIESGOS DE GESTION'!#REF!),"")</f>
        <v>#REF!</v>
      </c>
      <c r="Q20" s="615"/>
      <c r="R20" s="615" t="e">
        <f>IF(AND(' RIESGOS DE GESTION'!#REF!="Alta",' RIESGOS DE GESTION'!#REF!="Menor"),CONCATENATE("R",' RIESGOS DE GESTION'!#REF!),"")</f>
        <v>#REF!</v>
      </c>
      <c r="S20" s="615"/>
      <c r="T20" s="615" t="e">
        <f>IF(AND(' RIESGOS DE GESTION'!#REF!="Alta",' RIESGOS DE GESTION'!#REF!="Menor"),CONCATENATE("R",' RIESGOS DE GESTION'!#REF!),"")</f>
        <v>#REF!</v>
      </c>
      <c r="U20" s="616"/>
      <c r="V20" s="598" t="e">
        <f>IF(AND(' RIESGOS DE GESTION'!#REF!="Alta",' RIESGOS DE GESTION'!#REF!="Moderado"),CONCATENATE("R",' RIESGOS DE GESTION'!#REF!),"")</f>
        <v>#REF!</v>
      </c>
      <c r="W20" s="594"/>
      <c r="X20" s="594" t="e">
        <f>IF(AND(' RIESGOS DE GESTION'!#REF!="Alta",' RIESGOS DE GESTION'!#REF!="Moderado"),CONCATENATE("R",' RIESGOS DE GESTION'!#REF!),"")</f>
        <v>#REF!</v>
      </c>
      <c r="Y20" s="594"/>
      <c r="Z20" s="594" t="e">
        <f>IF(AND(' RIESGOS DE GESTION'!#REF!="Alta",' RIESGOS DE GESTION'!#REF!="Moderado"),CONCATENATE("R",' RIESGOS DE GESTION'!#REF!),"")</f>
        <v>#REF!</v>
      </c>
      <c r="AA20" s="595"/>
      <c r="AB20" s="598" t="e">
        <f>IF(AND(' RIESGOS DE GESTION'!#REF!="Alta",' RIESGOS DE GESTION'!#REF!="Mayor"),CONCATENATE("R",' RIESGOS DE GESTION'!#REF!),"")</f>
        <v>#REF!</v>
      </c>
      <c r="AC20" s="594"/>
      <c r="AD20" s="594" t="e">
        <f>IF(AND(' RIESGOS DE GESTION'!#REF!="Alta",' RIESGOS DE GESTION'!#REF!="Mayor"),CONCATENATE("R",' RIESGOS DE GESTION'!#REF!),"")</f>
        <v>#REF!</v>
      </c>
      <c r="AE20" s="594"/>
      <c r="AF20" s="594" t="e">
        <f>IF(AND(' RIESGOS DE GESTION'!#REF!="Alta",' RIESGOS DE GESTION'!#REF!="Mayor"),CONCATENATE("R",' RIESGOS DE GESTION'!#REF!),"")</f>
        <v>#REF!</v>
      </c>
      <c r="AG20" s="595"/>
      <c r="AH20" s="605" t="e">
        <f>IF(AND(' RIESGOS DE GESTION'!#REF!="Alta",' RIESGOS DE GESTION'!#REF!="Catastrófico"),CONCATENATE("R",' RIESGOS DE GESTION'!#REF!),"")</f>
        <v>#REF!</v>
      </c>
      <c r="AI20" s="606"/>
      <c r="AJ20" s="606" t="e">
        <f>IF(AND(' RIESGOS DE GESTION'!#REF!="Alta",' RIESGOS DE GESTION'!#REF!="Catastrófico"),CONCATENATE("R",' RIESGOS DE GESTION'!#REF!),"")</f>
        <v>#REF!</v>
      </c>
      <c r="AK20" s="606"/>
      <c r="AL20" s="606" t="e">
        <f>IF(AND(' RIESGOS DE GESTION'!#REF!="Alta",' RIESGOS DE GESTION'!#REF!="Catastrófico"),CONCATENATE("R",' RIESGOS DE GESTION'!#REF!),"")</f>
        <v>#REF!</v>
      </c>
      <c r="AM20" s="607"/>
      <c r="AN20" s="57"/>
      <c r="AO20" s="561"/>
      <c r="AP20" s="562"/>
      <c r="AQ20" s="562"/>
      <c r="AR20" s="562"/>
      <c r="AS20" s="562"/>
      <c r="AT20" s="563"/>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row>
    <row r="21" spans="1:80" ht="15.75" customHeight="1" thickBot="1" x14ac:dyDescent="0.3">
      <c r="A21" s="57"/>
      <c r="B21" s="547"/>
      <c r="C21" s="547"/>
      <c r="D21" s="548"/>
      <c r="E21" s="591"/>
      <c r="F21" s="592"/>
      <c r="G21" s="592"/>
      <c r="H21" s="592"/>
      <c r="I21" s="592"/>
      <c r="J21" s="617"/>
      <c r="K21" s="618"/>
      <c r="L21" s="618"/>
      <c r="M21" s="618"/>
      <c r="N21" s="618"/>
      <c r="O21" s="619"/>
      <c r="P21" s="617"/>
      <c r="Q21" s="618"/>
      <c r="R21" s="618"/>
      <c r="S21" s="618"/>
      <c r="T21" s="618"/>
      <c r="U21" s="619"/>
      <c r="V21" s="602"/>
      <c r="W21" s="603"/>
      <c r="X21" s="603"/>
      <c r="Y21" s="603"/>
      <c r="Z21" s="603"/>
      <c r="AA21" s="604"/>
      <c r="AB21" s="602"/>
      <c r="AC21" s="603"/>
      <c r="AD21" s="603"/>
      <c r="AE21" s="603"/>
      <c r="AF21" s="603"/>
      <c r="AG21" s="604"/>
      <c r="AH21" s="608"/>
      <c r="AI21" s="609"/>
      <c r="AJ21" s="609"/>
      <c r="AK21" s="609"/>
      <c r="AL21" s="609"/>
      <c r="AM21" s="610"/>
      <c r="AN21" s="57"/>
      <c r="AO21" s="564"/>
      <c r="AP21" s="565"/>
      <c r="AQ21" s="565"/>
      <c r="AR21" s="565"/>
      <c r="AS21" s="565"/>
      <c r="AT21" s="566"/>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row>
    <row r="22" spans="1:80" x14ac:dyDescent="0.25">
      <c r="A22" s="57"/>
      <c r="B22" s="547"/>
      <c r="C22" s="547"/>
      <c r="D22" s="548"/>
      <c r="E22" s="585" t="s">
        <v>575</v>
      </c>
      <c r="F22" s="586"/>
      <c r="G22" s="586"/>
      <c r="H22" s="586"/>
      <c r="I22" s="587"/>
      <c r="J22" s="620" t="e">
        <f>IF(AND(' RIESGOS DE GESTION'!#REF!="Media",' RIESGOS DE GESTION'!#REF!="Leve"),CONCATENATE("R",' RIESGOS DE GESTION'!#REF!),"")</f>
        <v>#REF!</v>
      </c>
      <c r="K22" s="621"/>
      <c r="L22" s="621" t="e">
        <f>IF(AND(' RIESGOS DE GESTION'!#REF!="Media",' RIESGOS DE GESTION'!#REF!="Leve"),CONCATENATE("R",' RIESGOS DE GESTION'!#REF!),"")</f>
        <v>#REF!</v>
      </c>
      <c r="M22" s="621"/>
      <c r="N22" s="621" t="e">
        <f>IF(AND(' RIESGOS DE GESTION'!#REF!="Media",' RIESGOS DE GESTION'!#REF!="Leve"),CONCATENATE("R",' RIESGOS DE GESTION'!#REF!),"")</f>
        <v>#REF!</v>
      </c>
      <c r="O22" s="622"/>
      <c r="P22" s="620" t="e">
        <f>IF(AND(' RIESGOS DE GESTION'!#REF!="Media",' RIESGOS DE GESTION'!#REF!="Menor"),CONCATENATE("R",' RIESGOS DE GESTION'!#REF!),"")</f>
        <v>#REF!</v>
      </c>
      <c r="Q22" s="621"/>
      <c r="R22" s="621" t="e">
        <f>IF(AND(' RIESGOS DE GESTION'!#REF!="Media",' RIESGOS DE GESTION'!#REF!="Menor"),CONCATENATE("R",' RIESGOS DE GESTION'!#REF!),"")</f>
        <v>#REF!</v>
      </c>
      <c r="S22" s="621"/>
      <c r="T22" s="621" t="e">
        <f>IF(AND(' RIESGOS DE GESTION'!#REF!="Media",' RIESGOS DE GESTION'!#REF!="Menor"),CONCATENATE("R",' RIESGOS DE GESTION'!#REF!),"")</f>
        <v>#REF!</v>
      </c>
      <c r="U22" s="622"/>
      <c r="V22" s="620" t="e">
        <f>IF(AND(' RIESGOS DE GESTION'!#REF!="Media",' RIESGOS DE GESTION'!#REF!="Moderado"),CONCATENATE("R",' RIESGOS DE GESTION'!#REF!),"")</f>
        <v>#REF!</v>
      </c>
      <c r="W22" s="621"/>
      <c r="X22" s="621" t="e">
        <f>IF(AND(' RIESGOS DE GESTION'!#REF!="Media",' RIESGOS DE GESTION'!#REF!="Moderado"),CONCATENATE("R",' RIESGOS DE GESTION'!#REF!),"")</f>
        <v>#REF!</v>
      </c>
      <c r="Y22" s="621"/>
      <c r="Z22" s="621" t="e">
        <f>IF(AND(' RIESGOS DE GESTION'!#REF!="Media",' RIESGOS DE GESTION'!#REF!="Moderado"),CONCATENATE("R",' RIESGOS DE GESTION'!#REF!),"")</f>
        <v>#REF!</v>
      </c>
      <c r="AA22" s="622"/>
      <c r="AB22" s="596" t="e">
        <f>IF(AND(' RIESGOS DE GESTION'!#REF!="Media",' RIESGOS DE GESTION'!#REF!="Mayor"),CONCATENATE("R",' RIESGOS DE GESTION'!#REF!),"")</f>
        <v>#REF!</v>
      </c>
      <c r="AC22" s="597"/>
      <c r="AD22" s="597" t="e">
        <f>IF(AND(' RIESGOS DE GESTION'!#REF!="Media",' RIESGOS DE GESTION'!#REF!="Mayor"),CONCATENATE("R",' RIESGOS DE GESTION'!#REF!),"")</f>
        <v>#REF!</v>
      </c>
      <c r="AE22" s="597"/>
      <c r="AF22" s="597" t="e">
        <f>IF(AND(' RIESGOS DE GESTION'!#REF!="Media",' RIESGOS DE GESTION'!#REF!="Mayor"),CONCATENATE("R",' RIESGOS DE GESTION'!#REF!),"")</f>
        <v>#REF!</v>
      </c>
      <c r="AG22" s="599"/>
      <c r="AH22" s="611" t="e">
        <f>IF(AND(' RIESGOS DE GESTION'!#REF!="Media",' RIESGOS DE GESTION'!#REF!="Catastrófico"),CONCATENATE("R",' RIESGOS DE GESTION'!#REF!),"")</f>
        <v>#REF!</v>
      </c>
      <c r="AI22" s="612"/>
      <c r="AJ22" s="612" t="e">
        <f>IF(AND(' RIESGOS DE GESTION'!#REF!="Media",' RIESGOS DE GESTION'!#REF!="Catastrófico"),CONCATENATE("R",' RIESGOS DE GESTION'!#REF!),"")</f>
        <v>#REF!</v>
      </c>
      <c r="AK22" s="612"/>
      <c r="AL22" s="612" t="e">
        <f>IF(AND(' RIESGOS DE GESTION'!#REF!="Media",' RIESGOS DE GESTION'!#REF!="Catastrófico"),CONCATENATE("R",' RIESGOS DE GESTION'!#REF!),"")</f>
        <v>#REF!</v>
      </c>
      <c r="AM22" s="613"/>
      <c r="AN22" s="57"/>
      <c r="AO22" s="567" t="s">
        <v>576</v>
      </c>
      <c r="AP22" s="568"/>
      <c r="AQ22" s="568"/>
      <c r="AR22" s="568"/>
      <c r="AS22" s="568"/>
      <c r="AT22" s="569"/>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row>
    <row r="23" spans="1:80" x14ac:dyDescent="0.25">
      <c r="A23" s="57"/>
      <c r="B23" s="547"/>
      <c r="C23" s="547"/>
      <c r="D23" s="548"/>
      <c r="E23" s="588"/>
      <c r="F23" s="589"/>
      <c r="G23" s="589"/>
      <c r="H23" s="589"/>
      <c r="I23" s="590"/>
      <c r="J23" s="614"/>
      <c r="K23" s="615"/>
      <c r="L23" s="615"/>
      <c r="M23" s="615"/>
      <c r="N23" s="615"/>
      <c r="O23" s="616"/>
      <c r="P23" s="614"/>
      <c r="Q23" s="615"/>
      <c r="R23" s="615"/>
      <c r="S23" s="615"/>
      <c r="T23" s="615"/>
      <c r="U23" s="616"/>
      <c r="V23" s="614"/>
      <c r="W23" s="615"/>
      <c r="X23" s="615"/>
      <c r="Y23" s="615"/>
      <c r="Z23" s="615"/>
      <c r="AA23" s="616"/>
      <c r="AB23" s="598"/>
      <c r="AC23" s="594"/>
      <c r="AD23" s="594"/>
      <c r="AE23" s="594"/>
      <c r="AF23" s="594"/>
      <c r="AG23" s="595"/>
      <c r="AH23" s="605"/>
      <c r="AI23" s="606"/>
      <c r="AJ23" s="606"/>
      <c r="AK23" s="606"/>
      <c r="AL23" s="606"/>
      <c r="AM23" s="607"/>
      <c r="AN23" s="57"/>
      <c r="AO23" s="570"/>
      <c r="AP23" s="571"/>
      <c r="AQ23" s="571"/>
      <c r="AR23" s="571"/>
      <c r="AS23" s="571"/>
      <c r="AT23" s="572"/>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c r="BY23" s="57"/>
      <c r="BZ23" s="57"/>
      <c r="CA23" s="57"/>
      <c r="CB23" s="57"/>
    </row>
    <row r="24" spans="1:80" x14ac:dyDescent="0.25">
      <c r="A24" s="57"/>
      <c r="B24" s="547"/>
      <c r="C24" s="547"/>
      <c r="D24" s="548"/>
      <c r="E24" s="588"/>
      <c r="F24" s="589"/>
      <c r="G24" s="589"/>
      <c r="H24" s="589"/>
      <c r="I24" s="590"/>
      <c r="J24" s="614" t="e">
        <f>IF(AND(' RIESGOS DE GESTION'!#REF!="Media",' RIESGOS DE GESTION'!#REF!="Leve"),CONCATENATE("R",' RIESGOS DE GESTION'!#REF!),"")</f>
        <v>#REF!</v>
      </c>
      <c r="K24" s="615"/>
      <c r="L24" s="615" t="e">
        <f>IF(AND(' RIESGOS DE GESTION'!#REF!="Media",' RIESGOS DE GESTION'!#REF!="Leve"),CONCATENATE("R",' RIESGOS DE GESTION'!#REF!),"")</f>
        <v>#REF!</v>
      </c>
      <c r="M24" s="615"/>
      <c r="N24" s="615" t="e">
        <f>IF(AND(' RIESGOS DE GESTION'!#REF!="Media",' RIESGOS DE GESTION'!#REF!="Leve"),CONCATENATE("R",' RIESGOS DE GESTION'!#REF!),"")</f>
        <v>#REF!</v>
      </c>
      <c r="O24" s="616"/>
      <c r="P24" s="614" t="e">
        <f>IF(AND(' RIESGOS DE GESTION'!#REF!="Media",' RIESGOS DE GESTION'!#REF!="Menor"),CONCATENATE("R",' RIESGOS DE GESTION'!#REF!),"")</f>
        <v>#REF!</v>
      </c>
      <c r="Q24" s="615"/>
      <c r="R24" s="615" t="e">
        <f>IF(AND(' RIESGOS DE GESTION'!#REF!="Media",' RIESGOS DE GESTION'!#REF!="Menor"),CONCATENATE("R",' RIESGOS DE GESTION'!#REF!),"")</f>
        <v>#REF!</v>
      </c>
      <c r="S24" s="615"/>
      <c r="T24" s="615" t="e">
        <f>IF(AND(' RIESGOS DE GESTION'!#REF!="Media",' RIESGOS DE GESTION'!#REF!="Menor"),CONCATENATE("R",' RIESGOS DE GESTION'!#REF!),"")</f>
        <v>#REF!</v>
      </c>
      <c r="U24" s="616"/>
      <c r="V24" s="614" t="e">
        <f>IF(AND(' RIESGOS DE GESTION'!#REF!="Media",' RIESGOS DE GESTION'!#REF!="Moderado"),CONCATENATE("R",' RIESGOS DE GESTION'!#REF!),"")</f>
        <v>#REF!</v>
      </c>
      <c r="W24" s="615"/>
      <c r="X24" s="615" t="e">
        <f>IF(AND(' RIESGOS DE GESTION'!#REF!="Media",' RIESGOS DE GESTION'!#REF!="Moderado"),CONCATENATE("R",' RIESGOS DE GESTION'!#REF!),"")</f>
        <v>#REF!</v>
      </c>
      <c r="Y24" s="615"/>
      <c r="Z24" s="615" t="e">
        <f>IF(AND(' RIESGOS DE GESTION'!#REF!="Media",' RIESGOS DE GESTION'!#REF!="Moderado"),CONCATENATE("R",' RIESGOS DE GESTION'!#REF!),"")</f>
        <v>#REF!</v>
      </c>
      <c r="AA24" s="616"/>
      <c r="AB24" s="598" t="e">
        <f>IF(AND(' RIESGOS DE GESTION'!#REF!="Media",' RIESGOS DE GESTION'!#REF!="Mayor"),CONCATENATE("R",' RIESGOS DE GESTION'!#REF!),"")</f>
        <v>#REF!</v>
      </c>
      <c r="AC24" s="594"/>
      <c r="AD24" s="594" t="e">
        <f>IF(AND(' RIESGOS DE GESTION'!#REF!="Media",' RIESGOS DE GESTION'!#REF!="Mayor"),CONCATENATE("R",' RIESGOS DE GESTION'!#REF!),"")</f>
        <v>#REF!</v>
      </c>
      <c r="AE24" s="594"/>
      <c r="AF24" s="594" t="e">
        <f>IF(AND(' RIESGOS DE GESTION'!#REF!="Media",' RIESGOS DE GESTION'!#REF!="Mayor"),CONCATENATE("R",' RIESGOS DE GESTION'!#REF!),"")</f>
        <v>#REF!</v>
      </c>
      <c r="AG24" s="595"/>
      <c r="AH24" s="605" t="e">
        <f>IF(AND(' RIESGOS DE GESTION'!#REF!="Media",' RIESGOS DE GESTION'!#REF!="Catastrófico"),CONCATENATE("R",' RIESGOS DE GESTION'!#REF!),"")</f>
        <v>#REF!</v>
      </c>
      <c r="AI24" s="606"/>
      <c r="AJ24" s="606" t="e">
        <f>IF(AND(' RIESGOS DE GESTION'!#REF!="Media",' RIESGOS DE GESTION'!#REF!="Catastrófico"),CONCATENATE("R",' RIESGOS DE GESTION'!#REF!),"")</f>
        <v>#REF!</v>
      </c>
      <c r="AK24" s="606"/>
      <c r="AL24" s="606" t="e">
        <f>IF(AND(' RIESGOS DE GESTION'!#REF!="Media",' RIESGOS DE GESTION'!#REF!="Catastrófico"),CONCATENATE("R",' RIESGOS DE GESTION'!#REF!),"")</f>
        <v>#REF!</v>
      </c>
      <c r="AM24" s="607"/>
      <c r="AN24" s="57"/>
      <c r="AO24" s="570"/>
      <c r="AP24" s="571"/>
      <c r="AQ24" s="571"/>
      <c r="AR24" s="571"/>
      <c r="AS24" s="571"/>
      <c r="AT24" s="572"/>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c r="BY24" s="57"/>
      <c r="BZ24" s="57"/>
      <c r="CA24" s="57"/>
      <c r="CB24" s="57"/>
    </row>
    <row r="25" spans="1:80" x14ac:dyDescent="0.25">
      <c r="A25" s="57"/>
      <c r="B25" s="547"/>
      <c r="C25" s="547"/>
      <c r="D25" s="548"/>
      <c r="E25" s="588"/>
      <c r="F25" s="589"/>
      <c r="G25" s="589"/>
      <c r="H25" s="589"/>
      <c r="I25" s="590"/>
      <c r="J25" s="614"/>
      <c r="K25" s="615"/>
      <c r="L25" s="615"/>
      <c r="M25" s="615"/>
      <c r="N25" s="615"/>
      <c r="O25" s="616"/>
      <c r="P25" s="614"/>
      <c r="Q25" s="615"/>
      <c r="R25" s="615"/>
      <c r="S25" s="615"/>
      <c r="T25" s="615"/>
      <c r="U25" s="616"/>
      <c r="V25" s="614"/>
      <c r="W25" s="615"/>
      <c r="X25" s="615"/>
      <c r="Y25" s="615"/>
      <c r="Z25" s="615"/>
      <c r="AA25" s="616"/>
      <c r="AB25" s="598"/>
      <c r="AC25" s="594"/>
      <c r="AD25" s="594"/>
      <c r="AE25" s="594"/>
      <c r="AF25" s="594"/>
      <c r="AG25" s="595"/>
      <c r="AH25" s="605"/>
      <c r="AI25" s="606"/>
      <c r="AJ25" s="606"/>
      <c r="AK25" s="606"/>
      <c r="AL25" s="606"/>
      <c r="AM25" s="607"/>
      <c r="AN25" s="57"/>
      <c r="AO25" s="570"/>
      <c r="AP25" s="571"/>
      <c r="AQ25" s="571"/>
      <c r="AR25" s="571"/>
      <c r="AS25" s="571"/>
      <c r="AT25" s="572"/>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c r="BY25" s="57"/>
      <c r="BZ25" s="57"/>
      <c r="CA25" s="57"/>
      <c r="CB25" s="57"/>
    </row>
    <row r="26" spans="1:80" x14ac:dyDescent="0.25">
      <c r="A26" s="57"/>
      <c r="B26" s="547"/>
      <c r="C26" s="547"/>
      <c r="D26" s="548"/>
      <c r="E26" s="588"/>
      <c r="F26" s="589"/>
      <c r="G26" s="589"/>
      <c r="H26" s="589"/>
      <c r="I26" s="590"/>
      <c r="J26" s="614" t="e">
        <f>IF(AND(' RIESGOS DE GESTION'!#REF!="Media",' RIESGOS DE GESTION'!#REF!="Leve"),CONCATENATE("R",' RIESGOS DE GESTION'!#REF!),"")</f>
        <v>#REF!</v>
      </c>
      <c r="K26" s="615"/>
      <c r="L26" s="615" t="e">
        <f>IF(AND(' RIESGOS DE GESTION'!#REF!="Media",' RIESGOS DE GESTION'!#REF!="Leve"),CONCATENATE("R",' RIESGOS DE GESTION'!#REF!),"")</f>
        <v>#REF!</v>
      </c>
      <c r="M26" s="615"/>
      <c r="N26" s="615" t="e">
        <f>IF(AND(' RIESGOS DE GESTION'!#REF!="Media",' RIESGOS DE GESTION'!#REF!="Leve"),CONCATENATE("R",' RIESGOS DE GESTION'!#REF!),"")</f>
        <v>#REF!</v>
      </c>
      <c r="O26" s="616"/>
      <c r="P26" s="614" t="e">
        <f>IF(AND(' RIESGOS DE GESTION'!#REF!="Media",' RIESGOS DE GESTION'!#REF!="Menor"),CONCATENATE("R",' RIESGOS DE GESTION'!#REF!),"")</f>
        <v>#REF!</v>
      </c>
      <c r="Q26" s="615"/>
      <c r="R26" s="615" t="e">
        <f>IF(AND(' RIESGOS DE GESTION'!#REF!="Media",' RIESGOS DE GESTION'!#REF!="Menor"),CONCATENATE("R",' RIESGOS DE GESTION'!#REF!),"")</f>
        <v>#REF!</v>
      </c>
      <c r="S26" s="615"/>
      <c r="T26" s="615" t="e">
        <f>IF(AND(' RIESGOS DE GESTION'!#REF!="Media",' RIESGOS DE GESTION'!#REF!="Menor"),CONCATENATE("R",' RIESGOS DE GESTION'!#REF!),"")</f>
        <v>#REF!</v>
      </c>
      <c r="U26" s="616"/>
      <c r="V26" s="614" t="e">
        <f>IF(AND(' RIESGOS DE GESTION'!#REF!="Media",' RIESGOS DE GESTION'!#REF!="Moderado"),CONCATENATE("R",' RIESGOS DE GESTION'!#REF!),"")</f>
        <v>#REF!</v>
      </c>
      <c r="W26" s="615"/>
      <c r="X26" s="615" t="e">
        <f>IF(AND(' RIESGOS DE GESTION'!#REF!="Media",' RIESGOS DE GESTION'!#REF!="Moderado"),CONCATENATE("R",' RIESGOS DE GESTION'!#REF!),"")</f>
        <v>#REF!</v>
      </c>
      <c r="Y26" s="615"/>
      <c r="Z26" s="615" t="e">
        <f>IF(AND(' RIESGOS DE GESTION'!#REF!="Media",' RIESGOS DE GESTION'!#REF!="Moderado"),CONCATENATE("R",' RIESGOS DE GESTION'!#REF!),"")</f>
        <v>#REF!</v>
      </c>
      <c r="AA26" s="616"/>
      <c r="AB26" s="598" t="e">
        <f>IF(AND(' RIESGOS DE GESTION'!#REF!="Media",' RIESGOS DE GESTION'!#REF!="Mayor"),CONCATENATE("R",' RIESGOS DE GESTION'!#REF!),"")</f>
        <v>#REF!</v>
      </c>
      <c r="AC26" s="594"/>
      <c r="AD26" s="594" t="e">
        <f>IF(AND(' RIESGOS DE GESTION'!#REF!="Media",' RIESGOS DE GESTION'!#REF!="Mayor"),CONCATENATE("R",' RIESGOS DE GESTION'!#REF!),"")</f>
        <v>#REF!</v>
      </c>
      <c r="AE26" s="594"/>
      <c r="AF26" s="594" t="e">
        <f>IF(AND(' RIESGOS DE GESTION'!#REF!="Media",' RIESGOS DE GESTION'!#REF!="Mayor"),CONCATENATE("R",' RIESGOS DE GESTION'!#REF!),"")</f>
        <v>#REF!</v>
      </c>
      <c r="AG26" s="595"/>
      <c r="AH26" s="605" t="e">
        <f>IF(AND(' RIESGOS DE GESTION'!#REF!="Media",' RIESGOS DE GESTION'!#REF!="Catastrófico"),CONCATENATE("R",' RIESGOS DE GESTION'!#REF!),"")</f>
        <v>#REF!</v>
      </c>
      <c r="AI26" s="606"/>
      <c r="AJ26" s="606" t="e">
        <f>IF(AND(' RIESGOS DE GESTION'!#REF!="Media",' RIESGOS DE GESTION'!#REF!="Catastrófico"),CONCATENATE("R",' RIESGOS DE GESTION'!#REF!),"")</f>
        <v>#REF!</v>
      </c>
      <c r="AK26" s="606"/>
      <c r="AL26" s="606" t="e">
        <f>IF(AND(' RIESGOS DE GESTION'!#REF!="Media",' RIESGOS DE GESTION'!#REF!="Catastrófico"),CONCATENATE("R",' RIESGOS DE GESTION'!#REF!),"")</f>
        <v>#REF!</v>
      </c>
      <c r="AM26" s="607"/>
      <c r="AN26" s="57"/>
      <c r="AO26" s="570"/>
      <c r="AP26" s="571"/>
      <c r="AQ26" s="571"/>
      <c r="AR26" s="571"/>
      <c r="AS26" s="571"/>
      <c r="AT26" s="572"/>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row>
    <row r="27" spans="1:80" x14ac:dyDescent="0.25">
      <c r="A27" s="57"/>
      <c r="B27" s="547"/>
      <c r="C27" s="547"/>
      <c r="D27" s="548"/>
      <c r="E27" s="588"/>
      <c r="F27" s="589"/>
      <c r="G27" s="589"/>
      <c r="H27" s="589"/>
      <c r="I27" s="590"/>
      <c r="J27" s="614"/>
      <c r="K27" s="615"/>
      <c r="L27" s="615"/>
      <c r="M27" s="615"/>
      <c r="N27" s="615"/>
      <c r="O27" s="616"/>
      <c r="P27" s="614"/>
      <c r="Q27" s="615"/>
      <c r="R27" s="615"/>
      <c r="S27" s="615"/>
      <c r="T27" s="615"/>
      <c r="U27" s="616"/>
      <c r="V27" s="614"/>
      <c r="W27" s="615"/>
      <c r="X27" s="615"/>
      <c r="Y27" s="615"/>
      <c r="Z27" s="615"/>
      <c r="AA27" s="616"/>
      <c r="AB27" s="598"/>
      <c r="AC27" s="594"/>
      <c r="AD27" s="594"/>
      <c r="AE27" s="594"/>
      <c r="AF27" s="594"/>
      <c r="AG27" s="595"/>
      <c r="AH27" s="605"/>
      <c r="AI27" s="606"/>
      <c r="AJ27" s="606"/>
      <c r="AK27" s="606"/>
      <c r="AL27" s="606"/>
      <c r="AM27" s="607"/>
      <c r="AN27" s="57"/>
      <c r="AO27" s="570"/>
      <c r="AP27" s="571"/>
      <c r="AQ27" s="571"/>
      <c r="AR27" s="571"/>
      <c r="AS27" s="571"/>
      <c r="AT27" s="572"/>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row>
    <row r="28" spans="1:80" x14ac:dyDescent="0.25">
      <c r="A28" s="57"/>
      <c r="B28" s="547"/>
      <c r="C28" s="547"/>
      <c r="D28" s="548"/>
      <c r="E28" s="588"/>
      <c r="F28" s="589"/>
      <c r="G28" s="589"/>
      <c r="H28" s="589"/>
      <c r="I28" s="590"/>
      <c r="J28" s="614" t="e">
        <f>IF(AND(' RIESGOS DE GESTION'!#REF!="Media",' RIESGOS DE GESTION'!#REF!="Leve"),CONCATENATE("R",' RIESGOS DE GESTION'!#REF!),"")</f>
        <v>#REF!</v>
      </c>
      <c r="K28" s="615"/>
      <c r="L28" s="615" t="e">
        <f>IF(AND(' RIESGOS DE GESTION'!#REF!="Media",' RIESGOS DE GESTION'!#REF!="Leve"),CONCATENATE("R",' RIESGOS DE GESTION'!#REF!),"")</f>
        <v>#REF!</v>
      </c>
      <c r="M28" s="615"/>
      <c r="N28" s="615" t="e">
        <f>IF(AND(' RIESGOS DE GESTION'!#REF!="Media",' RIESGOS DE GESTION'!#REF!="Leve"),CONCATENATE("R",' RIESGOS DE GESTION'!#REF!),"")</f>
        <v>#REF!</v>
      </c>
      <c r="O28" s="616"/>
      <c r="P28" s="614" t="e">
        <f>IF(AND(' RIESGOS DE GESTION'!#REF!="Media",' RIESGOS DE GESTION'!#REF!="Menor"),CONCATENATE("R",' RIESGOS DE GESTION'!#REF!),"")</f>
        <v>#REF!</v>
      </c>
      <c r="Q28" s="615"/>
      <c r="R28" s="615" t="e">
        <f>IF(AND(' RIESGOS DE GESTION'!#REF!="Media",' RIESGOS DE GESTION'!#REF!="Menor"),CONCATENATE("R",' RIESGOS DE GESTION'!#REF!),"")</f>
        <v>#REF!</v>
      </c>
      <c r="S28" s="615"/>
      <c r="T28" s="615" t="e">
        <f>IF(AND(' RIESGOS DE GESTION'!#REF!="Media",' RIESGOS DE GESTION'!#REF!="Menor"),CONCATENATE("R",' RIESGOS DE GESTION'!#REF!),"")</f>
        <v>#REF!</v>
      </c>
      <c r="U28" s="616"/>
      <c r="V28" s="614" t="e">
        <f>IF(AND(' RIESGOS DE GESTION'!#REF!="Media",' RIESGOS DE GESTION'!#REF!="Moderado"),CONCATENATE("R",' RIESGOS DE GESTION'!#REF!),"")</f>
        <v>#REF!</v>
      </c>
      <c r="W28" s="615"/>
      <c r="X28" s="615" t="e">
        <f>IF(AND(' RIESGOS DE GESTION'!#REF!="Media",' RIESGOS DE GESTION'!#REF!="Moderado"),CONCATENATE("R",' RIESGOS DE GESTION'!#REF!),"")</f>
        <v>#REF!</v>
      </c>
      <c r="Y28" s="615"/>
      <c r="Z28" s="615" t="e">
        <f>IF(AND(' RIESGOS DE GESTION'!#REF!="Media",' RIESGOS DE GESTION'!#REF!="Moderado"),CONCATENATE("R",' RIESGOS DE GESTION'!#REF!),"")</f>
        <v>#REF!</v>
      </c>
      <c r="AA28" s="616"/>
      <c r="AB28" s="598" t="e">
        <f>IF(AND(' RIESGOS DE GESTION'!#REF!="Media",' RIESGOS DE GESTION'!#REF!="Mayor"),CONCATENATE("R",' RIESGOS DE GESTION'!#REF!),"")</f>
        <v>#REF!</v>
      </c>
      <c r="AC28" s="594"/>
      <c r="AD28" s="594" t="e">
        <f>IF(AND(' RIESGOS DE GESTION'!#REF!="Media",' RIESGOS DE GESTION'!#REF!="Mayor"),CONCATENATE("R",' RIESGOS DE GESTION'!#REF!),"")</f>
        <v>#REF!</v>
      </c>
      <c r="AE28" s="594"/>
      <c r="AF28" s="594" t="e">
        <f>IF(AND(' RIESGOS DE GESTION'!#REF!="Media",' RIESGOS DE GESTION'!#REF!="Mayor"),CONCATENATE("R",' RIESGOS DE GESTION'!#REF!),"")</f>
        <v>#REF!</v>
      </c>
      <c r="AG28" s="595"/>
      <c r="AH28" s="605" t="e">
        <f>IF(AND(' RIESGOS DE GESTION'!#REF!="Media",' RIESGOS DE GESTION'!#REF!="Catastrófico"),CONCATENATE("R",' RIESGOS DE GESTION'!#REF!),"")</f>
        <v>#REF!</v>
      </c>
      <c r="AI28" s="606"/>
      <c r="AJ28" s="606" t="e">
        <f>IF(AND(' RIESGOS DE GESTION'!#REF!="Media",' RIESGOS DE GESTION'!#REF!="Catastrófico"),CONCATENATE("R",' RIESGOS DE GESTION'!#REF!),"")</f>
        <v>#REF!</v>
      </c>
      <c r="AK28" s="606"/>
      <c r="AL28" s="606" t="e">
        <f>IF(AND(' RIESGOS DE GESTION'!#REF!="Media",' RIESGOS DE GESTION'!#REF!="Catastrófico"),CONCATENATE("R",' RIESGOS DE GESTION'!#REF!),"")</f>
        <v>#REF!</v>
      </c>
      <c r="AM28" s="607"/>
      <c r="AN28" s="57"/>
      <c r="AO28" s="570"/>
      <c r="AP28" s="571"/>
      <c r="AQ28" s="571"/>
      <c r="AR28" s="571"/>
      <c r="AS28" s="571"/>
      <c r="AT28" s="572"/>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row>
    <row r="29" spans="1:80" ht="15.75" thickBot="1" x14ac:dyDescent="0.3">
      <c r="A29" s="57"/>
      <c r="B29" s="547"/>
      <c r="C29" s="547"/>
      <c r="D29" s="548"/>
      <c r="E29" s="591"/>
      <c r="F29" s="592"/>
      <c r="G29" s="592"/>
      <c r="H29" s="592"/>
      <c r="I29" s="593"/>
      <c r="J29" s="614"/>
      <c r="K29" s="615"/>
      <c r="L29" s="615"/>
      <c r="M29" s="615"/>
      <c r="N29" s="615"/>
      <c r="O29" s="616"/>
      <c r="P29" s="617"/>
      <c r="Q29" s="618"/>
      <c r="R29" s="618"/>
      <c r="S29" s="618"/>
      <c r="T29" s="618"/>
      <c r="U29" s="619"/>
      <c r="V29" s="617"/>
      <c r="W29" s="618"/>
      <c r="X29" s="618"/>
      <c r="Y29" s="618"/>
      <c r="Z29" s="618"/>
      <c r="AA29" s="619"/>
      <c r="AB29" s="602"/>
      <c r="AC29" s="603"/>
      <c r="AD29" s="603"/>
      <c r="AE29" s="603"/>
      <c r="AF29" s="603"/>
      <c r="AG29" s="604"/>
      <c r="AH29" s="608"/>
      <c r="AI29" s="609"/>
      <c r="AJ29" s="609"/>
      <c r="AK29" s="609"/>
      <c r="AL29" s="609"/>
      <c r="AM29" s="610"/>
      <c r="AN29" s="57"/>
      <c r="AO29" s="573"/>
      <c r="AP29" s="574"/>
      <c r="AQ29" s="574"/>
      <c r="AR29" s="574"/>
      <c r="AS29" s="574"/>
      <c r="AT29" s="575"/>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row>
    <row r="30" spans="1:80" x14ac:dyDescent="0.25">
      <c r="A30" s="57"/>
      <c r="B30" s="547"/>
      <c r="C30" s="547"/>
      <c r="D30" s="548"/>
      <c r="E30" s="585" t="s">
        <v>577</v>
      </c>
      <c r="F30" s="586"/>
      <c r="G30" s="586"/>
      <c r="H30" s="586"/>
      <c r="I30" s="586"/>
      <c r="J30" s="629" t="e">
        <f>IF(AND(' RIESGOS DE GESTION'!#REF!="Baja",' RIESGOS DE GESTION'!#REF!="Leve"),CONCATENATE("R",' RIESGOS DE GESTION'!#REF!),"")</f>
        <v>#REF!</v>
      </c>
      <c r="K30" s="630"/>
      <c r="L30" s="630" t="e">
        <f>IF(AND(' RIESGOS DE GESTION'!#REF!="Baja",' RIESGOS DE GESTION'!#REF!="Leve"),CONCATENATE("R",' RIESGOS DE GESTION'!#REF!),"")</f>
        <v>#REF!</v>
      </c>
      <c r="M30" s="630"/>
      <c r="N30" s="630" t="e">
        <f>IF(AND(' RIESGOS DE GESTION'!#REF!="Baja",' RIESGOS DE GESTION'!#REF!="Leve"),CONCATENATE("R",' RIESGOS DE GESTION'!#REF!),"")</f>
        <v>#REF!</v>
      </c>
      <c r="O30" s="631"/>
      <c r="P30" s="621" t="e">
        <f>IF(AND(' RIESGOS DE GESTION'!#REF!="Baja",' RIESGOS DE GESTION'!#REF!="Menor"),CONCATENATE("R",' RIESGOS DE GESTION'!#REF!),"")</f>
        <v>#REF!</v>
      </c>
      <c r="Q30" s="621"/>
      <c r="R30" s="621" t="e">
        <f>IF(AND(' RIESGOS DE GESTION'!#REF!="Baja",' RIESGOS DE GESTION'!#REF!="Menor"),CONCATENATE("R",' RIESGOS DE GESTION'!#REF!),"")</f>
        <v>#REF!</v>
      </c>
      <c r="S30" s="621"/>
      <c r="T30" s="621" t="e">
        <f>IF(AND(' RIESGOS DE GESTION'!#REF!="Baja",' RIESGOS DE GESTION'!#REF!="Menor"),CONCATENATE("R",' RIESGOS DE GESTION'!#REF!),"")</f>
        <v>#REF!</v>
      </c>
      <c r="U30" s="622"/>
      <c r="V30" s="620" t="e">
        <f>IF(AND(' RIESGOS DE GESTION'!#REF!="Baja",' RIESGOS DE GESTION'!#REF!="Moderado"),CONCATENATE("R",' RIESGOS DE GESTION'!#REF!),"")</f>
        <v>#REF!</v>
      </c>
      <c r="W30" s="621"/>
      <c r="X30" s="621" t="e">
        <f>IF(AND(' RIESGOS DE GESTION'!#REF!="Baja",' RIESGOS DE GESTION'!#REF!="Moderado"),CONCATENATE("R",' RIESGOS DE GESTION'!#REF!),"")</f>
        <v>#REF!</v>
      </c>
      <c r="Y30" s="621"/>
      <c r="Z30" s="621" t="e">
        <f>IF(AND(' RIESGOS DE GESTION'!#REF!="Baja",' RIESGOS DE GESTION'!#REF!="Moderado"),CONCATENATE("R",' RIESGOS DE GESTION'!#REF!),"")</f>
        <v>#REF!</v>
      </c>
      <c r="AA30" s="622"/>
      <c r="AB30" s="596" t="e">
        <f>IF(AND(' RIESGOS DE GESTION'!#REF!="Baja",' RIESGOS DE GESTION'!#REF!="Mayor"),CONCATENATE("R",' RIESGOS DE GESTION'!#REF!),"")</f>
        <v>#REF!</v>
      </c>
      <c r="AC30" s="597"/>
      <c r="AD30" s="597" t="e">
        <f>IF(AND(' RIESGOS DE GESTION'!#REF!="Baja",' RIESGOS DE GESTION'!#REF!="Mayor"),CONCATENATE("R",' RIESGOS DE GESTION'!#REF!),"")</f>
        <v>#REF!</v>
      </c>
      <c r="AE30" s="597"/>
      <c r="AF30" s="597" t="e">
        <f>IF(AND(' RIESGOS DE GESTION'!#REF!="Baja",' RIESGOS DE GESTION'!#REF!="Mayor"),CONCATENATE("R",' RIESGOS DE GESTION'!#REF!),"")</f>
        <v>#REF!</v>
      </c>
      <c r="AG30" s="599"/>
      <c r="AH30" s="611" t="e">
        <f>IF(AND(' RIESGOS DE GESTION'!#REF!="Baja",' RIESGOS DE GESTION'!#REF!="Catastrófico"),CONCATENATE("R",' RIESGOS DE GESTION'!#REF!),"")</f>
        <v>#REF!</v>
      </c>
      <c r="AI30" s="612"/>
      <c r="AJ30" s="612" t="e">
        <f>IF(AND(' RIESGOS DE GESTION'!#REF!="Baja",' RIESGOS DE GESTION'!#REF!="Catastrófico"),CONCATENATE("R",' RIESGOS DE GESTION'!#REF!),"")</f>
        <v>#REF!</v>
      </c>
      <c r="AK30" s="612"/>
      <c r="AL30" s="612" t="e">
        <f>IF(AND(' RIESGOS DE GESTION'!#REF!="Baja",' RIESGOS DE GESTION'!#REF!="Catastrófico"),CONCATENATE("R",' RIESGOS DE GESTION'!#REF!),"")</f>
        <v>#REF!</v>
      </c>
      <c r="AM30" s="613"/>
      <c r="AN30" s="57"/>
      <c r="AO30" s="576" t="s">
        <v>578</v>
      </c>
      <c r="AP30" s="577"/>
      <c r="AQ30" s="577"/>
      <c r="AR30" s="577"/>
      <c r="AS30" s="577"/>
      <c r="AT30" s="578"/>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row>
    <row r="31" spans="1:80" x14ac:dyDescent="0.25">
      <c r="A31" s="57"/>
      <c r="B31" s="547"/>
      <c r="C31" s="547"/>
      <c r="D31" s="548"/>
      <c r="E31" s="588"/>
      <c r="F31" s="589"/>
      <c r="G31" s="589"/>
      <c r="H31" s="589"/>
      <c r="I31" s="589"/>
      <c r="J31" s="625"/>
      <c r="K31" s="623"/>
      <c r="L31" s="623"/>
      <c r="M31" s="623"/>
      <c r="N31" s="623"/>
      <c r="O31" s="624"/>
      <c r="P31" s="615"/>
      <c r="Q31" s="615"/>
      <c r="R31" s="615"/>
      <c r="S31" s="615"/>
      <c r="T31" s="615"/>
      <c r="U31" s="616"/>
      <c r="V31" s="614"/>
      <c r="W31" s="615"/>
      <c r="X31" s="615"/>
      <c r="Y31" s="615"/>
      <c r="Z31" s="615"/>
      <c r="AA31" s="616"/>
      <c r="AB31" s="598"/>
      <c r="AC31" s="594"/>
      <c r="AD31" s="594"/>
      <c r="AE31" s="594"/>
      <c r="AF31" s="594"/>
      <c r="AG31" s="595"/>
      <c r="AH31" s="605"/>
      <c r="AI31" s="606"/>
      <c r="AJ31" s="606"/>
      <c r="AK31" s="606"/>
      <c r="AL31" s="606"/>
      <c r="AM31" s="607"/>
      <c r="AN31" s="57"/>
      <c r="AO31" s="579"/>
      <c r="AP31" s="580"/>
      <c r="AQ31" s="580"/>
      <c r="AR31" s="580"/>
      <c r="AS31" s="580"/>
      <c r="AT31" s="581"/>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row>
    <row r="32" spans="1:80" x14ac:dyDescent="0.25">
      <c r="A32" s="57"/>
      <c r="B32" s="547"/>
      <c r="C32" s="547"/>
      <c r="D32" s="548"/>
      <c r="E32" s="588"/>
      <c r="F32" s="589"/>
      <c r="G32" s="589"/>
      <c r="H32" s="589"/>
      <c r="I32" s="589"/>
      <c r="J32" s="625" t="e">
        <f>IF(AND(' RIESGOS DE GESTION'!#REF!="Baja",' RIESGOS DE GESTION'!#REF!="Leve"),CONCATENATE("R",' RIESGOS DE GESTION'!#REF!),"")</f>
        <v>#REF!</v>
      </c>
      <c r="K32" s="623"/>
      <c r="L32" s="623" t="e">
        <f>IF(AND(' RIESGOS DE GESTION'!#REF!="Baja",' RIESGOS DE GESTION'!#REF!="Leve"),CONCATENATE("R",' RIESGOS DE GESTION'!#REF!),"")</f>
        <v>#REF!</v>
      </c>
      <c r="M32" s="623"/>
      <c r="N32" s="623" t="e">
        <f>IF(AND(' RIESGOS DE GESTION'!#REF!="Baja",' RIESGOS DE GESTION'!#REF!="Leve"),CONCATENATE("R",' RIESGOS DE GESTION'!#REF!),"")</f>
        <v>#REF!</v>
      </c>
      <c r="O32" s="624"/>
      <c r="P32" s="615" t="e">
        <f>IF(AND(' RIESGOS DE GESTION'!#REF!="Baja",' RIESGOS DE GESTION'!#REF!="Menor"),CONCATENATE("R",' RIESGOS DE GESTION'!#REF!),"")</f>
        <v>#REF!</v>
      </c>
      <c r="Q32" s="615"/>
      <c r="R32" s="615" t="e">
        <f>IF(AND(' RIESGOS DE GESTION'!#REF!="Baja",' RIESGOS DE GESTION'!#REF!="Menor"),CONCATENATE("R",' RIESGOS DE GESTION'!#REF!),"")</f>
        <v>#REF!</v>
      </c>
      <c r="S32" s="615"/>
      <c r="T32" s="615" t="e">
        <f>IF(AND(' RIESGOS DE GESTION'!#REF!="Baja",' RIESGOS DE GESTION'!#REF!="Menor"),CONCATENATE("R",' RIESGOS DE GESTION'!#REF!),"")</f>
        <v>#REF!</v>
      </c>
      <c r="U32" s="616"/>
      <c r="V32" s="614" t="e">
        <f>IF(AND(' RIESGOS DE GESTION'!#REF!="Baja",' RIESGOS DE GESTION'!#REF!="Moderado"),CONCATENATE("R",' RIESGOS DE GESTION'!#REF!),"")</f>
        <v>#REF!</v>
      </c>
      <c r="W32" s="615"/>
      <c r="X32" s="615" t="e">
        <f>IF(AND(' RIESGOS DE GESTION'!#REF!="Baja",' RIESGOS DE GESTION'!#REF!="Moderado"),CONCATENATE("R",' RIESGOS DE GESTION'!#REF!),"")</f>
        <v>#REF!</v>
      </c>
      <c r="Y32" s="615"/>
      <c r="Z32" s="615" t="e">
        <f>IF(AND(' RIESGOS DE GESTION'!#REF!="Baja",' RIESGOS DE GESTION'!#REF!="Moderado"),CONCATENATE("R",' RIESGOS DE GESTION'!#REF!),"")</f>
        <v>#REF!</v>
      </c>
      <c r="AA32" s="616"/>
      <c r="AB32" s="598" t="e">
        <f>IF(AND(' RIESGOS DE GESTION'!#REF!="Baja",' RIESGOS DE GESTION'!#REF!="Mayor"),CONCATENATE("R",' RIESGOS DE GESTION'!#REF!),"")</f>
        <v>#REF!</v>
      </c>
      <c r="AC32" s="594"/>
      <c r="AD32" s="594" t="e">
        <f>IF(AND(' RIESGOS DE GESTION'!#REF!="Baja",' RIESGOS DE GESTION'!#REF!="Mayor"),CONCATENATE("R",' RIESGOS DE GESTION'!#REF!),"")</f>
        <v>#REF!</v>
      </c>
      <c r="AE32" s="594"/>
      <c r="AF32" s="594" t="e">
        <f>IF(AND(' RIESGOS DE GESTION'!#REF!="Baja",' RIESGOS DE GESTION'!#REF!="Mayor"),CONCATENATE("R",' RIESGOS DE GESTION'!#REF!),"")</f>
        <v>#REF!</v>
      </c>
      <c r="AG32" s="595"/>
      <c r="AH32" s="605" t="e">
        <f>IF(AND(' RIESGOS DE GESTION'!#REF!="Baja",' RIESGOS DE GESTION'!#REF!="Catastrófico"),CONCATENATE("R",' RIESGOS DE GESTION'!#REF!),"")</f>
        <v>#REF!</v>
      </c>
      <c r="AI32" s="606"/>
      <c r="AJ32" s="606" t="e">
        <f>IF(AND(' RIESGOS DE GESTION'!#REF!="Baja",' RIESGOS DE GESTION'!#REF!="Catastrófico"),CONCATENATE("R",' RIESGOS DE GESTION'!#REF!),"")</f>
        <v>#REF!</v>
      </c>
      <c r="AK32" s="606"/>
      <c r="AL32" s="606" t="e">
        <f>IF(AND(' RIESGOS DE GESTION'!#REF!="Baja",' RIESGOS DE GESTION'!#REF!="Catastrófico"),CONCATENATE("R",' RIESGOS DE GESTION'!#REF!),"")</f>
        <v>#REF!</v>
      </c>
      <c r="AM32" s="607"/>
      <c r="AN32" s="57"/>
      <c r="AO32" s="579"/>
      <c r="AP32" s="580"/>
      <c r="AQ32" s="580"/>
      <c r="AR32" s="580"/>
      <c r="AS32" s="580"/>
      <c r="AT32" s="581"/>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row>
    <row r="33" spans="1:80" x14ac:dyDescent="0.25">
      <c r="A33" s="57"/>
      <c r="B33" s="547"/>
      <c r="C33" s="547"/>
      <c r="D33" s="548"/>
      <c r="E33" s="588"/>
      <c r="F33" s="589"/>
      <c r="G33" s="589"/>
      <c r="H33" s="589"/>
      <c r="I33" s="589"/>
      <c r="J33" s="625"/>
      <c r="K33" s="623"/>
      <c r="L33" s="623"/>
      <c r="M33" s="623"/>
      <c r="N33" s="623"/>
      <c r="O33" s="624"/>
      <c r="P33" s="615"/>
      <c r="Q33" s="615"/>
      <c r="R33" s="615"/>
      <c r="S33" s="615"/>
      <c r="T33" s="615"/>
      <c r="U33" s="616"/>
      <c r="V33" s="614"/>
      <c r="W33" s="615"/>
      <c r="X33" s="615"/>
      <c r="Y33" s="615"/>
      <c r="Z33" s="615"/>
      <c r="AA33" s="616"/>
      <c r="AB33" s="598"/>
      <c r="AC33" s="594"/>
      <c r="AD33" s="594"/>
      <c r="AE33" s="594"/>
      <c r="AF33" s="594"/>
      <c r="AG33" s="595"/>
      <c r="AH33" s="605"/>
      <c r="AI33" s="606"/>
      <c r="AJ33" s="606"/>
      <c r="AK33" s="606"/>
      <c r="AL33" s="606"/>
      <c r="AM33" s="607"/>
      <c r="AN33" s="57"/>
      <c r="AO33" s="579"/>
      <c r="AP33" s="580"/>
      <c r="AQ33" s="580"/>
      <c r="AR33" s="580"/>
      <c r="AS33" s="580"/>
      <c r="AT33" s="581"/>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row>
    <row r="34" spans="1:80" x14ac:dyDescent="0.25">
      <c r="A34" s="57"/>
      <c r="B34" s="547"/>
      <c r="C34" s="547"/>
      <c r="D34" s="548"/>
      <c r="E34" s="588"/>
      <c r="F34" s="589"/>
      <c r="G34" s="589"/>
      <c r="H34" s="589"/>
      <c r="I34" s="589"/>
      <c r="J34" s="625" t="e">
        <f>IF(AND(' RIESGOS DE GESTION'!#REF!="Baja",' RIESGOS DE GESTION'!#REF!="Leve"),CONCATENATE("R",' RIESGOS DE GESTION'!#REF!),"")</f>
        <v>#REF!</v>
      </c>
      <c r="K34" s="623"/>
      <c r="L34" s="623" t="e">
        <f>IF(AND(' RIESGOS DE GESTION'!#REF!="Baja",' RIESGOS DE GESTION'!#REF!="Leve"),CONCATENATE("R",' RIESGOS DE GESTION'!#REF!),"")</f>
        <v>#REF!</v>
      </c>
      <c r="M34" s="623"/>
      <c r="N34" s="623" t="e">
        <f>IF(AND(' RIESGOS DE GESTION'!#REF!="Baja",' RIESGOS DE GESTION'!#REF!="Leve"),CONCATENATE("R",' RIESGOS DE GESTION'!#REF!),"")</f>
        <v>#REF!</v>
      </c>
      <c r="O34" s="624"/>
      <c r="P34" s="615" t="e">
        <f>IF(AND(' RIESGOS DE GESTION'!#REF!="Baja",' RIESGOS DE GESTION'!#REF!="Menor"),CONCATENATE("R",' RIESGOS DE GESTION'!#REF!),"")</f>
        <v>#REF!</v>
      </c>
      <c r="Q34" s="615"/>
      <c r="R34" s="615" t="e">
        <f>IF(AND(' RIESGOS DE GESTION'!#REF!="Baja",' RIESGOS DE GESTION'!#REF!="Menor"),CONCATENATE("R",' RIESGOS DE GESTION'!#REF!),"")</f>
        <v>#REF!</v>
      </c>
      <c r="S34" s="615"/>
      <c r="T34" s="615" t="e">
        <f>IF(AND(' RIESGOS DE GESTION'!#REF!="Baja",' RIESGOS DE GESTION'!#REF!="Menor"),CONCATENATE("R",' RIESGOS DE GESTION'!#REF!),"")</f>
        <v>#REF!</v>
      </c>
      <c r="U34" s="616"/>
      <c r="V34" s="614" t="e">
        <f>IF(AND(' RIESGOS DE GESTION'!#REF!="Baja",' RIESGOS DE GESTION'!#REF!="Moderado"),CONCATENATE("R",' RIESGOS DE GESTION'!#REF!),"")</f>
        <v>#REF!</v>
      </c>
      <c r="W34" s="615"/>
      <c r="X34" s="615" t="e">
        <f>IF(AND(' RIESGOS DE GESTION'!#REF!="Baja",' RIESGOS DE GESTION'!#REF!="Moderado"),CONCATENATE("R",' RIESGOS DE GESTION'!#REF!),"")</f>
        <v>#REF!</v>
      </c>
      <c r="Y34" s="615"/>
      <c r="Z34" s="615" t="e">
        <f>IF(AND(' RIESGOS DE GESTION'!#REF!="Baja",' RIESGOS DE GESTION'!#REF!="Moderado"),CONCATENATE("R",' RIESGOS DE GESTION'!#REF!),"")</f>
        <v>#REF!</v>
      </c>
      <c r="AA34" s="616"/>
      <c r="AB34" s="598" t="e">
        <f>IF(AND(' RIESGOS DE GESTION'!#REF!="Baja",' RIESGOS DE GESTION'!#REF!="Mayor"),CONCATENATE("R",' RIESGOS DE GESTION'!#REF!),"")</f>
        <v>#REF!</v>
      </c>
      <c r="AC34" s="594"/>
      <c r="AD34" s="594" t="e">
        <f>IF(AND(' RIESGOS DE GESTION'!#REF!="Baja",' RIESGOS DE GESTION'!#REF!="Mayor"),CONCATENATE("R",' RIESGOS DE GESTION'!#REF!),"")</f>
        <v>#REF!</v>
      </c>
      <c r="AE34" s="594"/>
      <c r="AF34" s="594" t="e">
        <f>IF(AND(' RIESGOS DE GESTION'!#REF!="Baja",' RIESGOS DE GESTION'!#REF!="Mayor"),CONCATENATE("R",' RIESGOS DE GESTION'!#REF!),"")</f>
        <v>#REF!</v>
      </c>
      <c r="AG34" s="595"/>
      <c r="AH34" s="605" t="e">
        <f>IF(AND(' RIESGOS DE GESTION'!#REF!="Baja",' RIESGOS DE GESTION'!#REF!="Catastrófico"),CONCATENATE("R",' RIESGOS DE GESTION'!#REF!),"")</f>
        <v>#REF!</v>
      </c>
      <c r="AI34" s="606"/>
      <c r="AJ34" s="606" t="e">
        <f>IF(AND(' RIESGOS DE GESTION'!#REF!="Baja",' RIESGOS DE GESTION'!#REF!="Catastrófico"),CONCATENATE("R",' RIESGOS DE GESTION'!#REF!),"")</f>
        <v>#REF!</v>
      </c>
      <c r="AK34" s="606"/>
      <c r="AL34" s="606" t="e">
        <f>IF(AND(' RIESGOS DE GESTION'!#REF!="Baja",' RIESGOS DE GESTION'!#REF!="Catastrófico"),CONCATENATE("R",' RIESGOS DE GESTION'!#REF!),"")</f>
        <v>#REF!</v>
      </c>
      <c r="AM34" s="607"/>
      <c r="AN34" s="57"/>
      <c r="AO34" s="579"/>
      <c r="AP34" s="580"/>
      <c r="AQ34" s="580"/>
      <c r="AR34" s="580"/>
      <c r="AS34" s="580"/>
      <c r="AT34" s="581"/>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row>
    <row r="35" spans="1:80" x14ac:dyDescent="0.25">
      <c r="A35" s="57"/>
      <c r="B35" s="547"/>
      <c r="C35" s="547"/>
      <c r="D35" s="548"/>
      <c r="E35" s="588"/>
      <c r="F35" s="589"/>
      <c r="G35" s="589"/>
      <c r="H35" s="589"/>
      <c r="I35" s="589"/>
      <c r="J35" s="625"/>
      <c r="K35" s="623"/>
      <c r="L35" s="623"/>
      <c r="M35" s="623"/>
      <c r="N35" s="623"/>
      <c r="O35" s="624"/>
      <c r="P35" s="615"/>
      <c r="Q35" s="615"/>
      <c r="R35" s="615"/>
      <c r="S35" s="615"/>
      <c r="T35" s="615"/>
      <c r="U35" s="616"/>
      <c r="V35" s="614"/>
      <c r="W35" s="615"/>
      <c r="X35" s="615"/>
      <c r="Y35" s="615"/>
      <c r="Z35" s="615"/>
      <c r="AA35" s="616"/>
      <c r="AB35" s="598"/>
      <c r="AC35" s="594"/>
      <c r="AD35" s="594"/>
      <c r="AE35" s="594"/>
      <c r="AF35" s="594"/>
      <c r="AG35" s="595"/>
      <c r="AH35" s="605"/>
      <c r="AI35" s="606"/>
      <c r="AJ35" s="606"/>
      <c r="AK35" s="606"/>
      <c r="AL35" s="606"/>
      <c r="AM35" s="607"/>
      <c r="AN35" s="57"/>
      <c r="AO35" s="579"/>
      <c r="AP35" s="580"/>
      <c r="AQ35" s="580"/>
      <c r="AR35" s="580"/>
      <c r="AS35" s="580"/>
      <c r="AT35" s="581"/>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row>
    <row r="36" spans="1:80" x14ac:dyDescent="0.25">
      <c r="A36" s="57"/>
      <c r="B36" s="547"/>
      <c r="C36" s="547"/>
      <c r="D36" s="548"/>
      <c r="E36" s="588"/>
      <c r="F36" s="589"/>
      <c r="G36" s="589"/>
      <c r="H36" s="589"/>
      <c r="I36" s="589"/>
      <c r="J36" s="625" t="e">
        <f>IF(AND(' RIESGOS DE GESTION'!#REF!="Baja",' RIESGOS DE GESTION'!#REF!="Leve"),CONCATENATE("R",' RIESGOS DE GESTION'!#REF!),"")</f>
        <v>#REF!</v>
      </c>
      <c r="K36" s="623"/>
      <c r="L36" s="623" t="e">
        <f>IF(AND(' RIESGOS DE GESTION'!#REF!="Baja",' RIESGOS DE GESTION'!#REF!="Leve"),CONCATENATE("R",' RIESGOS DE GESTION'!#REF!),"")</f>
        <v>#REF!</v>
      </c>
      <c r="M36" s="623"/>
      <c r="N36" s="623" t="e">
        <f>IF(AND(' RIESGOS DE GESTION'!#REF!="Baja",' RIESGOS DE GESTION'!#REF!="Leve"),CONCATENATE("R",' RIESGOS DE GESTION'!#REF!),"")</f>
        <v>#REF!</v>
      </c>
      <c r="O36" s="624"/>
      <c r="P36" s="615" t="e">
        <f>IF(AND(' RIESGOS DE GESTION'!#REF!="Baja",' RIESGOS DE GESTION'!#REF!="Menor"),CONCATENATE("R",' RIESGOS DE GESTION'!#REF!),"")</f>
        <v>#REF!</v>
      </c>
      <c r="Q36" s="615"/>
      <c r="R36" s="615" t="e">
        <f>IF(AND(' RIESGOS DE GESTION'!#REF!="Baja",' RIESGOS DE GESTION'!#REF!="Menor"),CONCATENATE("R",' RIESGOS DE GESTION'!#REF!),"")</f>
        <v>#REF!</v>
      </c>
      <c r="S36" s="615"/>
      <c r="T36" s="615" t="e">
        <f>IF(AND(' RIESGOS DE GESTION'!#REF!="Baja",' RIESGOS DE GESTION'!#REF!="Menor"),CONCATENATE("R",' RIESGOS DE GESTION'!#REF!),"")</f>
        <v>#REF!</v>
      </c>
      <c r="U36" s="616"/>
      <c r="V36" s="614" t="e">
        <f>IF(AND(' RIESGOS DE GESTION'!#REF!="Baja",' RIESGOS DE GESTION'!#REF!="Moderado"),CONCATENATE("R",' RIESGOS DE GESTION'!#REF!),"")</f>
        <v>#REF!</v>
      </c>
      <c r="W36" s="615"/>
      <c r="X36" s="615" t="e">
        <f>IF(AND(' RIESGOS DE GESTION'!#REF!="Baja",' RIESGOS DE GESTION'!#REF!="Moderado"),CONCATENATE("R",' RIESGOS DE GESTION'!#REF!),"")</f>
        <v>#REF!</v>
      </c>
      <c r="Y36" s="615"/>
      <c r="Z36" s="615" t="e">
        <f>IF(AND(' RIESGOS DE GESTION'!#REF!="Baja",' RIESGOS DE GESTION'!#REF!="Moderado"),CONCATENATE("R",' RIESGOS DE GESTION'!#REF!),"")</f>
        <v>#REF!</v>
      </c>
      <c r="AA36" s="616"/>
      <c r="AB36" s="598" t="e">
        <f>IF(AND(' RIESGOS DE GESTION'!#REF!="Baja",' RIESGOS DE GESTION'!#REF!="Mayor"),CONCATENATE("R",' RIESGOS DE GESTION'!#REF!),"")</f>
        <v>#REF!</v>
      </c>
      <c r="AC36" s="594"/>
      <c r="AD36" s="594" t="e">
        <f>IF(AND(' RIESGOS DE GESTION'!#REF!="Baja",' RIESGOS DE GESTION'!#REF!="Mayor"),CONCATENATE("R",' RIESGOS DE GESTION'!#REF!),"")</f>
        <v>#REF!</v>
      </c>
      <c r="AE36" s="594"/>
      <c r="AF36" s="594" t="e">
        <f>IF(AND(' RIESGOS DE GESTION'!#REF!="Baja",' RIESGOS DE GESTION'!#REF!="Mayor"),CONCATENATE("R",' RIESGOS DE GESTION'!#REF!),"")</f>
        <v>#REF!</v>
      </c>
      <c r="AG36" s="595"/>
      <c r="AH36" s="605" t="e">
        <f>IF(AND(' RIESGOS DE GESTION'!#REF!="Baja",' RIESGOS DE GESTION'!#REF!="Catastrófico"),CONCATENATE("R",' RIESGOS DE GESTION'!#REF!),"")</f>
        <v>#REF!</v>
      </c>
      <c r="AI36" s="606"/>
      <c r="AJ36" s="606" t="e">
        <f>IF(AND(' RIESGOS DE GESTION'!#REF!="Baja",' RIESGOS DE GESTION'!#REF!="Catastrófico"),CONCATENATE("R",' RIESGOS DE GESTION'!#REF!),"")</f>
        <v>#REF!</v>
      </c>
      <c r="AK36" s="606"/>
      <c r="AL36" s="606" t="e">
        <f>IF(AND(' RIESGOS DE GESTION'!#REF!="Baja",' RIESGOS DE GESTION'!#REF!="Catastrófico"),CONCATENATE("R",' RIESGOS DE GESTION'!#REF!),"")</f>
        <v>#REF!</v>
      </c>
      <c r="AM36" s="607"/>
      <c r="AN36" s="57"/>
      <c r="AO36" s="579"/>
      <c r="AP36" s="580"/>
      <c r="AQ36" s="580"/>
      <c r="AR36" s="580"/>
      <c r="AS36" s="580"/>
      <c r="AT36" s="581"/>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row>
    <row r="37" spans="1:80" ht="15.75" thickBot="1" x14ac:dyDescent="0.3">
      <c r="A37" s="57"/>
      <c r="B37" s="547"/>
      <c r="C37" s="547"/>
      <c r="D37" s="548"/>
      <c r="E37" s="591"/>
      <c r="F37" s="592"/>
      <c r="G37" s="592"/>
      <c r="H37" s="592"/>
      <c r="I37" s="592"/>
      <c r="J37" s="626"/>
      <c r="K37" s="627"/>
      <c r="L37" s="627"/>
      <c r="M37" s="627"/>
      <c r="N37" s="627"/>
      <c r="O37" s="628"/>
      <c r="P37" s="618"/>
      <c r="Q37" s="618"/>
      <c r="R37" s="618"/>
      <c r="S37" s="618"/>
      <c r="T37" s="618"/>
      <c r="U37" s="619"/>
      <c r="V37" s="617"/>
      <c r="W37" s="618"/>
      <c r="X37" s="618"/>
      <c r="Y37" s="618"/>
      <c r="Z37" s="618"/>
      <c r="AA37" s="619"/>
      <c r="AB37" s="602"/>
      <c r="AC37" s="603"/>
      <c r="AD37" s="603"/>
      <c r="AE37" s="603"/>
      <c r="AF37" s="603"/>
      <c r="AG37" s="604"/>
      <c r="AH37" s="608"/>
      <c r="AI37" s="609"/>
      <c r="AJ37" s="609"/>
      <c r="AK37" s="609"/>
      <c r="AL37" s="609"/>
      <c r="AM37" s="610"/>
      <c r="AN37" s="57"/>
      <c r="AO37" s="582"/>
      <c r="AP37" s="583"/>
      <c r="AQ37" s="583"/>
      <c r="AR37" s="583"/>
      <c r="AS37" s="583"/>
      <c r="AT37" s="584"/>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row>
    <row r="38" spans="1:80" x14ac:dyDescent="0.25">
      <c r="A38" s="57"/>
      <c r="B38" s="547"/>
      <c r="C38" s="547"/>
      <c r="D38" s="548"/>
      <c r="E38" s="585" t="s">
        <v>579</v>
      </c>
      <c r="F38" s="586"/>
      <c r="G38" s="586"/>
      <c r="H38" s="586"/>
      <c r="I38" s="587"/>
      <c r="J38" s="629" t="e">
        <f>IF(AND(' RIESGOS DE GESTION'!#REF!="Muy Baja",' RIESGOS DE GESTION'!#REF!="Leve"),CONCATENATE("R",' RIESGOS DE GESTION'!#REF!),"")</f>
        <v>#REF!</v>
      </c>
      <c r="K38" s="630"/>
      <c r="L38" s="630" t="e">
        <f>IF(AND(' RIESGOS DE GESTION'!#REF!="Muy Baja",' RIESGOS DE GESTION'!#REF!="Leve"),CONCATENATE("R",' RIESGOS DE GESTION'!#REF!),"")</f>
        <v>#REF!</v>
      </c>
      <c r="M38" s="630"/>
      <c r="N38" s="630" t="e">
        <f>IF(AND(' RIESGOS DE GESTION'!#REF!="Muy Baja",' RIESGOS DE GESTION'!#REF!="Leve"),CONCATENATE("R",' RIESGOS DE GESTION'!#REF!),"")</f>
        <v>#REF!</v>
      </c>
      <c r="O38" s="631"/>
      <c r="P38" s="629" t="e">
        <f>IF(AND(' RIESGOS DE GESTION'!#REF!="Muy Baja",' RIESGOS DE GESTION'!#REF!="Menor"),CONCATENATE("R",' RIESGOS DE GESTION'!#REF!),"")</f>
        <v>#REF!</v>
      </c>
      <c r="Q38" s="630"/>
      <c r="R38" s="630" t="e">
        <f>IF(AND(' RIESGOS DE GESTION'!#REF!="Muy Baja",' RIESGOS DE GESTION'!#REF!="Menor"),CONCATENATE("R",' RIESGOS DE GESTION'!#REF!),"")</f>
        <v>#REF!</v>
      </c>
      <c r="S38" s="630"/>
      <c r="T38" s="630" t="e">
        <f>IF(AND(' RIESGOS DE GESTION'!#REF!="Muy Baja",' RIESGOS DE GESTION'!#REF!="Menor"),CONCATENATE("R",' RIESGOS DE GESTION'!#REF!),"")</f>
        <v>#REF!</v>
      </c>
      <c r="U38" s="631"/>
      <c r="V38" s="620" t="e">
        <f>IF(AND(' RIESGOS DE GESTION'!#REF!="Muy Baja",' RIESGOS DE GESTION'!#REF!="Moderado"),CONCATENATE("R",' RIESGOS DE GESTION'!#REF!),"")</f>
        <v>#REF!</v>
      </c>
      <c r="W38" s="621"/>
      <c r="X38" s="621" t="e">
        <f>IF(AND(' RIESGOS DE GESTION'!#REF!="Muy Baja",' RIESGOS DE GESTION'!#REF!="Moderado"),CONCATENATE("R",' RIESGOS DE GESTION'!#REF!),"")</f>
        <v>#REF!</v>
      </c>
      <c r="Y38" s="621"/>
      <c r="Z38" s="621" t="e">
        <f>IF(AND(' RIESGOS DE GESTION'!#REF!="Muy Baja",' RIESGOS DE GESTION'!#REF!="Moderado"),CONCATENATE("R",' RIESGOS DE GESTION'!#REF!),"")</f>
        <v>#REF!</v>
      </c>
      <c r="AA38" s="622"/>
      <c r="AB38" s="596" t="e">
        <f>IF(AND(' RIESGOS DE GESTION'!#REF!="Muy Baja",' RIESGOS DE GESTION'!#REF!="Mayor"),CONCATENATE("R",' RIESGOS DE GESTION'!#REF!),"")</f>
        <v>#REF!</v>
      </c>
      <c r="AC38" s="597"/>
      <c r="AD38" s="597" t="e">
        <f>IF(AND(' RIESGOS DE GESTION'!#REF!="Muy Baja",' RIESGOS DE GESTION'!#REF!="Mayor"),CONCATENATE("R",' RIESGOS DE GESTION'!#REF!),"")</f>
        <v>#REF!</v>
      </c>
      <c r="AE38" s="597"/>
      <c r="AF38" s="597" t="e">
        <f>IF(AND(' RIESGOS DE GESTION'!#REF!="Muy Baja",' RIESGOS DE GESTION'!#REF!="Mayor"),CONCATENATE("R",' RIESGOS DE GESTION'!#REF!),"")</f>
        <v>#REF!</v>
      </c>
      <c r="AG38" s="599"/>
      <c r="AH38" s="611" t="e">
        <f>IF(AND(' RIESGOS DE GESTION'!#REF!="Muy Baja",' RIESGOS DE GESTION'!#REF!="Catastrófico"),CONCATENATE("R",' RIESGOS DE GESTION'!#REF!),"")</f>
        <v>#REF!</v>
      </c>
      <c r="AI38" s="612"/>
      <c r="AJ38" s="612" t="e">
        <f>IF(AND(' RIESGOS DE GESTION'!#REF!="Muy Baja",' RIESGOS DE GESTION'!#REF!="Catastrófico"),CONCATENATE("R",' RIESGOS DE GESTION'!#REF!),"")</f>
        <v>#REF!</v>
      </c>
      <c r="AK38" s="612"/>
      <c r="AL38" s="612" t="e">
        <f>IF(AND(' RIESGOS DE GESTION'!#REF!="Muy Baja",' RIESGOS DE GESTION'!#REF!="Catastrófico"),CONCATENATE("R",' RIESGOS DE GESTION'!#REF!),"")</f>
        <v>#REF!</v>
      </c>
      <c r="AM38" s="613"/>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row>
    <row r="39" spans="1:80" x14ac:dyDescent="0.25">
      <c r="A39" s="57"/>
      <c r="B39" s="547"/>
      <c r="C39" s="547"/>
      <c r="D39" s="548"/>
      <c r="E39" s="588"/>
      <c r="F39" s="589"/>
      <c r="G39" s="589"/>
      <c r="H39" s="589"/>
      <c r="I39" s="590"/>
      <c r="J39" s="625"/>
      <c r="K39" s="623"/>
      <c r="L39" s="623"/>
      <c r="M39" s="623"/>
      <c r="N39" s="623"/>
      <c r="O39" s="624"/>
      <c r="P39" s="625"/>
      <c r="Q39" s="623"/>
      <c r="R39" s="623"/>
      <c r="S39" s="623"/>
      <c r="T39" s="623"/>
      <c r="U39" s="624"/>
      <c r="V39" s="614"/>
      <c r="W39" s="615"/>
      <c r="X39" s="615"/>
      <c r="Y39" s="615"/>
      <c r="Z39" s="615"/>
      <c r="AA39" s="616"/>
      <c r="AB39" s="598"/>
      <c r="AC39" s="594"/>
      <c r="AD39" s="594"/>
      <c r="AE39" s="594"/>
      <c r="AF39" s="594"/>
      <c r="AG39" s="595"/>
      <c r="AH39" s="605"/>
      <c r="AI39" s="606"/>
      <c r="AJ39" s="606"/>
      <c r="AK39" s="606"/>
      <c r="AL39" s="606"/>
      <c r="AM39" s="60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row>
    <row r="40" spans="1:80" x14ac:dyDescent="0.25">
      <c r="A40" s="57"/>
      <c r="B40" s="547"/>
      <c r="C40" s="547"/>
      <c r="D40" s="548"/>
      <c r="E40" s="588"/>
      <c r="F40" s="589"/>
      <c r="G40" s="589"/>
      <c r="H40" s="589"/>
      <c r="I40" s="590"/>
      <c r="J40" s="625" t="e">
        <f>IF(AND(' RIESGOS DE GESTION'!#REF!="Muy Baja",' RIESGOS DE GESTION'!#REF!="Leve"),CONCATENATE("R",' RIESGOS DE GESTION'!#REF!),"")</f>
        <v>#REF!</v>
      </c>
      <c r="K40" s="623"/>
      <c r="L40" s="623" t="e">
        <f>IF(AND(' RIESGOS DE GESTION'!#REF!="Muy Baja",' RIESGOS DE GESTION'!#REF!="Leve"),CONCATENATE("R",' RIESGOS DE GESTION'!#REF!),"")</f>
        <v>#REF!</v>
      </c>
      <c r="M40" s="623"/>
      <c r="N40" s="623" t="e">
        <f>IF(AND(' RIESGOS DE GESTION'!#REF!="Muy Baja",' RIESGOS DE GESTION'!#REF!="Leve"),CONCATENATE("R",' RIESGOS DE GESTION'!#REF!),"")</f>
        <v>#REF!</v>
      </c>
      <c r="O40" s="624"/>
      <c r="P40" s="625" t="e">
        <f>IF(AND(' RIESGOS DE GESTION'!#REF!="Muy Baja",' RIESGOS DE GESTION'!#REF!="Menor"),CONCATENATE("R",' RIESGOS DE GESTION'!#REF!),"")</f>
        <v>#REF!</v>
      </c>
      <c r="Q40" s="623"/>
      <c r="R40" s="623" t="e">
        <f>IF(AND(' RIESGOS DE GESTION'!#REF!="Muy Baja",' RIESGOS DE GESTION'!#REF!="Menor"),CONCATENATE("R",' RIESGOS DE GESTION'!#REF!),"")</f>
        <v>#REF!</v>
      </c>
      <c r="S40" s="623"/>
      <c r="T40" s="623" t="e">
        <f>IF(AND(' RIESGOS DE GESTION'!#REF!="Muy Baja",' RIESGOS DE GESTION'!#REF!="Menor"),CONCATENATE("R",' RIESGOS DE GESTION'!#REF!),"")</f>
        <v>#REF!</v>
      </c>
      <c r="U40" s="624"/>
      <c r="V40" s="614" t="e">
        <f>IF(AND(' RIESGOS DE GESTION'!#REF!="Muy Baja",' RIESGOS DE GESTION'!#REF!="Moderado"),CONCATENATE("R",' RIESGOS DE GESTION'!#REF!),"")</f>
        <v>#REF!</v>
      </c>
      <c r="W40" s="615"/>
      <c r="X40" s="615" t="e">
        <f>IF(AND(' RIESGOS DE GESTION'!#REF!="Muy Baja",' RIESGOS DE GESTION'!#REF!="Moderado"),CONCATENATE("R",' RIESGOS DE GESTION'!#REF!),"")</f>
        <v>#REF!</v>
      </c>
      <c r="Y40" s="615"/>
      <c r="Z40" s="615" t="e">
        <f>IF(AND(' RIESGOS DE GESTION'!#REF!="Muy Baja",' RIESGOS DE GESTION'!#REF!="Moderado"),CONCATENATE("R",' RIESGOS DE GESTION'!#REF!),"")</f>
        <v>#REF!</v>
      </c>
      <c r="AA40" s="616"/>
      <c r="AB40" s="598" t="e">
        <f>IF(AND(' RIESGOS DE GESTION'!#REF!="Muy Baja",' RIESGOS DE GESTION'!#REF!="Mayor"),CONCATENATE("R",' RIESGOS DE GESTION'!#REF!),"")</f>
        <v>#REF!</v>
      </c>
      <c r="AC40" s="594"/>
      <c r="AD40" s="594" t="e">
        <f>IF(AND(' RIESGOS DE GESTION'!#REF!="Muy Baja",' RIESGOS DE GESTION'!#REF!="Mayor"),CONCATENATE("R",' RIESGOS DE GESTION'!#REF!),"")</f>
        <v>#REF!</v>
      </c>
      <c r="AE40" s="594"/>
      <c r="AF40" s="594" t="e">
        <f>IF(AND(' RIESGOS DE GESTION'!#REF!="Muy Baja",' RIESGOS DE GESTION'!#REF!="Mayor"),CONCATENATE("R",' RIESGOS DE GESTION'!#REF!),"")</f>
        <v>#REF!</v>
      </c>
      <c r="AG40" s="595"/>
      <c r="AH40" s="605" t="e">
        <f>IF(AND(' RIESGOS DE GESTION'!#REF!="Muy Baja",' RIESGOS DE GESTION'!#REF!="Catastrófico"),CONCATENATE("R",' RIESGOS DE GESTION'!#REF!),"")</f>
        <v>#REF!</v>
      </c>
      <c r="AI40" s="606"/>
      <c r="AJ40" s="606" t="e">
        <f>IF(AND(' RIESGOS DE GESTION'!#REF!="Muy Baja",' RIESGOS DE GESTION'!#REF!="Catastrófico"),CONCATENATE("R",' RIESGOS DE GESTION'!#REF!),"")</f>
        <v>#REF!</v>
      </c>
      <c r="AK40" s="606"/>
      <c r="AL40" s="606" t="e">
        <f>IF(AND(' RIESGOS DE GESTION'!#REF!="Muy Baja",' RIESGOS DE GESTION'!#REF!="Catastrófico"),CONCATENATE("R",' RIESGOS DE GESTION'!#REF!),"")</f>
        <v>#REF!</v>
      </c>
      <c r="AM40" s="60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row>
    <row r="41" spans="1:80" x14ac:dyDescent="0.25">
      <c r="A41" s="57"/>
      <c r="B41" s="547"/>
      <c r="C41" s="547"/>
      <c r="D41" s="548"/>
      <c r="E41" s="588"/>
      <c r="F41" s="589"/>
      <c r="G41" s="589"/>
      <c r="H41" s="589"/>
      <c r="I41" s="590"/>
      <c r="J41" s="625"/>
      <c r="K41" s="623"/>
      <c r="L41" s="623"/>
      <c r="M41" s="623"/>
      <c r="N41" s="623"/>
      <c r="O41" s="624"/>
      <c r="P41" s="625"/>
      <c r="Q41" s="623"/>
      <c r="R41" s="623"/>
      <c r="S41" s="623"/>
      <c r="T41" s="623"/>
      <c r="U41" s="624"/>
      <c r="V41" s="614"/>
      <c r="W41" s="615"/>
      <c r="X41" s="615"/>
      <c r="Y41" s="615"/>
      <c r="Z41" s="615"/>
      <c r="AA41" s="616"/>
      <c r="AB41" s="598"/>
      <c r="AC41" s="594"/>
      <c r="AD41" s="594"/>
      <c r="AE41" s="594"/>
      <c r="AF41" s="594"/>
      <c r="AG41" s="595"/>
      <c r="AH41" s="605"/>
      <c r="AI41" s="606"/>
      <c r="AJ41" s="606"/>
      <c r="AK41" s="606"/>
      <c r="AL41" s="606"/>
      <c r="AM41" s="60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row>
    <row r="42" spans="1:80" x14ac:dyDescent="0.25">
      <c r="A42" s="57"/>
      <c r="B42" s="547"/>
      <c r="C42" s="547"/>
      <c r="D42" s="548"/>
      <c r="E42" s="588"/>
      <c r="F42" s="589"/>
      <c r="G42" s="589"/>
      <c r="H42" s="589"/>
      <c r="I42" s="590"/>
      <c r="J42" s="625" t="e">
        <f>IF(AND(' RIESGOS DE GESTION'!#REF!="Muy Baja",' RIESGOS DE GESTION'!#REF!="Leve"),CONCATENATE("R",' RIESGOS DE GESTION'!#REF!),"")</f>
        <v>#REF!</v>
      </c>
      <c r="K42" s="623"/>
      <c r="L42" s="623" t="e">
        <f>IF(AND(' RIESGOS DE GESTION'!#REF!="Muy Baja",' RIESGOS DE GESTION'!#REF!="Leve"),CONCATENATE("R",' RIESGOS DE GESTION'!#REF!),"")</f>
        <v>#REF!</v>
      </c>
      <c r="M42" s="623"/>
      <c r="N42" s="623" t="e">
        <f>IF(AND(' RIESGOS DE GESTION'!#REF!="Muy Baja",' RIESGOS DE GESTION'!#REF!="Leve"),CONCATENATE("R",' RIESGOS DE GESTION'!#REF!),"")</f>
        <v>#REF!</v>
      </c>
      <c r="O42" s="624"/>
      <c r="P42" s="625" t="e">
        <f>IF(AND(' RIESGOS DE GESTION'!#REF!="Muy Baja",' RIESGOS DE GESTION'!#REF!="Menor"),CONCATENATE("R",' RIESGOS DE GESTION'!#REF!),"")</f>
        <v>#REF!</v>
      </c>
      <c r="Q42" s="623"/>
      <c r="R42" s="623" t="e">
        <f>IF(AND(' RIESGOS DE GESTION'!#REF!="Muy Baja",' RIESGOS DE GESTION'!#REF!="Menor"),CONCATENATE("R",' RIESGOS DE GESTION'!#REF!),"")</f>
        <v>#REF!</v>
      </c>
      <c r="S42" s="623"/>
      <c r="T42" s="623" t="e">
        <f>IF(AND(' RIESGOS DE GESTION'!#REF!="Muy Baja",' RIESGOS DE GESTION'!#REF!="Menor"),CONCATENATE("R",' RIESGOS DE GESTION'!#REF!),"")</f>
        <v>#REF!</v>
      </c>
      <c r="U42" s="624"/>
      <c r="V42" s="614" t="e">
        <f>IF(AND(' RIESGOS DE GESTION'!#REF!="Muy Baja",' RIESGOS DE GESTION'!#REF!="Moderado"),CONCATENATE("R",' RIESGOS DE GESTION'!#REF!),"")</f>
        <v>#REF!</v>
      </c>
      <c r="W42" s="615"/>
      <c r="X42" s="615" t="e">
        <f>IF(AND(' RIESGOS DE GESTION'!#REF!="Muy Baja",' RIESGOS DE GESTION'!#REF!="Moderado"),CONCATENATE("R",' RIESGOS DE GESTION'!#REF!),"")</f>
        <v>#REF!</v>
      </c>
      <c r="Y42" s="615"/>
      <c r="Z42" s="615" t="e">
        <f>IF(AND(' RIESGOS DE GESTION'!#REF!="Muy Baja",' RIESGOS DE GESTION'!#REF!="Moderado"),CONCATENATE("R",' RIESGOS DE GESTION'!#REF!),"")</f>
        <v>#REF!</v>
      </c>
      <c r="AA42" s="616"/>
      <c r="AB42" s="598" t="e">
        <f>IF(AND(' RIESGOS DE GESTION'!#REF!="Muy Baja",' RIESGOS DE GESTION'!#REF!="Mayor"),CONCATENATE("R",' RIESGOS DE GESTION'!#REF!),"")</f>
        <v>#REF!</v>
      </c>
      <c r="AC42" s="594"/>
      <c r="AD42" s="594" t="e">
        <f>IF(AND(' RIESGOS DE GESTION'!#REF!="Muy Baja",' RIESGOS DE GESTION'!#REF!="Mayor"),CONCATENATE("R",' RIESGOS DE GESTION'!#REF!),"")</f>
        <v>#REF!</v>
      </c>
      <c r="AE42" s="594"/>
      <c r="AF42" s="594" t="e">
        <f>IF(AND(' RIESGOS DE GESTION'!#REF!="Muy Baja",' RIESGOS DE GESTION'!#REF!="Mayor"),CONCATENATE("R",' RIESGOS DE GESTION'!#REF!),"")</f>
        <v>#REF!</v>
      </c>
      <c r="AG42" s="595"/>
      <c r="AH42" s="605" t="e">
        <f>IF(AND(' RIESGOS DE GESTION'!#REF!="Muy Baja",' RIESGOS DE GESTION'!#REF!="Catastrófico"),CONCATENATE("R",' RIESGOS DE GESTION'!#REF!),"")</f>
        <v>#REF!</v>
      </c>
      <c r="AI42" s="606"/>
      <c r="AJ42" s="606" t="e">
        <f>IF(AND(' RIESGOS DE GESTION'!#REF!="Muy Baja",' RIESGOS DE GESTION'!#REF!="Catastrófico"),CONCATENATE("R",' RIESGOS DE GESTION'!#REF!),"")</f>
        <v>#REF!</v>
      </c>
      <c r="AK42" s="606"/>
      <c r="AL42" s="606" t="e">
        <f>IF(AND(' RIESGOS DE GESTION'!#REF!="Muy Baja",' RIESGOS DE GESTION'!#REF!="Catastrófico"),CONCATENATE("R",' RIESGOS DE GESTION'!#REF!),"")</f>
        <v>#REF!</v>
      </c>
      <c r="AM42" s="60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row>
    <row r="43" spans="1:80" x14ac:dyDescent="0.25">
      <c r="A43" s="57"/>
      <c r="B43" s="547"/>
      <c r="C43" s="547"/>
      <c r="D43" s="548"/>
      <c r="E43" s="588"/>
      <c r="F43" s="589"/>
      <c r="G43" s="589"/>
      <c r="H43" s="589"/>
      <c r="I43" s="590"/>
      <c r="J43" s="625"/>
      <c r="K43" s="623"/>
      <c r="L43" s="623"/>
      <c r="M43" s="623"/>
      <c r="N43" s="623"/>
      <c r="O43" s="624"/>
      <c r="P43" s="625"/>
      <c r="Q43" s="623"/>
      <c r="R43" s="623"/>
      <c r="S43" s="623"/>
      <c r="T43" s="623"/>
      <c r="U43" s="624"/>
      <c r="V43" s="614"/>
      <c r="W43" s="615"/>
      <c r="X43" s="615"/>
      <c r="Y43" s="615"/>
      <c r="Z43" s="615"/>
      <c r="AA43" s="616"/>
      <c r="AB43" s="598"/>
      <c r="AC43" s="594"/>
      <c r="AD43" s="594"/>
      <c r="AE43" s="594"/>
      <c r="AF43" s="594"/>
      <c r="AG43" s="595"/>
      <c r="AH43" s="605"/>
      <c r="AI43" s="606"/>
      <c r="AJ43" s="606"/>
      <c r="AK43" s="606"/>
      <c r="AL43" s="606"/>
      <c r="AM43" s="60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row>
    <row r="44" spans="1:80" x14ac:dyDescent="0.25">
      <c r="A44" s="57"/>
      <c r="B44" s="547"/>
      <c r="C44" s="547"/>
      <c r="D44" s="548"/>
      <c r="E44" s="588"/>
      <c r="F44" s="589"/>
      <c r="G44" s="589"/>
      <c r="H44" s="589"/>
      <c r="I44" s="590"/>
      <c r="J44" s="625" t="e">
        <f>IF(AND(' RIESGOS DE GESTION'!#REF!="Muy Baja",' RIESGOS DE GESTION'!#REF!="Leve"),CONCATENATE("R",' RIESGOS DE GESTION'!#REF!),"")</f>
        <v>#REF!</v>
      </c>
      <c r="K44" s="623"/>
      <c r="L44" s="623" t="e">
        <f>IF(AND(' RIESGOS DE GESTION'!#REF!="Muy Baja",' RIESGOS DE GESTION'!#REF!="Leve"),CONCATENATE("R",' RIESGOS DE GESTION'!#REF!),"")</f>
        <v>#REF!</v>
      </c>
      <c r="M44" s="623"/>
      <c r="N44" s="623" t="e">
        <f>IF(AND(' RIESGOS DE GESTION'!#REF!="Muy Baja",' RIESGOS DE GESTION'!#REF!="Leve"),CONCATENATE("R",' RIESGOS DE GESTION'!#REF!),"")</f>
        <v>#REF!</v>
      </c>
      <c r="O44" s="624"/>
      <c r="P44" s="625" t="e">
        <f>IF(AND(' RIESGOS DE GESTION'!#REF!="Muy Baja",' RIESGOS DE GESTION'!#REF!="Menor"),CONCATENATE("R",' RIESGOS DE GESTION'!#REF!),"")</f>
        <v>#REF!</v>
      </c>
      <c r="Q44" s="623"/>
      <c r="R44" s="623" t="e">
        <f>IF(AND(' RIESGOS DE GESTION'!#REF!="Muy Baja",' RIESGOS DE GESTION'!#REF!="Menor"),CONCATENATE("R",' RIESGOS DE GESTION'!#REF!),"")</f>
        <v>#REF!</v>
      </c>
      <c r="S44" s="623"/>
      <c r="T44" s="623" t="e">
        <f>IF(AND(' RIESGOS DE GESTION'!#REF!="Muy Baja",' RIESGOS DE GESTION'!#REF!="Menor"),CONCATENATE("R",' RIESGOS DE GESTION'!#REF!),"")</f>
        <v>#REF!</v>
      </c>
      <c r="U44" s="624"/>
      <c r="V44" s="614" t="e">
        <f>IF(AND(' RIESGOS DE GESTION'!#REF!="Muy Baja",' RIESGOS DE GESTION'!#REF!="Moderado"),CONCATENATE("R",' RIESGOS DE GESTION'!#REF!),"")</f>
        <v>#REF!</v>
      </c>
      <c r="W44" s="615"/>
      <c r="X44" s="615" t="e">
        <f>IF(AND(' RIESGOS DE GESTION'!#REF!="Muy Baja",' RIESGOS DE GESTION'!#REF!="Moderado"),CONCATENATE("R",' RIESGOS DE GESTION'!#REF!),"")</f>
        <v>#REF!</v>
      </c>
      <c r="Y44" s="615"/>
      <c r="Z44" s="615" t="e">
        <f>IF(AND(' RIESGOS DE GESTION'!#REF!="Muy Baja",' RIESGOS DE GESTION'!#REF!="Moderado"),CONCATENATE("R",' RIESGOS DE GESTION'!#REF!),"")</f>
        <v>#REF!</v>
      </c>
      <c r="AA44" s="616"/>
      <c r="AB44" s="598" t="e">
        <f>IF(AND(' RIESGOS DE GESTION'!#REF!="Muy Baja",' RIESGOS DE GESTION'!#REF!="Mayor"),CONCATENATE("R",' RIESGOS DE GESTION'!#REF!),"")</f>
        <v>#REF!</v>
      </c>
      <c r="AC44" s="594"/>
      <c r="AD44" s="594" t="e">
        <f>IF(AND(' RIESGOS DE GESTION'!#REF!="Muy Baja",' RIESGOS DE GESTION'!#REF!="Mayor"),CONCATENATE("R",' RIESGOS DE GESTION'!#REF!),"")</f>
        <v>#REF!</v>
      </c>
      <c r="AE44" s="594"/>
      <c r="AF44" s="594" t="e">
        <f>IF(AND(' RIESGOS DE GESTION'!#REF!="Muy Baja",' RIESGOS DE GESTION'!#REF!="Mayor"),CONCATENATE("R",' RIESGOS DE GESTION'!#REF!),"")</f>
        <v>#REF!</v>
      </c>
      <c r="AG44" s="595"/>
      <c r="AH44" s="605" t="e">
        <f>IF(AND(' RIESGOS DE GESTION'!#REF!="Muy Baja",' RIESGOS DE GESTION'!#REF!="Catastrófico"),CONCATENATE("R",' RIESGOS DE GESTION'!#REF!),"")</f>
        <v>#REF!</v>
      </c>
      <c r="AI44" s="606"/>
      <c r="AJ44" s="606" t="e">
        <f>IF(AND(' RIESGOS DE GESTION'!#REF!="Muy Baja",' RIESGOS DE GESTION'!#REF!="Catastrófico"),CONCATENATE("R",' RIESGOS DE GESTION'!#REF!),"")</f>
        <v>#REF!</v>
      </c>
      <c r="AK44" s="606"/>
      <c r="AL44" s="606" t="e">
        <f>IF(AND(' RIESGOS DE GESTION'!#REF!="Muy Baja",' RIESGOS DE GESTION'!#REF!="Catastrófico"),CONCATENATE("R",' RIESGOS DE GESTION'!#REF!),"")</f>
        <v>#REF!</v>
      </c>
      <c r="AM44" s="60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row>
    <row r="45" spans="1:80" ht="15.75" thickBot="1" x14ac:dyDescent="0.3">
      <c r="A45" s="57"/>
      <c r="B45" s="547"/>
      <c r="C45" s="547"/>
      <c r="D45" s="548"/>
      <c r="E45" s="591"/>
      <c r="F45" s="592"/>
      <c r="G45" s="592"/>
      <c r="H45" s="592"/>
      <c r="I45" s="593"/>
      <c r="J45" s="626"/>
      <c r="K45" s="627"/>
      <c r="L45" s="627"/>
      <c r="M45" s="627"/>
      <c r="N45" s="627"/>
      <c r="O45" s="628"/>
      <c r="P45" s="626"/>
      <c r="Q45" s="627"/>
      <c r="R45" s="627"/>
      <c r="S45" s="627"/>
      <c r="T45" s="627"/>
      <c r="U45" s="628"/>
      <c r="V45" s="617"/>
      <c r="W45" s="618"/>
      <c r="X45" s="618"/>
      <c r="Y45" s="618"/>
      <c r="Z45" s="618"/>
      <c r="AA45" s="619"/>
      <c r="AB45" s="602"/>
      <c r="AC45" s="603"/>
      <c r="AD45" s="603"/>
      <c r="AE45" s="603"/>
      <c r="AF45" s="603"/>
      <c r="AG45" s="604"/>
      <c r="AH45" s="608"/>
      <c r="AI45" s="609"/>
      <c r="AJ45" s="609"/>
      <c r="AK45" s="609"/>
      <c r="AL45" s="609"/>
      <c r="AM45" s="610"/>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row>
    <row r="46" spans="1:80" x14ac:dyDescent="0.25">
      <c r="A46" s="57"/>
      <c r="B46" s="57"/>
      <c r="C46" s="57"/>
      <c r="D46" s="57"/>
      <c r="E46" s="57"/>
      <c r="F46" s="57"/>
      <c r="G46" s="57"/>
      <c r="H46" s="57"/>
      <c r="I46" s="57"/>
      <c r="J46" s="585" t="s">
        <v>580</v>
      </c>
      <c r="K46" s="586"/>
      <c r="L46" s="586"/>
      <c r="M46" s="586"/>
      <c r="N46" s="586"/>
      <c r="O46" s="587"/>
      <c r="P46" s="585" t="s">
        <v>581</v>
      </c>
      <c r="Q46" s="586"/>
      <c r="R46" s="586"/>
      <c r="S46" s="586"/>
      <c r="T46" s="586"/>
      <c r="U46" s="587"/>
      <c r="V46" s="585" t="s">
        <v>582</v>
      </c>
      <c r="W46" s="586"/>
      <c r="X46" s="586"/>
      <c r="Y46" s="586"/>
      <c r="Z46" s="586"/>
      <c r="AA46" s="587"/>
      <c r="AB46" s="585" t="s">
        <v>583</v>
      </c>
      <c r="AC46" s="601"/>
      <c r="AD46" s="586"/>
      <c r="AE46" s="586"/>
      <c r="AF46" s="586"/>
      <c r="AG46" s="587"/>
      <c r="AH46" s="585" t="s">
        <v>584</v>
      </c>
      <c r="AI46" s="586"/>
      <c r="AJ46" s="586"/>
      <c r="AK46" s="586"/>
      <c r="AL46" s="586"/>
      <c r="AM46" s="58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x14ac:dyDescent="0.25">
      <c r="A47" s="57"/>
      <c r="B47" s="57"/>
      <c r="C47" s="57"/>
      <c r="D47" s="57"/>
      <c r="E47" s="57"/>
      <c r="F47" s="57"/>
      <c r="G47" s="57"/>
      <c r="H47" s="57"/>
      <c r="I47" s="57"/>
      <c r="J47" s="588"/>
      <c r="K47" s="589"/>
      <c r="L47" s="589"/>
      <c r="M47" s="589"/>
      <c r="N47" s="589"/>
      <c r="O47" s="590"/>
      <c r="P47" s="588"/>
      <c r="Q47" s="589"/>
      <c r="R47" s="589"/>
      <c r="S47" s="589"/>
      <c r="T47" s="589"/>
      <c r="U47" s="590"/>
      <c r="V47" s="588"/>
      <c r="W47" s="589"/>
      <c r="X47" s="589"/>
      <c r="Y47" s="589"/>
      <c r="Z47" s="589"/>
      <c r="AA47" s="590"/>
      <c r="AB47" s="588"/>
      <c r="AC47" s="589"/>
      <c r="AD47" s="589"/>
      <c r="AE47" s="589"/>
      <c r="AF47" s="589"/>
      <c r="AG47" s="590"/>
      <c r="AH47" s="588"/>
      <c r="AI47" s="589"/>
      <c r="AJ47" s="589"/>
      <c r="AK47" s="589"/>
      <c r="AL47" s="589"/>
      <c r="AM47" s="590"/>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x14ac:dyDescent="0.25">
      <c r="A48" s="57"/>
      <c r="B48" s="57"/>
      <c r="C48" s="57"/>
      <c r="D48" s="57"/>
      <c r="E48" s="57"/>
      <c r="F48" s="57"/>
      <c r="G48" s="57"/>
      <c r="H48" s="57"/>
      <c r="I48" s="57"/>
      <c r="J48" s="588"/>
      <c r="K48" s="589"/>
      <c r="L48" s="589"/>
      <c r="M48" s="589"/>
      <c r="N48" s="589"/>
      <c r="O48" s="590"/>
      <c r="P48" s="588"/>
      <c r="Q48" s="589"/>
      <c r="R48" s="589"/>
      <c r="S48" s="589"/>
      <c r="T48" s="589"/>
      <c r="U48" s="590"/>
      <c r="V48" s="588"/>
      <c r="W48" s="589"/>
      <c r="X48" s="589"/>
      <c r="Y48" s="589"/>
      <c r="Z48" s="589"/>
      <c r="AA48" s="590"/>
      <c r="AB48" s="588"/>
      <c r="AC48" s="589"/>
      <c r="AD48" s="589"/>
      <c r="AE48" s="589"/>
      <c r="AF48" s="589"/>
      <c r="AG48" s="590"/>
      <c r="AH48" s="588"/>
      <c r="AI48" s="589"/>
      <c r="AJ48" s="589"/>
      <c r="AK48" s="589"/>
      <c r="AL48" s="589"/>
      <c r="AM48" s="590"/>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x14ac:dyDescent="0.25">
      <c r="A49" s="57"/>
      <c r="B49" s="57"/>
      <c r="C49" s="57"/>
      <c r="D49" s="57"/>
      <c r="E49" s="57"/>
      <c r="F49" s="57"/>
      <c r="G49" s="57"/>
      <c r="H49" s="57"/>
      <c r="I49" s="57"/>
      <c r="J49" s="588"/>
      <c r="K49" s="589"/>
      <c r="L49" s="589"/>
      <c r="M49" s="589"/>
      <c r="N49" s="589"/>
      <c r="O49" s="590"/>
      <c r="P49" s="588"/>
      <c r="Q49" s="589"/>
      <c r="R49" s="589"/>
      <c r="S49" s="589"/>
      <c r="T49" s="589"/>
      <c r="U49" s="590"/>
      <c r="V49" s="588"/>
      <c r="W49" s="589"/>
      <c r="X49" s="589"/>
      <c r="Y49" s="589"/>
      <c r="Z49" s="589"/>
      <c r="AA49" s="590"/>
      <c r="AB49" s="588"/>
      <c r="AC49" s="589"/>
      <c r="AD49" s="589"/>
      <c r="AE49" s="589"/>
      <c r="AF49" s="589"/>
      <c r="AG49" s="590"/>
      <c r="AH49" s="588"/>
      <c r="AI49" s="589"/>
      <c r="AJ49" s="589"/>
      <c r="AK49" s="589"/>
      <c r="AL49" s="589"/>
      <c r="AM49" s="590"/>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x14ac:dyDescent="0.25">
      <c r="A50" s="57"/>
      <c r="B50" s="57"/>
      <c r="C50" s="57"/>
      <c r="D50" s="57"/>
      <c r="E50" s="57"/>
      <c r="F50" s="57"/>
      <c r="G50" s="57"/>
      <c r="H50" s="57"/>
      <c r="I50" s="57"/>
      <c r="J50" s="588"/>
      <c r="K50" s="589"/>
      <c r="L50" s="589"/>
      <c r="M50" s="589"/>
      <c r="N50" s="589"/>
      <c r="O50" s="590"/>
      <c r="P50" s="588"/>
      <c r="Q50" s="589"/>
      <c r="R50" s="589"/>
      <c r="S50" s="589"/>
      <c r="T50" s="589"/>
      <c r="U50" s="590"/>
      <c r="V50" s="588"/>
      <c r="W50" s="589"/>
      <c r="X50" s="589"/>
      <c r="Y50" s="589"/>
      <c r="Z50" s="589"/>
      <c r="AA50" s="590"/>
      <c r="AB50" s="588"/>
      <c r="AC50" s="589"/>
      <c r="AD50" s="589"/>
      <c r="AE50" s="589"/>
      <c r="AF50" s="589"/>
      <c r="AG50" s="590"/>
      <c r="AH50" s="588"/>
      <c r="AI50" s="589"/>
      <c r="AJ50" s="589"/>
      <c r="AK50" s="589"/>
      <c r="AL50" s="589"/>
      <c r="AM50" s="590"/>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75" thickBot="1" x14ac:dyDescent="0.3">
      <c r="A51" s="57"/>
      <c r="B51" s="57"/>
      <c r="C51" s="57"/>
      <c r="D51" s="57"/>
      <c r="E51" s="57"/>
      <c r="F51" s="57"/>
      <c r="G51" s="57"/>
      <c r="H51" s="57"/>
      <c r="I51" s="57"/>
      <c r="J51" s="591"/>
      <c r="K51" s="592"/>
      <c r="L51" s="592"/>
      <c r="M51" s="592"/>
      <c r="N51" s="592"/>
      <c r="O51" s="593"/>
      <c r="P51" s="591"/>
      <c r="Q51" s="592"/>
      <c r="R51" s="592"/>
      <c r="S51" s="592"/>
      <c r="T51" s="592"/>
      <c r="U51" s="593"/>
      <c r="V51" s="591"/>
      <c r="W51" s="592"/>
      <c r="X51" s="592"/>
      <c r="Y51" s="592"/>
      <c r="Z51" s="592"/>
      <c r="AA51" s="593"/>
      <c r="AB51" s="591"/>
      <c r="AC51" s="592"/>
      <c r="AD51" s="592"/>
      <c r="AE51" s="592"/>
      <c r="AF51" s="592"/>
      <c r="AG51" s="593"/>
      <c r="AH51" s="591"/>
      <c r="AI51" s="592"/>
      <c r="AJ51" s="592"/>
      <c r="AK51" s="592"/>
      <c r="AL51" s="592"/>
      <c r="AM51" s="593"/>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x14ac:dyDescent="0.25">
      <c r="A52" s="57"/>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x14ac:dyDescent="0.25">
      <c r="A55" s="57"/>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x14ac:dyDescent="0.2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row>
    <row r="63" spans="1:80" x14ac:dyDescent="0.25">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row>
    <row r="64" spans="1:80" x14ac:dyDescent="0.25">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row>
    <row r="65" spans="1:8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row>
    <row r="66" spans="1:8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row>
    <row r="67" spans="1:8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row>
    <row r="68" spans="1:8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row>
    <row r="69" spans="1:8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row>
    <row r="70" spans="1:8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row>
    <row r="71" spans="1:8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row>
    <row r="72" spans="1:8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row>
    <row r="73" spans="1:8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row>
    <row r="74" spans="1:8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row>
    <row r="75" spans="1:8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row>
    <row r="76" spans="1:8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row>
    <row r="77" spans="1:8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row>
    <row r="78" spans="1:8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row>
    <row r="79" spans="1:8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c r="BI79" s="57"/>
      <c r="BJ79" s="57"/>
      <c r="BK79" s="57"/>
    </row>
    <row r="80" spans="1:8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c r="BI80" s="57"/>
      <c r="BJ80" s="57"/>
      <c r="BK80" s="57"/>
    </row>
    <row r="81" spans="1:63"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c r="BI81" s="57"/>
      <c r="BJ81" s="57"/>
      <c r="BK81" s="57"/>
    </row>
    <row r="82" spans="1:63"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row>
    <row r="83" spans="1:63"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c r="BI83" s="57"/>
      <c r="BJ83" s="57"/>
      <c r="BK83" s="57"/>
    </row>
    <row r="84" spans="1:63"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c r="BI84" s="57"/>
      <c r="BJ84" s="57"/>
      <c r="BK84" s="57"/>
    </row>
    <row r="85" spans="1:63"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c r="BI85" s="57"/>
      <c r="BJ85" s="57"/>
      <c r="BK85" s="57"/>
    </row>
    <row r="86" spans="1:63"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row>
    <row r="87" spans="1:63"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c r="BI87" s="57"/>
      <c r="BJ87" s="57"/>
      <c r="BK87" s="57"/>
    </row>
    <row r="88" spans="1:63"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c r="BI88" s="57"/>
      <c r="BJ88" s="57"/>
      <c r="BK88" s="57"/>
    </row>
    <row r="89" spans="1:63"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c r="BI89" s="57"/>
      <c r="BJ89" s="57"/>
      <c r="BK89" s="57"/>
    </row>
    <row r="90" spans="1:63"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c r="BI90" s="57"/>
      <c r="BJ90" s="57"/>
      <c r="BK90" s="57"/>
    </row>
    <row r="91" spans="1:63"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row>
    <row r="92" spans="1:63"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c r="BI92" s="57"/>
      <c r="BJ92" s="57"/>
      <c r="BK92" s="57"/>
    </row>
    <row r="93" spans="1:63"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c r="BI93" s="57"/>
      <c r="BJ93" s="57"/>
      <c r="BK93" s="57"/>
    </row>
    <row r="94" spans="1:63"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row>
    <row r="95" spans="1:63"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row>
    <row r="96" spans="1:63"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row>
    <row r="97" spans="1:63"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row>
    <row r="98" spans="1:63"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row>
    <row r="99" spans="1:63"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row>
    <row r="100" spans="1:63"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row>
    <row r="101" spans="1:63"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row>
    <row r="102" spans="1:63"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row>
    <row r="103" spans="1:63"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row>
    <row r="104" spans="1:63"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row>
    <row r="105" spans="1:63"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row>
    <row r="106" spans="1:63"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row>
    <row r="107" spans="1:63"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row>
    <row r="108" spans="1:63"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row>
    <row r="109" spans="1:63"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row>
    <row r="110" spans="1:63"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row>
    <row r="111" spans="1:63"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row>
    <row r="112" spans="1:63"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row>
    <row r="113" spans="1:63"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row>
    <row r="114" spans="1:63"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row>
    <row r="115" spans="1:63"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row>
    <row r="116" spans="1:63"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row>
    <row r="117" spans="1:63"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row>
    <row r="118" spans="1:63"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row>
    <row r="119" spans="1:63"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row>
    <row r="120" spans="1:63"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row>
    <row r="121" spans="1:63"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row>
    <row r="122" spans="1:63" x14ac:dyDescent="0.25">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row>
    <row r="123" spans="1:63" x14ac:dyDescent="0.25">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row>
    <row r="124" spans="1:63" x14ac:dyDescent="0.25">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row>
    <row r="125" spans="1:63" x14ac:dyDescent="0.25">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row>
    <row r="126" spans="1:63" x14ac:dyDescent="0.25">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row>
    <row r="127" spans="1:63" x14ac:dyDescent="0.25">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row>
    <row r="128" spans="1:63" x14ac:dyDescent="0.25">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row>
    <row r="129" spans="2:63" x14ac:dyDescent="0.25">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row>
    <row r="130" spans="2:63" x14ac:dyDescent="0.25">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row>
    <row r="131" spans="2:63" x14ac:dyDescent="0.25">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row>
    <row r="132" spans="2:63" x14ac:dyDescent="0.25">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row>
    <row r="133" spans="2:63" x14ac:dyDescent="0.25">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row>
    <row r="134" spans="2:63" x14ac:dyDescent="0.25">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row>
    <row r="135" spans="2:63" x14ac:dyDescent="0.25">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row>
    <row r="136" spans="2:63" x14ac:dyDescent="0.25">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row>
    <row r="137" spans="2:63" x14ac:dyDescent="0.25">
      <c r="B137" s="57"/>
      <c r="C137" s="57"/>
      <c r="D137" s="57"/>
      <c r="E137" s="57"/>
      <c r="F137" s="57"/>
      <c r="G137" s="57"/>
      <c r="H137" s="57"/>
      <c r="I137" s="57"/>
    </row>
    <row r="138" spans="2:63" x14ac:dyDescent="0.25">
      <c r="B138" s="57"/>
      <c r="C138" s="57"/>
      <c r="D138" s="57"/>
      <c r="E138" s="57"/>
      <c r="F138" s="57"/>
      <c r="G138" s="57"/>
      <c r="H138" s="57"/>
      <c r="I138" s="57"/>
    </row>
    <row r="139" spans="2:63" x14ac:dyDescent="0.25">
      <c r="B139" s="57"/>
      <c r="C139" s="57"/>
      <c r="D139" s="57"/>
      <c r="E139" s="57"/>
      <c r="F139" s="57"/>
      <c r="G139" s="57"/>
      <c r="H139" s="57"/>
      <c r="I139" s="57"/>
    </row>
    <row r="140" spans="2:63" x14ac:dyDescent="0.25">
      <c r="B140" s="57"/>
      <c r="C140" s="57"/>
      <c r="D140" s="57"/>
      <c r="E140" s="57"/>
      <c r="F140" s="57"/>
      <c r="G140" s="57"/>
      <c r="H140" s="57"/>
      <c r="I140" s="57"/>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row>
    <row r="2" spans="1:91" ht="18" customHeight="1" x14ac:dyDescent="0.25">
      <c r="A2" s="57"/>
      <c r="B2" s="658" t="s">
        <v>585</v>
      </c>
      <c r="C2" s="659"/>
      <c r="D2" s="659"/>
      <c r="E2" s="659"/>
      <c r="F2" s="659"/>
      <c r="G2" s="659"/>
      <c r="H2" s="659"/>
      <c r="I2" s="659"/>
      <c r="J2" s="600" t="s">
        <v>15</v>
      </c>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row>
    <row r="3" spans="1:91" ht="18.75" customHeight="1" x14ac:dyDescent="0.25">
      <c r="A3" s="57"/>
      <c r="B3" s="659"/>
      <c r="C3" s="659"/>
      <c r="D3" s="659"/>
      <c r="E3" s="659"/>
      <c r="F3" s="659"/>
      <c r="G3" s="659"/>
      <c r="H3" s="659"/>
      <c r="I3" s="659"/>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row>
    <row r="4" spans="1:91" ht="15" customHeight="1" x14ac:dyDescent="0.25">
      <c r="A4" s="57"/>
      <c r="B4" s="659"/>
      <c r="C4" s="659"/>
      <c r="D4" s="659"/>
      <c r="E4" s="659"/>
      <c r="F4" s="659"/>
      <c r="G4" s="659"/>
      <c r="H4" s="659"/>
      <c r="I4" s="659"/>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row>
    <row r="5" spans="1:91" ht="15.75" thickBot="1" x14ac:dyDescent="0.3">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row>
    <row r="6" spans="1:91" ht="15" customHeight="1" x14ac:dyDescent="0.25">
      <c r="A6" s="57"/>
      <c r="B6" s="547" t="s">
        <v>347</v>
      </c>
      <c r="C6" s="547"/>
      <c r="D6" s="548"/>
      <c r="E6" s="642" t="s">
        <v>571</v>
      </c>
      <c r="F6" s="643"/>
      <c r="G6" s="643"/>
      <c r="H6" s="643"/>
      <c r="I6" s="660"/>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7"/>
      <c r="AO6" s="649" t="s">
        <v>572</v>
      </c>
      <c r="AP6" s="650"/>
      <c r="AQ6" s="650"/>
      <c r="AR6" s="650"/>
      <c r="AS6" s="650"/>
      <c r="AT6" s="651"/>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row>
    <row r="7" spans="1:91" ht="15" customHeight="1" x14ac:dyDescent="0.25">
      <c r="A7" s="57"/>
      <c r="B7" s="547"/>
      <c r="C7" s="547"/>
      <c r="D7" s="548"/>
      <c r="E7" s="646"/>
      <c r="F7" s="645"/>
      <c r="G7" s="645"/>
      <c r="H7" s="645"/>
      <c r="I7" s="661"/>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7"/>
      <c r="AO7" s="652"/>
      <c r="AP7" s="653"/>
      <c r="AQ7" s="653"/>
      <c r="AR7" s="653"/>
      <c r="AS7" s="653"/>
      <c r="AT7" s="654"/>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row>
    <row r="8" spans="1:91" ht="15" customHeight="1" x14ac:dyDescent="0.25">
      <c r="A8" s="57"/>
      <c r="B8" s="547"/>
      <c r="C8" s="547"/>
      <c r="D8" s="548"/>
      <c r="E8" s="646"/>
      <c r="F8" s="645"/>
      <c r="G8" s="645"/>
      <c r="H8" s="645"/>
      <c r="I8" s="661"/>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7"/>
      <c r="AO8" s="652"/>
      <c r="AP8" s="653"/>
      <c r="AQ8" s="653"/>
      <c r="AR8" s="653"/>
      <c r="AS8" s="653"/>
      <c r="AT8" s="654"/>
      <c r="AU8" s="57"/>
      <c r="AV8" s="57"/>
      <c r="AW8" s="57"/>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row>
    <row r="9" spans="1:91" ht="15" customHeight="1" x14ac:dyDescent="0.25">
      <c r="A9" s="57"/>
      <c r="B9" s="547"/>
      <c r="C9" s="547"/>
      <c r="D9" s="548"/>
      <c r="E9" s="646"/>
      <c r="F9" s="645"/>
      <c r="G9" s="645"/>
      <c r="H9" s="645"/>
      <c r="I9" s="661"/>
      <c r="J9" s="26" t="e">
        <f>IF(AND(' RIESGOS DE GESTION'!#REF!="Muy Alta",' RIESGOS DE GESTION'!#REF!="Leve"),CONCATENATE("R4C",' RIESGOS DE GESTION'!#REF!),"")</f>
        <v>#REF!</v>
      </c>
      <c r="K9" s="27" t="e">
        <f>IF(AND(' RIESGOS DE GESTION'!#REF!="Muy Alta",' RIESGOS DE GESTION'!#REF!="Leve"),CONCATENATE("R4C",' RIESGOS DE GESTION'!#REF!),"")</f>
        <v>#REF!</v>
      </c>
      <c r="L9" s="27" t="e">
        <f>IF(AND(' RIESGOS DE GESTION'!#REF!="Muy Alta",' RIESGOS DE GESTION'!#REF!="Leve"),CONCATENATE("R4C",' RIESGOS DE GESTION'!#REF!),"")</f>
        <v>#REF!</v>
      </c>
      <c r="M9" s="27" t="e">
        <f>IF(AND(' RIESGOS DE GESTION'!#REF!="Muy Alta",' RIESGOS DE GESTION'!#REF!="Leve"),CONCATENATE("R4C",' RIESGOS DE GESTION'!#REF!),"")</f>
        <v>#REF!</v>
      </c>
      <c r="N9" s="27"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27" t="e">
        <f>IF(AND(' RIESGOS DE GESTION'!#REF!="Muy Alta",' RIESGOS DE GESTION'!#REF!="Menor"),CONCATENATE("R4C",' RIESGOS DE GESTION'!#REF!),"")</f>
        <v>#REF!</v>
      </c>
      <c r="S9" s="27" t="e">
        <f>IF(AND(' RIESGOS DE GESTION'!#REF!="Muy Alta",' RIESGOS DE GESTION'!#REF!="Menor"),CONCATENATE("R4C",' RIESGOS DE GESTION'!#REF!),"")</f>
        <v>#REF!</v>
      </c>
      <c r="T9" s="27"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27" t="e">
        <f>IF(AND(' RIESGOS DE GESTION'!#REF!="Muy Alta",' RIESGOS DE GESTION'!#REF!="Moderado"),CONCATENATE("R4C",' RIESGOS DE GESTION'!#REF!),"")</f>
        <v>#REF!</v>
      </c>
      <c r="Y9" s="27" t="e">
        <f>IF(AND(' RIESGOS DE GESTION'!#REF!="Muy Alta",' RIESGOS DE GESTION'!#REF!="Moderado"),CONCATENATE("R4C",' RIESGOS DE GESTION'!#REF!),"")</f>
        <v>#REF!</v>
      </c>
      <c r="Z9" s="27"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27" t="e">
        <f>IF(AND(' RIESGOS DE GESTION'!#REF!="Muy Alta",' RIESGOS DE GESTION'!#REF!="Mayor"),CONCATENATE("R4C",' RIESGOS DE GESTION'!#REF!),"")</f>
        <v>#REF!</v>
      </c>
      <c r="AE9" s="27" t="e">
        <f>IF(AND(' RIESGOS DE GESTION'!#REF!="Muy Alta",' RIESGOS DE GESTION'!#REF!="Mayor"),CONCATENATE("R4C",' RIESGOS DE GESTION'!#REF!),"")</f>
        <v>#REF!</v>
      </c>
      <c r="AF9" s="27"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7"/>
      <c r="AO9" s="652"/>
      <c r="AP9" s="653"/>
      <c r="AQ9" s="653"/>
      <c r="AR9" s="653"/>
      <c r="AS9" s="653"/>
      <c r="AT9" s="654"/>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row>
    <row r="10" spans="1:91" ht="15" customHeight="1" x14ac:dyDescent="0.25">
      <c r="A10" s="57"/>
      <c r="B10" s="547"/>
      <c r="C10" s="547"/>
      <c r="D10" s="548"/>
      <c r="E10" s="646"/>
      <c r="F10" s="645"/>
      <c r="G10" s="645"/>
      <c r="H10" s="645"/>
      <c r="I10" s="661"/>
      <c r="J10" s="26" t="e">
        <f>IF(AND(' RIESGOS DE GESTION'!#REF!="Muy Alta",' RIESGOS DE GESTION'!#REF!="Leve"),CONCATENATE("R5C",' RIESGOS DE GESTION'!#REF!),"")</f>
        <v>#REF!</v>
      </c>
      <c r="K10" s="27" t="e">
        <f>IF(AND(' RIESGOS DE GESTION'!#REF!="Muy Alta",' RIESGOS DE GESTION'!#REF!="Leve"),CONCATENATE("R5C",' RIESGOS DE GESTION'!#REF!),"")</f>
        <v>#REF!</v>
      </c>
      <c r="L10" s="27" t="e">
        <f>IF(AND(' RIESGOS DE GESTION'!#REF!="Muy Alta",' RIESGOS DE GESTION'!#REF!="Leve"),CONCATENATE("R5C",' RIESGOS DE GESTION'!#REF!),"")</f>
        <v>#REF!</v>
      </c>
      <c r="M10" s="27" t="e">
        <f>IF(AND(' RIESGOS DE GESTION'!#REF!="Muy Alta",' RIESGOS DE GESTION'!#REF!="Leve"),CONCATENATE("R5C",' RIESGOS DE GESTION'!#REF!),"")</f>
        <v>#REF!</v>
      </c>
      <c r="N10" s="27"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27" t="e">
        <f>IF(AND(' RIESGOS DE GESTION'!#REF!="Muy Alta",' RIESGOS DE GESTION'!#REF!="Menor"),CONCATENATE("R5C",' RIESGOS DE GESTION'!#REF!),"")</f>
        <v>#REF!</v>
      </c>
      <c r="S10" s="27" t="e">
        <f>IF(AND(' RIESGOS DE GESTION'!#REF!="Muy Alta",' RIESGOS DE GESTION'!#REF!="Menor"),CONCATENATE("R5C",' RIESGOS DE GESTION'!#REF!),"")</f>
        <v>#REF!</v>
      </c>
      <c r="T10" s="27"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27" t="e">
        <f>IF(AND(' RIESGOS DE GESTION'!#REF!="Muy Alta",' RIESGOS DE GESTION'!#REF!="Moderado"),CONCATENATE("R5C",' RIESGOS DE GESTION'!#REF!),"")</f>
        <v>#REF!</v>
      </c>
      <c r="Y10" s="27" t="e">
        <f>IF(AND(' RIESGOS DE GESTION'!#REF!="Muy Alta",' RIESGOS DE GESTION'!#REF!="Moderado"),CONCATENATE("R5C",' RIESGOS DE GESTION'!#REF!),"")</f>
        <v>#REF!</v>
      </c>
      <c r="Z10" s="27"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27" t="e">
        <f>IF(AND(' RIESGOS DE GESTION'!#REF!="Muy Alta",' RIESGOS DE GESTION'!#REF!="Mayor"),CONCATENATE("R5C",' RIESGOS DE GESTION'!#REF!),"")</f>
        <v>#REF!</v>
      </c>
      <c r="AE10" s="27" t="e">
        <f>IF(AND(' RIESGOS DE GESTION'!#REF!="Muy Alta",' RIESGOS DE GESTION'!#REF!="Mayor"),CONCATENATE("R5C",' RIESGOS DE GESTION'!#REF!),"")</f>
        <v>#REF!</v>
      </c>
      <c r="AF10" s="27"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7"/>
      <c r="AO10" s="652"/>
      <c r="AP10" s="653"/>
      <c r="AQ10" s="653"/>
      <c r="AR10" s="653"/>
      <c r="AS10" s="653"/>
      <c r="AT10" s="654"/>
      <c r="AU10" s="57"/>
      <c r="AV10" s="57"/>
      <c r="AW10" s="57"/>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row>
    <row r="11" spans="1:91" ht="15" customHeight="1" x14ac:dyDescent="0.25">
      <c r="A11" s="57"/>
      <c r="B11" s="547"/>
      <c r="C11" s="547"/>
      <c r="D11" s="548"/>
      <c r="E11" s="646"/>
      <c r="F11" s="645"/>
      <c r="G11" s="645"/>
      <c r="H11" s="645"/>
      <c r="I11" s="661"/>
      <c r="J11" s="26" t="e">
        <f>IF(AND(' RIESGOS DE GESTION'!#REF!="Muy Alta",' RIESGOS DE GESTION'!#REF!="Leve"),CONCATENATE("R6C",' RIESGOS DE GESTION'!#REF!),"")</f>
        <v>#REF!</v>
      </c>
      <c r="K11" s="27" t="e">
        <f>IF(AND(' RIESGOS DE GESTION'!#REF!="Muy Alta",' RIESGOS DE GESTION'!#REF!="Leve"),CONCATENATE("R6C",' RIESGOS DE GESTION'!#REF!),"")</f>
        <v>#REF!</v>
      </c>
      <c r="L11" s="27" t="e">
        <f>IF(AND(' RIESGOS DE GESTION'!#REF!="Muy Alta",' RIESGOS DE GESTION'!#REF!="Leve"),CONCATENATE("R6C",' RIESGOS DE GESTION'!#REF!),"")</f>
        <v>#REF!</v>
      </c>
      <c r="M11" s="27" t="e">
        <f>IF(AND(' RIESGOS DE GESTION'!#REF!="Muy Alta",' RIESGOS DE GESTION'!#REF!="Leve"),CONCATENATE("R6C",' RIESGOS DE GESTION'!#REF!),"")</f>
        <v>#REF!</v>
      </c>
      <c r="N11" s="27"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27" t="e">
        <f>IF(AND(' RIESGOS DE GESTION'!#REF!="Muy Alta",' RIESGOS DE GESTION'!#REF!="Menor"),CONCATENATE("R6C",' RIESGOS DE GESTION'!#REF!),"")</f>
        <v>#REF!</v>
      </c>
      <c r="S11" s="27" t="e">
        <f>IF(AND(' RIESGOS DE GESTION'!#REF!="Muy Alta",' RIESGOS DE GESTION'!#REF!="Menor"),CONCATENATE("R6C",' RIESGOS DE GESTION'!#REF!),"")</f>
        <v>#REF!</v>
      </c>
      <c r="T11" s="27"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27" t="e">
        <f>IF(AND(' RIESGOS DE GESTION'!#REF!="Muy Alta",' RIESGOS DE GESTION'!#REF!="Moderado"),CONCATENATE("R6C",' RIESGOS DE GESTION'!#REF!),"")</f>
        <v>#REF!</v>
      </c>
      <c r="Y11" s="27" t="e">
        <f>IF(AND(' RIESGOS DE GESTION'!#REF!="Muy Alta",' RIESGOS DE GESTION'!#REF!="Moderado"),CONCATENATE("R6C",' RIESGOS DE GESTION'!#REF!),"")</f>
        <v>#REF!</v>
      </c>
      <c r="Z11" s="27"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27" t="e">
        <f>IF(AND(' RIESGOS DE GESTION'!#REF!="Muy Alta",' RIESGOS DE GESTION'!#REF!="Mayor"),CONCATENATE("R6C",' RIESGOS DE GESTION'!#REF!),"")</f>
        <v>#REF!</v>
      </c>
      <c r="AE11" s="27" t="e">
        <f>IF(AND(' RIESGOS DE GESTION'!#REF!="Muy Alta",' RIESGOS DE GESTION'!#REF!="Mayor"),CONCATENATE("R6C",' RIESGOS DE GESTION'!#REF!),"")</f>
        <v>#REF!</v>
      </c>
      <c r="AF11" s="27"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7"/>
      <c r="AO11" s="652"/>
      <c r="AP11" s="653"/>
      <c r="AQ11" s="653"/>
      <c r="AR11" s="653"/>
      <c r="AS11" s="653"/>
      <c r="AT11" s="654"/>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row>
    <row r="12" spans="1:91" ht="15" customHeight="1" x14ac:dyDescent="0.25">
      <c r="A12" s="57"/>
      <c r="B12" s="547"/>
      <c r="C12" s="547"/>
      <c r="D12" s="548"/>
      <c r="E12" s="646"/>
      <c r="F12" s="645"/>
      <c r="G12" s="645"/>
      <c r="H12" s="645"/>
      <c r="I12" s="661"/>
      <c r="J12" s="26" t="e">
        <f>IF(AND(' RIESGOS DE GESTION'!#REF!="Muy Alta",' RIESGOS DE GESTION'!#REF!="Leve"),CONCATENATE("R7C",' RIESGOS DE GESTION'!#REF!),"")</f>
        <v>#REF!</v>
      </c>
      <c r="K12" s="27" t="e">
        <f>IF(AND(' RIESGOS DE GESTION'!#REF!="Muy Alta",' RIESGOS DE GESTION'!#REF!="Leve"),CONCATENATE("R7C",' RIESGOS DE GESTION'!#REF!),"")</f>
        <v>#REF!</v>
      </c>
      <c r="L12" s="27" t="e">
        <f>IF(AND(' RIESGOS DE GESTION'!#REF!="Muy Alta",' RIESGOS DE GESTION'!#REF!="Leve"),CONCATENATE("R7C",' RIESGOS DE GESTION'!#REF!),"")</f>
        <v>#REF!</v>
      </c>
      <c r="M12" s="27" t="e">
        <f>IF(AND(' RIESGOS DE GESTION'!#REF!="Muy Alta",' RIESGOS DE GESTION'!#REF!="Leve"),CONCATENATE("R7C",' RIESGOS DE GESTION'!#REF!),"")</f>
        <v>#REF!</v>
      </c>
      <c r="N12" s="27"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27" t="e">
        <f>IF(AND(' RIESGOS DE GESTION'!#REF!="Muy Alta",' RIESGOS DE GESTION'!#REF!="Menor"),CONCATENATE("R7C",' RIESGOS DE GESTION'!#REF!),"")</f>
        <v>#REF!</v>
      </c>
      <c r="S12" s="27" t="e">
        <f>IF(AND(' RIESGOS DE GESTION'!#REF!="Muy Alta",' RIESGOS DE GESTION'!#REF!="Menor"),CONCATENATE("R7C",' RIESGOS DE GESTION'!#REF!),"")</f>
        <v>#REF!</v>
      </c>
      <c r="T12" s="27"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27" t="e">
        <f>IF(AND(' RIESGOS DE GESTION'!#REF!="Muy Alta",' RIESGOS DE GESTION'!#REF!="Moderado"),CONCATENATE("R7C",' RIESGOS DE GESTION'!#REF!),"")</f>
        <v>#REF!</v>
      </c>
      <c r="Y12" s="27" t="e">
        <f>IF(AND(' RIESGOS DE GESTION'!#REF!="Muy Alta",' RIESGOS DE GESTION'!#REF!="Moderado"),CONCATENATE("R7C",' RIESGOS DE GESTION'!#REF!),"")</f>
        <v>#REF!</v>
      </c>
      <c r="Z12" s="27"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27" t="e">
        <f>IF(AND(' RIESGOS DE GESTION'!#REF!="Muy Alta",' RIESGOS DE GESTION'!#REF!="Mayor"),CONCATENATE("R7C",' RIESGOS DE GESTION'!#REF!),"")</f>
        <v>#REF!</v>
      </c>
      <c r="AE12" s="27" t="e">
        <f>IF(AND(' RIESGOS DE GESTION'!#REF!="Muy Alta",' RIESGOS DE GESTION'!#REF!="Mayor"),CONCATENATE("R7C",' RIESGOS DE GESTION'!#REF!),"")</f>
        <v>#REF!</v>
      </c>
      <c r="AF12" s="27"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7"/>
      <c r="AO12" s="652"/>
      <c r="AP12" s="653"/>
      <c r="AQ12" s="653"/>
      <c r="AR12" s="653"/>
      <c r="AS12" s="653"/>
      <c r="AT12" s="654"/>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row>
    <row r="13" spans="1:91" ht="15" customHeight="1" x14ac:dyDescent="0.25">
      <c r="A13" s="57"/>
      <c r="B13" s="547"/>
      <c r="C13" s="547"/>
      <c r="D13" s="548"/>
      <c r="E13" s="646"/>
      <c r="F13" s="645"/>
      <c r="G13" s="645"/>
      <c r="H13" s="645"/>
      <c r="I13" s="661"/>
      <c r="J13" s="26" t="e">
        <f>IF(AND(' RIESGOS DE GESTION'!#REF!="Muy Alta",' RIESGOS DE GESTION'!#REF!="Leve"),CONCATENATE("R8C",' RIESGOS DE GESTION'!#REF!),"")</f>
        <v>#REF!</v>
      </c>
      <c r="K13" s="27" t="e">
        <f>IF(AND(' RIESGOS DE GESTION'!#REF!="Muy Alta",' RIESGOS DE GESTION'!#REF!="Leve"),CONCATENATE("R8C",' RIESGOS DE GESTION'!#REF!),"")</f>
        <v>#REF!</v>
      </c>
      <c r="L13" s="27" t="e">
        <f>IF(AND(' RIESGOS DE GESTION'!#REF!="Muy Alta",' RIESGOS DE GESTION'!#REF!="Leve"),CONCATENATE("R8C",' RIESGOS DE GESTION'!#REF!),"")</f>
        <v>#REF!</v>
      </c>
      <c r="M13" s="27" t="e">
        <f>IF(AND(' RIESGOS DE GESTION'!#REF!="Muy Alta",' RIESGOS DE GESTION'!#REF!="Leve"),CONCATENATE("R8C",' RIESGOS DE GESTION'!#REF!),"")</f>
        <v>#REF!</v>
      </c>
      <c r="N13" s="27"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27" t="e">
        <f>IF(AND(' RIESGOS DE GESTION'!#REF!="Muy Alta",' RIESGOS DE GESTION'!#REF!="Menor"),CONCATENATE("R8C",' RIESGOS DE GESTION'!#REF!),"")</f>
        <v>#REF!</v>
      </c>
      <c r="S13" s="27" t="e">
        <f>IF(AND(' RIESGOS DE GESTION'!#REF!="Muy Alta",' RIESGOS DE GESTION'!#REF!="Menor"),CONCATENATE("R8C",' RIESGOS DE GESTION'!#REF!),"")</f>
        <v>#REF!</v>
      </c>
      <c r="T13" s="27"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27" t="e">
        <f>IF(AND(' RIESGOS DE GESTION'!#REF!="Muy Alta",' RIESGOS DE GESTION'!#REF!="Moderado"),CONCATENATE("R8C",' RIESGOS DE GESTION'!#REF!),"")</f>
        <v>#REF!</v>
      </c>
      <c r="Y13" s="27" t="e">
        <f>IF(AND(' RIESGOS DE GESTION'!#REF!="Muy Alta",' RIESGOS DE GESTION'!#REF!="Moderado"),CONCATENATE("R8C",' RIESGOS DE GESTION'!#REF!),"")</f>
        <v>#REF!</v>
      </c>
      <c r="Z13" s="27"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27" t="e">
        <f>IF(AND(' RIESGOS DE GESTION'!#REF!="Muy Alta",' RIESGOS DE GESTION'!#REF!="Mayor"),CONCATENATE("R8C",' RIESGOS DE GESTION'!#REF!),"")</f>
        <v>#REF!</v>
      </c>
      <c r="AE13" s="27" t="e">
        <f>IF(AND(' RIESGOS DE GESTION'!#REF!="Muy Alta",' RIESGOS DE GESTION'!#REF!="Mayor"),CONCATENATE("R8C",' RIESGOS DE GESTION'!#REF!),"")</f>
        <v>#REF!</v>
      </c>
      <c r="AF13" s="27"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7"/>
      <c r="AO13" s="652"/>
      <c r="AP13" s="653"/>
      <c r="AQ13" s="653"/>
      <c r="AR13" s="653"/>
      <c r="AS13" s="653"/>
      <c r="AT13" s="654"/>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row>
    <row r="14" spans="1:91" ht="15" customHeight="1" x14ac:dyDescent="0.25">
      <c r="A14" s="57"/>
      <c r="B14" s="547"/>
      <c r="C14" s="547"/>
      <c r="D14" s="548"/>
      <c r="E14" s="646"/>
      <c r="F14" s="645"/>
      <c r="G14" s="645"/>
      <c r="H14" s="645"/>
      <c r="I14" s="661"/>
      <c r="J14" s="26" t="e">
        <f>IF(AND(' RIESGOS DE GESTION'!#REF!="Muy Alta",' RIESGOS DE GESTION'!#REF!="Leve"),CONCATENATE("R9C",' RIESGOS DE GESTION'!#REF!),"")</f>
        <v>#REF!</v>
      </c>
      <c r="K14" s="27" t="e">
        <f>IF(AND(' RIESGOS DE GESTION'!#REF!="Muy Alta",' RIESGOS DE GESTION'!#REF!="Leve"),CONCATENATE("R9C",' RIESGOS DE GESTION'!#REF!),"")</f>
        <v>#REF!</v>
      </c>
      <c r="L14" s="27" t="e">
        <f>IF(AND(' RIESGOS DE GESTION'!#REF!="Muy Alta",' RIESGOS DE GESTION'!#REF!="Leve"),CONCATENATE("R9C",' RIESGOS DE GESTION'!#REF!),"")</f>
        <v>#REF!</v>
      </c>
      <c r="M14" s="27" t="e">
        <f>IF(AND(' RIESGOS DE GESTION'!#REF!="Muy Alta",' RIESGOS DE GESTION'!#REF!="Leve"),CONCATENATE("R9C",' RIESGOS DE GESTION'!#REF!),"")</f>
        <v>#REF!</v>
      </c>
      <c r="N14" s="27"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27" t="e">
        <f>IF(AND(' RIESGOS DE GESTION'!#REF!="Muy Alta",' RIESGOS DE GESTION'!#REF!="Menor"),CONCATENATE("R9C",' RIESGOS DE GESTION'!#REF!),"")</f>
        <v>#REF!</v>
      </c>
      <c r="S14" s="27" t="e">
        <f>IF(AND(' RIESGOS DE GESTION'!#REF!="Muy Alta",' RIESGOS DE GESTION'!#REF!="Menor"),CONCATENATE("R9C",' RIESGOS DE GESTION'!#REF!),"")</f>
        <v>#REF!</v>
      </c>
      <c r="T14" s="27"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27" t="e">
        <f>IF(AND(' RIESGOS DE GESTION'!#REF!="Muy Alta",' RIESGOS DE GESTION'!#REF!="Moderado"),CONCATENATE("R9C",' RIESGOS DE GESTION'!#REF!),"")</f>
        <v>#REF!</v>
      </c>
      <c r="Y14" s="27" t="e">
        <f>IF(AND(' RIESGOS DE GESTION'!#REF!="Muy Alta",' RIESGOS DE GESTION'!#REF!="Moderado"),CONCATENATE("R9C",' RIESGOS DE GESTION'!#REF!),"")</f>
        <v>#REF!</v>
      </c>
      <c r="Z14" s="27"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27" t="e">
        <f>IF(AND(' RIESGOS DE GESTION'!#REF!="Muy Alta",' RIESGOS DE GESTION'!#REF!="Mayor"),CONCATENATE("R9C",' RIESGOS DE GESTION'!#REF!),"")</f>
        <v>#REF!</v>
      </c>
      <c r="AE14" s="27" t="e">
        <f>IF(AND(' RIESGOS DE GESTION'!#REF!="Muy Alta",' RIESGOS DE GESTION'!#REF!="Mayor"),CONCATENATE("R9C",' RIESGOS DE GESTION'!#REF!),"")</f>
        <v>#REF!</v>
      </c>
      <c r="AF14" s="27"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7"/>
      <c r="AO14" s="652"/>
      <c r="AP14" s="653"/>
      <c r="AQ14" s="653"/>
      <c r="AR14" s="653"/>
      <c r="AS14" s="653"/>
      <c r="AT14" s="654"/>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row>
    <row r="15" spans="1:91" ht="15.75" customHeight="1" thickBot="1" x14ac:dyDescent="0.3">
      <c r="A15" s="57"/>
      <c r="B15" s="547"/>
      <c r="C15" s="547"/>
      <c r="D15" s="548"/>
      <c r="E15" s="647"/>
      <c r="F15" s="648"/>
      <c r="G15" s="648"/>
      <c r="H15" s="648"/>
      <c r="I15" s="662"/>
      <c r="J15" s="32" t="e">
        <f>IF(AND(' RIESGOS DE GESTION'!#REF!="Muy Alta",' RIESGOS DE GESTION'!#REF!="Leve"),CONCATENATE("R10C",' RIESGOS DE GESTION'!#REF!),"")</f>
        <v>#REF!</v>
      </c>
      <c r="K15" s="33" t="e">
        <f>IF(AND(' RIESGOS DE GESTION'!#REF!="Muy Alta",' RIESGOS DE GESTION'!#REF!="Leve"),CONCATENATE("R10C",' RIESGOS DE GESTION'!#REF!),"")</f>
        <v>#REF!</v>
      </c>
      <c r="L15" s="33" t="e">
        <f>IF(AND(' RIESGOS DE GESTION'!#REF!="Muy Alta",' RIESGOS DE GESTION'!#REF!="Leve"),CONCATENATE("R10C",' RIESGOS DE GESTION'!#REF!),"")</f>
        <v>#REF!</v>
      </c>
      <c r="M15" s="33" t="e">
        <f>IF(AND(' RIESGOS DE GESTION'!#REF!="Muy Alta",' RIESGOS DE GESTION'!#REF!="Leve"),CONCATENATE("R10C",' RIESGOS DE GESTION'!#REF!),"")</f>
        <v>#REF!</v>
      </c>
      <c r="N15" s="33" t="e">
        <f>IF(AND(' RIESGOS DE GESTION'!#REF!="Muy Alta",' RIESGOS DE GESTION'!#REF!="Leve"),CONCATENATE("R10C",' RIESGOS DE GESTION'!#REF!),"")</f>
        <v>#REF!</v>
      </c>
      <c r="O15" s="34"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2" t="e">
        <f>IF(AND(' RIESGOS DE GESTION'!#REF!="Muy Alta",' RIESGOS DE GESTION'!#REF!="Moderado"),CONCATENATE("R10C",' RIESGOS DE GESTION'!#REF!),"")</f>
        <v>#REF!</v>
      </c>
      <c r="W15" s="33" t="e">
        <f>IF(AND(' RIESGOS DE GESTION'!#REF!="Muy Alta",' RIESGOS DE GESTION'!#REF!="Moderado"),CONCATENATE("R10C",' RIESGOS DE GESTION'!#REF!),"")</f>
        <v>#REF!</v>
      </c>
      <c r="X15" s="33" t="e">
        <f>IF(AND(' RIESGOS DE GESTION'!#REF!="Muy Alta",' RIESGOS DE GESTION'!#REF!="Moderado"),CONCATENATE("R10C",' RIESGOS DE GESTION'!#REF!),"")</f>
        <v>#REF!</v>
      </c>
      <c r="Y15" s="33" t="e">
        <f>IF(AND(' RIESGOS DE GESTION'!#REF!="Muy Alta",' RIESGOS DE GESTION'!#REF!="Moderado"),CONCATENATE("R10C",' RIESGOS DE GESTION'!#REF!),"")</f>
        <v>#REF!</v>
      </c>
      <c r="Z15" s="33" t="e">
        <f>IF(AND(' RIESGOS DE GESTION'!#REF!="Muy Alta",' RIESGOS DE GESTION'!#REF!="Moderado"),CONCATENATE("R10C",' RIESGOS DE GESTION'!#REF!),"")</f>
        <v>#REF!</v>
      </c>
      <c r="AA15" s="34"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5" t="e">
        <f>IF(AND(' RIESGOS DE GESTION'!#REF!="Muy Alta",' RIESGOS DE GESTION'!#REF!="Catastrófico"),CONCATENATE("R10C",' RIESGOS DE GESTION'!#REF!),"")</f>
        <v>#REF!</v>
      </c>
      <c r="AI15" s="36" t="e">
        <f>IF(AND(' RIESGOS DE GESTION'!#REF!="Muy Alta",' RIESGOS DE GESTION'!#REF!="Catastrófico"),CONCATENATE("R10C",' RIESGOS DE GESTION'!#REF!),"")</f>
        <v>#REF!</v>
      </c>
      <c r="AJ15" s="36" t="e">
        <f>IF(AND(' RIESGOS DE GESTION'!#REF!="Muy Alta",' RIESGOS DE GESTION'!#REF!="Catastrófico"),CONCATENATE("R10C",' RIESGOS DE GESTION'!#REF!),"")</f>
        <v>#REF!</v>
      </c>
      <c r="AK15" s="36" t="e">
        <f>IF(AND(' RIESGOS DE GESTION'!#REF!="Muy Alta",' RIESGOS DE GESTION'!#REF!="Catastrófico"),CONCATENATE("R10C",' RIESGOS DE GESTION'!#REF!),"")</f>
        <v>#REF!</v>
      </c>
      <c r="AL15" s="36" t="e">
        <f>IF(AND(' RIESGOS DE GESTION'!#REF!="Muy Alta",' RIESGOS DE GESTION'!#REF!="Catastrófico"),CONCATENATE("R10C",' RIESGOS DE GESTION'!#REF!),"")</f>
        <v>#REF!</v>
      </c>
      <c r="AM15" s="37" t="e">
        <f>IF(AND(' RIESGOS DE GESTION'!#REF!="Muy Alta",' RIESGOS DE GESTION'!#REF!="Catastrófico"),CONCATENATE("R10C",' RIESGOS DE GESTION'!#REF!),"")</f>
        <v>#REF!</v>
      </c>
      <c r="AN15" s="57"/>
      <c r="AO15" s="655"/>
      <c r="AP15" s="656"/>
      <c r="AQ15" s="656"/>
      <c r="AR15" s="656"/>
      <c r="AS15" s="656"/>
      <c r="AT15" s="6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row>
    <row r="16" spans="1:91" ht="15" customHeight="1" x14ac:dyDescent="0.25">
      <c r="A16" s="57"/>
      <c r="B16" s="547"/>
      <c r="C16" s="547"/>
      <c r="D16" s="548"/>
      <c r="E16" s="642" t="s">
        <v>573</v>
      </c>
      <c r="F16" s="643"/>
      <c r="G16" s="643"/>
      <c r="H16" s="643"/>
      <c r="I16" s="643"/>
      <c r="J16" s="38" t="e">
        <f>IF(AND(' RIESGOS DE GESTION'!#REF!="Alta",' RIESGOS DE GESTION'!#REF!="Leve"),CONCATENATE("R1C",' RIESGOS DE GESTION'!#REF!),"")</f>
        <v>#REF!</v>
      </c>
      <c r="K16" s="39" t="e">
        <f>IF(AND(' RIESGOS DE GESTION'!#REF!="Alta",' RIESGOS DE GESTION'!#REF!="Leve"),CONCATENATE("R1C",' RIESGOS DE GESTION'!#REF!),"")</f>
        <v>#REF!</v>
      </c>
      <c r="L16" s="39" t="e">
        <f>IF(AND(' RIESGOS DE GESTION'!#REF!="Alta",' RIESGOS DE GESTION'!#REF!="Leve"),CONCATENATE("R1C",' RIESGOS DE GESTION'!#REF!),"")</f>
        <v>#REF!</v>
      </c>
      <c r="M16" s="39" t="e">
        <f>IF(AND(' RIESGOS DE GESTION'!#REF!="Alta",' RIESGOS DE GESTION'!#REF!="Leve"),CONCATENATE("R1C",' RIESGOS DE GESTION'!#REF!),"")</f>
        <v>#REF!</v>
      </c>
      <c r="N16" s="39" t="e">
        <f>IF(AND(' RIESGOS DE GESTION'!#REF!="Alta",' RIESGOS DE GESTION'!#REF!="Leve"),CONCATENATE("R1C",' RIESGOS DE GESTION'!#REF!),"")</f>
        <v>#REF!</v>
      </c>
      <c r="O16" s="40" t="e">
        <f>IF(AND(' RIESGOS DE GESTION'!#REF!="Alta",' RIESGOS DE GESTION'!#REF!="Leve"),CONCATENATE("R1C",' RIESGOS DE GESTION'!#REF!),"")</f>
        <v>#REF!</v>
      </c>
      <c r="P16" s="38" t="e">
        <f>IF(AND(' RIESGOS DE GESTION'!#REF!="Alta",' RIESGOS DE GESTION'!#REF!="Menor"),CONCATENATE("R1C",' RIESGOS DE GESTION'!#REF!),"")</f>
        <v>#REF!</v>
      </c>
      <c r="Q16" s="39" t="e">
        <f>IF(AND(' RIESGOS DE GESTION'!#REF!="Alta",' RIESGOS DE GESTION'!#REF!="Menor"),CONCATENATE("R1C",' RIESGOS DE GESTION'!#REF!),"")</f>
        <v>#REF!</v>
      </c>
      <c r="R16" s="39" t="e">
        <f>IF(AND(' RIESGOS DE GESTION'!#REF!="Alta",' RIESGOS DE GESTION'!#REF!="Menor"),CONCATENATE("R1C",' RIESGOS DE GESTION'!#REF!),"")</f>
        <v>#REF!</v>
      </c>
      <c r="S16" s="39" t="e">
        <f>IF(AND(' RIESGOS DE GESTION'!#REF!="Alta",' RIESGOS DE GESTION'!#REF!="Menor"),CONCATENATE("R1C",' RIESGOS DE GESTION'!#REF!),"")</f>
        <v>#REF!</v>
      </c>
      <c r="T16" s="39" t="e">
        <f>IF(AND(' RIESGOS DE GESTION'!#REF!="Alta",' RIESGOS DE GESTION'!#REF!="Menor"),CONCATENATE("R1C",' RIESGOS DE GESTION'!#REF!),"")</f>
        <v>#REF!</v>
      </c>
      <c r="U16" s="40"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7"/>
      <c r="AO16" s="633" t="s">
        <v>574</v>
      </c>
      <c r="AP16" s="634"/>
      <c r="AQ16" s="634"/>
      <c r="AR16" s="634"/>
      <c r="AS16" s="634"/>
      <c r="AT16" s="635"/>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row>
    <row r="17" spans="1:76" ht="15" customHeight="1" x14ac:dyDescent="0.25">
      <c r="A17" s="57"/>
      <c r="B17" s="547"/>
      <c r="C17" s="547"/>
      <c r="D17" s="548"/>
      <c r="E17" s="644"/>
      <c r="F17" s="645"/>
      <c r="G17" s="645"/>
      <c r="H17" s="645"/>
      <c r="I17" s="645"/>
      <c r="J17" s="41" t="e">
        <f>IF(AND(' RIESGOS DE GESTION'!#REF!="Alta",' RIESGOS DE GESTION'!#REF!="Leve"),CONCATENATE("R2C",' RIESGOS DE GESTION'!#REF!),"")</f>
        <v>#REF!</v>
      </c>
      <c r="K17" s="42" t="e">
        <f>IF(AND(' RIESGOS DE GESTION'!#REF!="Alta",' RIESGOS DE GESTION'!#REF!="Leve"),CONCATENATE("R2C",' RIESGOS DE GESTION'!#REF!),"")</f>
        <v>#REF!</v>
      </c>
      <c r="L17" s="42" t="e">
        <f>IF(AND(' RIESGOS DE GESTION'!#REF!="Alta",' RIESGOS DE GESTION'!#REF!="Leve"),CONCATENATE("R2C",' RIESGOS DE GESTION'!#REF!),"")</f>
        <v>#REF!</v>
      </c>
      <c r="M17" s="42" t="e">
        <f>IF(AND(' RIESGOS DE GESTION'!#REF!="Alta",' RIESGOS DE GESTION'!#REF!="Leve"),CONCATENATE("R2C",' RIESGOS DE GESTION'!#REF!),"")</f>
        <v>#REF!</v>
      </c>
      <c r="N17" s="42" t="e">
        <f>IF(AND(' RIESGOS DE GESTION'!#REF!="Alta",' RIESGOS DE GESTION'!#REF!="Leve"),CONCATENATE("R2C",' RIESGOS DE GESTION'!#REF!),"")</f>
        <v>#REF!</v>
      </c>
      <c r="O17" s="43" t="e">
        <f>IF(AND(' RIESGOS DE GESTION'!#REF!="Alta",' RIESGOS DE GESTION'!#REF!="Leve"),CONCATENATE("R2C",' RIESGOS DE GESTION'!#REF!),"")</f>
        <v>#REF!</v>
      </c>
      <c r="P17" s="41" t="e">
        <f>IF(AND(' RIESGOS DE GESTION'!#REF!="Alta",' RIESGOS DE GESTION'!#REF!="Menor"),CONCATENATE("R2C",' RIESGOS DE GESTION'!#REF!),"")</f>
        <v>#REF!</v>
      </c>
      <c r="Q17" s="42" t="e">
        <f>IF(AND(' RIESGOS DE GESTION'!#REF!="Alta",' RIESGOS DE GESTION'!#REF!="Menor"),CONCATENATE("R2C",' RIESGOS DE GESTION'!#REF!),"")</f>
        <v>#REF!</v>
      </c>
      <c r="R17" s="42" t="e">
        <f>IF(AND(' RIESGOS DE GESTION'!#REF!="Alta",' RIESGOS DE GESTION'!#REF!="Menor"),CONCATENATE("R2C",' RIESGOS DE GESTION'!#REF!),"")</f>
        <v>#REF!</v>
      </c>
      <c r="S17" s="42" t="e">
        <f>IF(AND(' RIESGOS DE GESTION'!#REF!="Alta",' RIESGOS DE GESTION'!#REF!="Menor"),CONCATENATE("R2C",' RIESGOS DE GESTION'!#REF!),"")</f>
        <v>#REF!</v>
      </c>
      <c r="T17" s="42" t="e">
        <f>IF(AND(' RIESGOS DE GESTION'!#REF!="Alta",' RIESGOS DE GESTION'!#REF!="Menor"),CONCATENATE("R2C",' RIESGOS DE GESTION'!#REF!),"")</f>
        <v>#REF!</v>
      </c>
      <c r="U17" s="43"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7"/>
      <c r="AO17" s="636"/>
      <c r="AP17" s="637"/>
      <c r="AQ17" s="637"/>
      <c r="AR17" s="637"/>
      <c r="AS17" s="637"/>
      <c r="AT17" s="638"/>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row>
    <row r="18" spans="1:76" ht="15" customHeight="1" x14ac:dyDescent="0.25">
      <c r="A18" s="57"/>
      <c r="B18" s="547"/>
      <c r="C18" s="547"/>
      <c r="D18" s="548"/>
      <c r="E18" s="646"/>
      <c r="F18" s="645"/>
      <c r="G18" s="645"/>
      <c r="H18" s="645"/>
      <c r="I18" s="645"/>
      <c r="J18" s="41" t="e">
        <f>IF(AND(' RIESGOS DE GESTION'!#REF!="Alta",' RIESGOS DE GESTION'!#REF!="Leve"),CONCATENATE("R3C",' RIESGOS DE GESTION'!#REF!),"")</f>
        <v>#REF!</v>
      </c>
      <c r="K18" s="42" t="e">
        <f>IF(AND(' RIESGOS DE GESTION'!#REF!="Alta",' RIESGOS DE GESTION'!#REF!="Leve"),CONCATENATE("R3C",' RIESGOS DE GESTION'!#REF!),"")</f>
        <v>#REF!</v>
      </c>
      <c r="L18" s="42" t="e">
        <f>IF(AND(' RIESGOS DE GESTION'!#REF!="Alta",' RIESGOS DE GESTION'!#REF!="Leve"),CONCATENATE("R3C",' RIESGOS DE GESTION'!#REF!),"")</f>
        <v>#REF!</v>
      </c>
      <c r="M18" s="42" t="e">
        <f>IF(AND(' RIESGOS DE GESTION'!#REF!="Alta",' RIESGOS DE GESTION'!#REF!="Leve"),CONCATENATE("R3C",' RIESGOS DE GESTION'!#REF!),"")</f>
        <v>#REF!</v>
      </c>
      <c r="N18" s="42" t="e">
        <f>IF(AND(' RIESGOS DE GESTION'!#REF!="Alta",' RIESGOS DE GESTION'!#REF!="Leve"),CONCATENATE("R3C",' RIESGOS DE GESTION'!#REF!),"")</f>
        <v>#REF!</v>
      </c>
      <c r="O18" s="43" t="e">
        <f>IF(AND(' RIESGOS DE GESTION'!#REF!="Alta",' RIESGOS DE GESTION'!#REF!="Leve"),CONCATENATE("R3C",' RIESGOS DE GESTION'!#REF!),"")</f>
        <v>#REF!</v>
      </c>
      <c r="P18" s="41" t="e">
        <f>IF(AND(' RIESGOS DE GESTION'!#REF!="Alta",' RIESGOS DE GESTION'!#REF!="Menor"),CONCATENATE("R3C",' RIESGOS DE GESTION'!#REF!),"")</f>
        <v>#REF!</v>
      </c>
      <c r="Q18" s="42" t="e">
        <f>IF(AND(' RIESGOS DE GESTION'!#REF!="Alta",' RIESGOS DE GESTION'!#REF!="Menor"),CONCATENATE("R3C",' RIESGOS DE GESTION'!#REF!),"")</f>
        <v>#REF!</v>
      </c>
      <c r="R18" s="42" t="e">
        <f>IF(AND(' RIESGOS DE GESTION'!#REF!="Alta",' RIESGOS DE GESTION'!#REF!="Menor"),CONCATENATE("R3C",' RIESGOS DE GESTION'!#REF!),"")</f>
        <v>#REF!</v>
      </c>
      <c r="S18" s="42" t="e">
        <f>IF(AND(' RIESGOS DE GESTION'!#REF!="Alta",' RIESGOS DE GESTION'!#REF!="Menor"),CONCATENATE("R3C",' RIESGOS DE GESTION'!#REF!),"")</f>
        <v>#REF!</v>
      </c>
      <c r="T18" s="42" t="e">
        <f>IF(AND(' RIESGOS DE GESTION'!#REF!="Alta",' RIESGOS DE GESTION'!#REF!="Menor"),CONCATENATE("R3C",' RIESGOS DE GESTION'!#REF!),"")</f>
        <v>#REF!</v>
      </c>
      <c r="U18" s="43"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7"/>
      <c r="AO18" s="636"/>
      <c r="AP18" s="637"/>
      <c r="AQ18" s="637"/>
      <c r="AR18" s="637"/>
      <c r="AS18" s="637"/>
      <c r="AT18" s="638"/>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row>
    <row r="19" spans="1:76" ht="15" customHeight="1" x14ac:dyDescent="0.25">
      <c r="A19" s="57"/>
      <c r="B19" s="547"/>
      <c r="C19" s="547"/>
      <c r="D19" s="548"/>
      <c r="E19" s="646"/>
      <c r="F19" s="645"/>
      <c r="G19" s="645"/>
      <c r="H19" s="645"/>
      <c r="I19" s="645"/>
      <c r="J19" s="41" t="e">
        <f>IF(AND(' RIESGOS DE GESTION'!#REF!="Alta",' RIESGOS DE GESTION'!#REF!="Leve"),CONCATENATE("R4C",' RIESGOS DE GESTION'!#REF!),"")</f>
        <v>#REF!</v>
      </c>
      <c r="K19" s="42" t="e">
        <f>IF(AND(' RIESGOS DE GESTION'!#REF!="Alta",' RIESGOS DE GESTION'!#REF!="Leve"),CONCATENATE("R4C",' RIESGOS DE GESTION'!#REF!),"")</f>
        <v>#REF!</v>
      </c>
      <c r="L19" s="42" t="e">
        <f>IF(AND(' RIESGOS DE GESTION'!#REF!="Alta",' RIESGOS DE GESTION'!#REF!="Leve"),CONCATENATE("R4C",' RIESGOS DE GESTION'!#REF!),"")</f>
        <v>#REF!</v>
      </c>
      <c r="M19" s="42" t="e">
        <f>IF(AND(' RIESGOS DE GESTION'!#REF!="Alta",' RIESGOS DE GESTION'!#REF!="Leve"),CONCATENATE("R4C",' RIESGOS DE GESTION'!#REF!),"")</f>
        <v>#REF!</v>
      </c>
      <c r="N19" s="42" t="e">
        <f>IF(AND(' RIESGOS DE GESTION'!#REF!="Alta",' RIESGOS DE GESTION'!#REF!="Leve"),CONCATENATE("R4C",' RIESGOS DE GESTION'!#REF!),"")</f>
        <v>#REF!</v>
      </c>
      <c r="O19" s="43" t="e">
        <f>IF(AND(' RIESGOS DE GESTION'!#REF!="Alta",' RIESGOS DE GESTION'!#REF!="Leve"),CONCATENATE("R4C",' RIESGOS DE GESTION'!#REF!),"")</f>
        <v>#REF!</v>
      </c>
      <c r="P19" s="41" t="e">
        <f>IF(AND(' RIESGOS DE GESTION'!#REF!="Alta",' RIESGOS DE GESTION'!#REF!="Menor"),CONCATENATE("R4C",' RIESGOS DE GESTION'!#REF!),"")</f>
        <v>#REF!</v>
      </c>
      <c r="Q19" s="42" t="e">
        <f>IF(AND(' RIESGOS DE GESTION'!#REF!="Alta",' RIESGOS DE GESTION'!#REF!="Menor"),CONCATENATE("R4C",' RIESGOS DE GESTION'!#REF!),"")</f>
        <v>#REF!</v>
      </c>
      <c r="R19" s="42" t="e">
        <f>IF(AND(' RIESGOS DE GESTION'!#REF!="Alta",' RIESGOS DE GESTION'!#REF!="Menor"),CONCATENATE("R4C",' RIESGOS DE GESTION'!#REF!),"")</f>
        <v>#REF!</v>
      </c>
      <c r="S19" s="42" t="e">
        <f>IF(AND(' RIESGOS DE GESTION'!#REF!="Alta",' RIESGOS DE GESTION'!#REF!="Menor"),CONCATENATE("R4C",' RIESGOS DE GESTION'!#REF!),"")</f>
        <v>#REF!</v>
      </c>
      <c r="T19" s="42" t="e">
        <f>IF(AND(' RIESGOS DE GESTION'!#REF!="Alta",' RIESGOS DE GESTION'!#REF!="Menor"),CONCATENATE("R4C",' RIESGOS DE GESTION'!#REF!),"")</f>
        <v>#REF!</v>
      </c>
      <c r="U19" s="43"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27" t="e">
        <f>IF(AND(' RIESGOS DE GESTION'!#REF!="Alta",' RIESGOS DE GESTION'!#REF!="Moderado"),CONCATENATE("R4C",' RIESGOS DE GESTION'!#REF!),"")</f>
        <v>#REF!</v>
      </c>
      <c r="Y19" s="27" t="e">
        <f>IF(AND(' RIESGOS DE GESTION'!#REF!="Alta",' RIESGOS DE GESTION'!#REF!="Moderado"),CONCATENATE("R4C",' RIESGOS DE GESTION'!#REF!),"")</f>
        <v>#REF!</v>
      </c>
      <c r="Z19" s="27"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27" t="e">
        <f>IF(AND(' RIESGOS DE GESTION'!#REF!="Alta",' RIESGOS DE GESTION'!#REF!="Mayor"),CONCATENATE("R4C",' RIESGOS DE GESTION'!#REF!),"")</f>
        <v>#REF!</v>
      </c>
      <c r="AE19" s="27" t="e">
        <f>IF(AND(' RIESGOS DE GESTION'!#REF!="Alta",' RIESGOS DE GESTION'!#REF!="Mayor"),CONCATENATE("R4C",' RIESGOS DE GESTION'!#REF!),"")</f>
        <v>#REF!</v>
      </c>
      <c r="AF19" s="27"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7"/>
      <c r="AO19" s="636"/>
      <c r="AP19" s="637"/>
      <c r="AQ19" s="637"/>
      <c r="AR19" s="637"/>
      <c r="AS19" s="637"/>
      <c r="AT19" s="638"/>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row>
    <row r="20" spans="1:76" ht="15" customHeight="1" x14ac:dyDescent="0.25">
      <c r="A20" s="57"/>
      <c r="B20" s="547"/>
      <c r="C20" s="547"/>
      <c r="D20" s="548"/>
      <c r="E20" s="646"/>
      <c r="F20" s="645"/>
      <c r="G20" s="645"/>
      <c r="H20" s="645"/>
      <c r="I20" s="645"/>
      <c r="J20" s="41" t="e">
        <f>IF(AND(' RIESGOS DE GESTION'!#REF!="Alta",' RIESGOS DE GESTION'!#REF!="Leve"),CONCATENATE("R5C",' RIESGOS DE GESTION'!#REF!),"")</f>
        <v>#REF!</v>
      </c>
      <c r="K20" s="42" t="e">
        <f>IF(AND(' RIESGOS DE GESTION'!#REF!="Alta",' RIESGOS DE GESTION'!#REF!="Leve"),CONCATENATE("R5C",' RIESGOS DE GESTION'!#REF!),"")</f>
        <v>#REF!</v>
      </c>
      <c r="L20" s="42" t="e">
        <f>IF(AND(' RIESGOS DE GESTION'!#REF!="Alta",' RIESGOS DE GESTION'!#REF!="Leve"),CONCATENATE("R5C",' RIESGOS DE GESTION'!#REF!),"")</f>
        <v>#REF!</v>
      </c>
      <c r="M20" s="42" t="e">
        <f>IF(AND(' RIESGOS DE GESTION'!#REF!="Alta",' RIESGOS DE GESTION'!#REF!="Leve"),CONCATENATE("R5C",' RIESGOS DE GESTION'!#REF!),"")</f>
        <v>#REF!</v>
      </c>
      <c r="N20" s="42" t="e">
        <f>IF(AND(' RIESGOS DE GESTION'!#REF!="Alta",' RIESGOS DE GESTION'!#REF!="Leve"),CONCATENATE("R5C",' RIESGOS DE GESTION'!#REF!),"")</f>
        <v>#REF!</v>
      </c>
      <c r="O20" s="43" t="e">
        <f>IF(AND(' RIESGOS DE GESTION'!#REF!="Alta",' RIESGOS DE GESTION'!#REF!="Leve"),CONCATENATE("R5C",' RIESGOS DE GESTION'!#REF!),"")</f>
        <v>#REF!</v>
      </c>
      <c r="P20" s="41" t="e">
        <f>IF(AND(' RIESGOS DE GESTION'!#REF!="Alta",' RIESGOS DE GESTION'!#REF!="Menor"),CONCATENATE("R5C",' RIESGOS DE GESTION'!#REF!),"")</f>
        <v>#REF!</v>
      </c>
      <c r="Q20" s="42" t="e">
        <f>IF(AND(' RIESGOS DE GESTION'!#REF!="Alta",' RIESGOS DE GESTION'!#REF!="Menor"),CONCATENATE("R5C",' RIESGOS DE GESTION'!#REF!),"")</f>
        <v>#REF!</v>
      </c>
      <c r="R20" s="42" t="e">
        <f>IF(AND(' RIESGOS DE GESTION'!#REF!="Alta",' RIESGOS DE GESTION'!#REF!="Menor"),CONCATENATE("R5C",' RIESGOS DE GESTION'!#REF!),"")</f>
        <v>#REF!</v>
      </c>
      <c r="S20" s="42" t="e">
        <f>IF(AND(' RIESGOS DE GESTION'!#REF!="Alta",' RIESGOS DE GESTION'!#REF!="Menor"),CONCATENATE("R5C",' RIESGOS DE GESTION'!#REF!),"")</f>
        <v>#REF!</v>
      </c>
      <c r="T20" s="42" t="e">
        <f>IF(AND(' RIESGOS DE GESTION'!#REF!="Alta",' RIESGOS DE GESTION'!#REF!="Menor"),CONCATENATE("R5C",' RIESGOS DE GESTION'!#REF!),"")</f>
        <v>#REF!</v>
      </c>
      <c r="U20" s="43"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27" t="e">
        <f>IF(AND(' RIESGOS DE GESTION'!#REF!="Alta",' RIESGOS DE GESTION'!#REF!="Moderado"),CONCATENATE("R5C",' RIESGOS DE GESTION'!#REF!),"")</f>
        <v>#REF!</v>
      </c>
      <c r="Y20" s="27" t="e">
        <f>IF(AND(' RIESGOS DE GESTION'!#REF!="Alta",' RIESGOS DE GESTION'!#REF!="Moderado"),CONCATENATE("R5C",' RIESGOS DE GESTION'!#REF!),"")</f>
        <v>#REF!</v>
      </c>
      <c r="Z20" s="27"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27" t="e">
        <f>IF(AND(' RIESGOS DE GESTION'!#REF!="Alta",' RIESGOS DE GESTION'!#REF!="Mayor"),CONCATENATE("R5C",' RIESGOS DE GESTION'!#REF!),"")</f>
        <v>#REF!</v>
      </c>
      <c r="AE20" s="27" t="e">
        <f>IF(AND(' RIESGOS DE GESTION'!#REF!="Alta",' RIESGOS DE GESTION'!#REF!="Mayor"),CONCATENATE("R5C",' RIESGOS DE GESTION'!#REF!),"")</f>
        <v>#REF!</v>
      </c>
      <c r="AF20" s="27"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7"/>
      <c r="AO20" s="636"/>
      <c r="AP20" s="637"/>
      <c r="AQ20" s="637"/>
      <c r="AR20" s="637"/>
      <c r="AS20" s="637"/>
      <c r="AT20" s="638"/>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row>
    <row r="21" spans="1:76" ht="15" customHeight="1" x14ac:dyDescent="0.25">
      <c r="A21" s="57"/>
      <c r="B21" s="547"/>
      <c r="C21" s="547"/>
      <c r="D21" s="548"/>
      <c r="E21" s="646"/>
      <c r="F21" s="645"/>
      <c r="G21" s="645"/>
      <c r="H21" s="645"/>
      <c r="I21" s="645"/>
      <c r="J21" s="41" t="e">
        <f>IF(AND(' RIESGOS DE GESTION'!#REF!="Alta",' RIESGOS DE GESTION'!#REF!="Leve"),CONCATENATE("R6C",' RIESGOS DE GESTION'!#REF!),"")</f>
        <v>#REF!</v>
      </c>
      <c r="K21" s="42" t="e">
        <f>IF(AND(' RIESGOS DE GESTION'!#REF!="Alta",' RIESGOS DE GESTION'!#REF!="Leve"),CONCATENATE("R6C",' RIESGOS DE GESTION'!#REF!),"")</f>
        <v>#REF!</v>
      </c>
      <c r="L21" s="42" t="e">
        <f>IF(AND(' RIESGOS DE GESTION'!#REF!="Alta",' RIESGOS DE GESTION'!#REF!="Leve"),CONCATENATE("R6C",' RIESGOS DE GESTION'!#REF!),"")</f>
        <v>#REF!</v>
      </c>
      <c r="M21" s="42" t="e">
        <f>IF(AND(' RIESGOS DE GESTION'!#REF!="Alta",' RIESGOS DE GESTION'!#REF!="Leve"),CONCATENATE("R6C",' RIESGOS DE GESTION'!#REF!),"")</f>
        <v>#REF!</v>
      </c>
      <c r="N21" s="42" t="e">
        <f>IF(AND(' RIESGOS DE GESTION'!#REF!="Alta",' RIESGOS DE GESTION'!#REF!="Leve"),CONCATENATE("R6C",' RIESGOS DE GESTION'!#REF!),"")</f>
        <v>#REF!</v>
      </c>
      <c r="O21" s="43" t="e">
        <f>IF(AND(' RIESGOS DE GESTION'!#REF!="Alta",' RIESGOS DE GESTION'!#REF!="Leve"),CONCATENATE("R6C",' RIESGOS DE GESTION'!#REF!),"")</f>
        <v>#REF!</v>
      </c>
      <c r="P21" s="41" t="e">
        <f>IF(AND(' RIESGOS DE GESTION'!#REF!="Alta",' RIESGOS DE GESTION'!#REF!="Menor"),CONCATENATE("R6C",' RIESGOS DE GESTION'!#REF!),"")</f>
        <v>#REF!</v>
      </c>
      <c r="Q21" s="42" t="e">
        <f>IF(AND(' RIESGOS DE GESTION'!#REF!="Alta",' RIESGOS DE GESTION'!#REF!="Menor"),CONCATENATE("R6C",' RIESGOS DE GESTION'!#REF!),"")</f>
        <v>#REF!</v>
      </c>
      <c r="R21" s="42" t="e">
        <f>IF(AND(' RIESGOS DE GESTION'!#REF!="Alta",' RIESGOS DE GESTION'!#REF!="Menor"),CONCATENATE("R6C",' RIESGOS DE GESTION'!#REF!),"")</f>
        <v>#REF!</v>
      </c>
      <c r="S21" s="42" t="e">
        <f>IF(AND(' RIESGOS DE GESTION'!#REF!="Alta",' RIESGOS DE GESTION'!#REF!="Menor"),CONCATENATE("R6C",' RIESGOS DE GESTION'!#REF!),"")</f>
        <v>#REF!</v>
      </c>
      <c r="T21" s="42" t="e">
        <f>IF(AND(' RIESGOS DE GESTION'!#REF!="Alta",' RIESGOS DE GESTION'!#REF!="Menor"),CONCATENATE("R6C",' RIESGOS DE GESTION'!#REF!),"")</f>
        <v>#REF!</v>
      </c>
      <c r="U21" s="43"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27" t="e">
        <f>IF(AND(' RIESGOS DE GESTION'!#REF!="Alta",' RIESGOS DE GESTION'!#REF!="Moderado"),CONCATENATE("R6C",' RIESGOS DE GESTION'!#REF!),"")</f>
        <v>#REF!</v>
      </c>
      <c r="Y21" s="27" t="e">
        <f>IF(AND(' RIESGOS DE GESTION'!#REF!="Alta",' RIESGOS DE GESTION'!#REF!="Moderado"),CONCATENATE("R6C",' RIESGOS DE GESTION'!#REF!),"")</f>
        <v>#REF!</v>
      </c>
      <c r="Z21" s="27"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27" t="e">
        <f>IF(AND(' RIESGOS DE GESTION'!#REF!="Alta",' RIESGOS DE GESTION'!#REF!="Mayor"),CONCATENATE("R6C",' RIESGOS DE GESTION'!#REF!),"")</f>
        <v>#REF!</v>
      </c>
      <c r="AE21" s="27" t="e">
        <f>IF(AND(' RIESGOS DE GESTION'!#REF!="Alta",' RIESGOS DE GESTION'!#REF!="Mayor"),CONCATENATE("R6C",' RIESGOS DE GESTION'!#REF!),"")</f>
        <v>#REF!</v>
      </c>
      <c r="AF21" s="27"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7"/>
      <c r="AO21" s="636"/>
      <c r="AP21" s="637"/>
      <c r="AQ21" s="637"/>
      <c r="AR21" s="637"/>
      <c r="AS21" s="637"/>
      <c r="AT21" s="638"/>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row>
    <row r="22" spans="1:76" ht="15" customHeight="1" x14ac:dyDescent="0.25">
      <c r="A22" s="57"/>
      <c r="B22" s="547"/>
      <c r="C22" s="547"/>
      <c r="D22" s="548"/>
      <c r="E22" s="646"/>
      <c r="F22" s="645"/>
      <c r="G22" s="645"/>
      <c r="H22" s="645"/>
      <c r="I22" s="645"/>
      <c r="J22" s="41" t="e">
        <f>IF(AND(' RIESGOS DE GESTION'!#REF!="Alta",' RIESGOS DE GESTION'!#REF!="Leve"),CONCATENATE("R7C",' RIESGOS DE GESTION'!#REF!),"")</f>
        <v>#REF!</v>
      </c>
      <c r="K22" s="42" t="e">
        <f>IF(AND(' RIESGOS DE GESTION'!#REF!="Alta",' RIESGOS DE GESTION'!#REF!="Leve"),CONCATENATE("R7C",' RIESGOS DE GESTION'!#REF!),"")</f>
        <v>#REF!</v>
      </c>
      <c r="L22" s="42" t="e">
        <f>IF(AND(' RIESGOS DE GESTION'!#REF!="Alta",' RIESGOS DE GESTION'!#REF!="Leve"),CONCATENATE("R7C",' RIESGOS DE GESTION'!#REF!),"")</f>
        <v>#REF!</v>
      </c>
      <c r="M22" s="42" t="e">
        <f>IF(AND(' RIESGOS DE GESTION'!#REF!="Alta",' RIESGOS DE GESTION'!#REF!="Leve"),CONCATENATE("R7C",' RIESGOS DE GESTION'!#REF!),"")</f>
        <v>#REF!</v>
      </c>
      <c r="N22" s="42" t="e">
        <f>IF(AND(' RIESGOS DE GESTION'!#REF!="Alta",' RIESGOS DE GESTION'!#REF!="Leve"),CONCATENATE("R7C",' RIESGOS DE GESTION'!#REF!),"")</f>
        <v>#REF!</v>
      </c>
      <c r="O22" s="43" t="e">
        <f>IF(AND(' RIESGOS DE GESTION'!#REF!="Alta",' RIESGOS DE GESTION'!#REF!="Leve"),CONCATENATE("R7C",' RIESGOS DE GESTION'!#REF!),"")</f>
        <v>#REF!</v>
      </c>
      <c r="P22" s="41" t="e">
        <f>IF(AND(' RIESGOS DE GESTION'!#REF!="Alta",' RIESGOS DE GESTION'!#REF!="Menor"),CONCATENATE("R7C",' RIESGOS DE GESTION'!#REF!),"")</f>
        <v>#REF!</v>
      </c>
      <c r="Q22" s="42" t="e">
        <f>IF(AND(' RIESGOS DE GESTION'!#REF!="Alta",' RIESGOS DE GESTION'!#REF!="Menor"),CONCATENATE("R7C",' RIESGOS DE GESTION'!#REF!),"")</f>
        <v>#REF!</v>
      </c>
      <c r="R22" s="42" t="e">
        <f>IF(AND(' RIESGOS DE GESTION'!#REF!="Alta",' RIESGOS DE GESTION'!#REF!="Menor"),CONCATENATE("R7C",' RIESGOS DE GESTION'!#REF!),"")</f>
        <v>#REF!</v>
      </c>
      <c r="S22" s="42" t="e">
        <f>IF(AND(' RIESGOS DE GESTION'!#REF!="Alta",' RIESGOS DE GESTION'!#REF!="Menor"),CONCATENATE("R7C",' RIESGOS DE GESTION'!#REF!),"")</f>
        <v>#REF!</v>
      </c>
      <c r="T22" s="42" t="e">
        <f>IF(AND(' RIESGOS DE GESTION'!#REF!="Alta",' RIESGOS DE GESTION'!#REF!="Menor"),CONCATENATE("R7C",' RIESGOS DE GESTION'!#REF!),"")</f>
        <v>#REF!</v>
      </c>
      <c r="U22" s="43"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27" t="e">
        <f>IF(AND(' RIESGOS DE GESTION'!#REF!="Alta",' RIESGOS DE GESTION'!#REF!="Moderado"),CONCATENATE("R7C",' RIESGOS DE GESTION'!#REF!),"")</f>
        <v>#REF!</v>
      </c>
      <c r="Y22" s="27" t="e">
        <f>IF(AND(' RIESGOS DE GESTION'!#REF!="Alta",' RIESGOS DE GESTION'!#REF!="Moderado"),CONCATENATE("R7C",' RIESGOS DE GESTION'!#REF!),"")</f>
        <v>#REF!</v>
      </c>
      <c r="Z22" s="27"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27" t="e">
        <f>IF(AND(' RIESGOS DE GESTION'!#REF!="Alta",' RIESGOS DE GESTION'!#REF!="Mayor"),CONCATENATE("R7C",' RIESGOS DE GESTION'!#REF!),"")</f>
        <v>#REF!</v>
      </c>
      <c r="AE22" s="27" t="e">
        <f>IF(AND(' RIESGOS DE GESTION'!#REF!="Alta",' RIESGOS DE GESTION'!#REF!="Mayor"),CONCATENATE("R7C",' RIESGOS DE GESTION'!#REF!),"")</f>
        <v>#REF!</v>
      </c>
      <c r="AF22" s="27"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7"/>
      <c r="AO22" s="636"/>
      <c r="AP22" s="637"/>
      <c r="AQ22" s="637"/>
      <c r="AR22" s="637"/>
      <c r="AS22" s="637"/>
      <c r="AT22" s="638"/>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row>
    <row r="23" spans="1:76" ht="15" customHeight="1" x14ac:dyDescent="0.25">
      <c r="A23" s="57"/>
      <c r="B23" s="547"/>
      <c r="C23" s="547"/>
      <c r="D23" s="548"/>
      <c r="E23" s="646"/>
      <c r="F23" s="645"/>
      <c r="G23" s="645"/>
      <c r="H23" s="645"/>
      <c r="I23" s="645"/>
      <c r="J23" s="41" t="e">
        <f>IF(AND(' RIESGOS DE GESTION'!#REF!="Alta",' RIESGOS DE GESTION'!#REF!="Leve"),CONCATENATE("R8C",' RIESGOS DE GESTION'!#REF!),"")</f>
        <v>#REF!</v>
      </c>
      <c r="K23" s="42" t="e">
        <f>IF(AND(' RIESGOS DE GESTION'!#REF!="Alta",' RIESGOS DE GESTION'!#REF!="Leve"),CONCATENATE("R8C",' RIESGOS DE GESTION'!#REF!),"")</f>
        <v>#REF!</v>
      </c>
      <c r="L23" s="42" t="e">
        <f>IF(AND(' RIESGOS DE GESTION'!#REF!="Alta",' RIESGOS DE GESTION'!#REF!="Leve"),CONCATENATE("R8C",' RIESGOS DE GESTION'!#REF!),"")</f>
        <v>#REF!</v>
      </c>
      <c r="M23" s="42" t="e">
        <f>IF(AND(' RIESGOS DE GESTION'!#REF!="Alta",' RIESGOS DE GESTION'!#REF!="Leve"),CONCATENATE("R8C",' RIESGOS DE GESTION'!#REF!),"")</f>
        <v>#REF!</v>
      </c>
      <c r="N23" s="42" t="e">
        <f>IF(AND(' RIESGOS DE GESTION'!#REF!="Alta",' RIESGOS DE GESTION'!#REF!="Leve"),CONCATENATE("R8C",' RIESGOS DE GESTION'!#REF!),"")</f>
        <v>#REF!</v>
      </c>
      <c r="O23" s="43" t="e">
        <f>IF(AND(' RIESGOS DE GESTION'!#REF!="Alta",' RIESGOS DE GESTION'!#REF!="Leve"),CONCATENATE("R8C",' RIESGOS DE GESTION'!#REF!),"")</f>
        <v>#REF!</v>
      </c>
      <c r="P23" s="41" t="e">
        <f>IF(AND(' RIESGOS DE GESTION'!#REF!="Alta",' RIESGOS DE GESTION'!#REF!="Menor"),CONCATENATE("R8C",' RIESGOS DE GESTION'!#REF!),"")</f>
        <v>#REF!</v>
      </c>
      <c r="Q23" s="42" t="e">
        <f>IF(AND(' RIESGOS DE GESTION'!#REF!="Alta",' RIESGOS DE GESTION'!#REF!="Menor"),CONCATENATE("R8C",' RIESGOS DE GESTION'!#REF!),"")</f>
        <v>#REF!</v>
      </c>
      <c r="R23" s="42" t="e">
        <f>IF(AND(' RIESGOS DE GESTION'!#REF!="Alta",' RIESGOS DE GESTION'!#REF!="Menor"),CONCATENATE("R8C",' RIESGOS DE GESTION'!#REF!),"")</f>
        <v>#REF!</v>
      </c>
      <c r="S23" s="42" t="e">
        <f>IF(AND(' RIESGOS DE GESTION'!#REF!="Alta",' RIESGOS DE GESTION'!#REF!="Menor"),CONCATENATE("R8C",' RIESGOS DE GESTION'!#REF!),"")</f>
        <v>#REF!</v>
      </c>
      <c r="T23" s="42" t="e">
        <f>IF(AND(' RIESGOS DE GESTION'!#REF!="Alta",' RIESGOS DE GESTION'!#REF!="Menor"),CONCATENATE("R8C",' RIESGOS DE GESTION'!#REF!),"")</f>
        <v>#REF!</v>
      </c>
      <c r="U23" s="43"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27" t="e">
        <f>IF(AND(' RIESGOS DE GESTION'!#REF!="Alta",' RIESGOS DE GESTION'!#REF!="Moderado"),CONCATENATE("R8C",' RIESGOS DE GESTION'!#REF!),"")</f>
        <v>#REF!</v>
      </c>
      <c r="Y23" s="27" t="e">
        <f>IF(AND(' RIESGOS DE GESTION'!#REF!="Alta",' RIESGOS DE GESTION'!#REF!="Moderado"),CONCATENATE("R8C",' RIESGOS DE GESTION'!#REF!),"")</f>
        <v>#REF!</v>
      </c>
      <c r="Z23" s="27"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27" t="e">
        <f>IF(AND(' RIESGOS DE GESTION'!#REF!="Alta",' RIESGOS DE GESTION'!#REF!="Mayor"),CONCATENATE("R8C",' RIESGOS DE GESTION'!#REF!),"")</f>
        <v>#REF!</v>
      </c>
      <c r="AE23" s="27" t="e">
        <f>IF(AND(' RIESGOS DE GESTION'!#REF!="Alta",' RIESGOS DE GESTION'!#REF!="Mayor"),CONCATENATE("R8C",' RIESGOS DE GESTION'!#REF!),"")</f>
        <v>#REF!</v>
      </c>
      <c r="AF23" s="27"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7"/>
      <c r="AO23" s="636"/>
      <c r="AP23" s="637"/>
      <c r="AQ23" s="637"/>
      <c r="AR23" s="637"/>
      <c r="AS23" s="637"/>
      <c r="AT23" s="638"/>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c r="BT23" s="57"/>
      <c r="BU23" s="57"/>
      <c r="BV23" s="57"/>
      <c r="BW23" s="57"/>
      <c r="BX23" s="57"/>
    </row>
    <row r="24" spans="1:76" ht="15" customHeight="1" x14ac:dyDescent="0.25">
      <c r="A24" s="57"/>
      <c r="B24" s="547"/>
      <c r="C24" s="547"/>
      <c r="D24" s="548"/>
      <c r="E24" s="646"/>
      <c r="F24" s="645"/>
      <c r="G24" s="645"/>
      <c r="H24" s="645"/>
      <c r="I24" s="645"/>
      <c r="J24" s="41" t="e">
        <f>IF(AND(' RIESGOS DE GESTION'!#REF!="Alta",' RIESGOS DE GESTION'!#REF!="Leve"),CONCATENATE("R9C",' RIESGOS DE GESTION'!#REF!),"")</f>
        <v>#REF!</v>
      </c>
      <c r="K24" s="42" t="e">
        <f>IF(AND(' RIESGOS DE GESTION'!#REF!="Alta",' RIESGOS DE GESTION'!#REF!="Leve"),CONCATENATE("R9C",' RIESGOS DE GESTION'!#REF!),"")</f>
        <v>#REF!</v>
      </c>
      <c r="L24" s="42" t="e">
        <f>IF(AND(' RIESGOS DE GESTION'!#REF!="Alta",' RIESGOS DE GESTION'!#REF!="Leve"),CONCATENATE("R9C",' RIESGOS DE GESTION'!#REF!),"")</f>
        <v>#REF!</v>
      </c>
      <c r="M24" s="42" t="e">
        <f>IF(AND(' RIESGOS DE GESTION'!#REF!="Alta",' RIESGOS DE GESTION'!#REF!="Leve"),CONCATENATE("R9C",' RIESGOS DE GESTION'!#REF!),"")</f>
        <v>#REF!</v>
      </c>
      <c r="N24" s="42" t="e">
        <f>IF(AND(' RIESGOS DE GESTION'!#REF!="Alta",' RIESGOS DE GESTION'!#REF!="Leve"),CONCATENATE("R9C",' RIESGOS DE GESTION'!#REF!),"")</f>
        <v>#REF!</v>
      </c>
      <c r="O24" s="43" t="e">
        <f>IF(AND(' RIESGOS DE GESTION'!#REF!="Alta",' RIESGOS DE GESTION'!#REF!="Leve"),CONCATENATE("R9C",' RIESGOS DE GESTION'!#REF!),"")</f>
        <v>#REF!</v>
      </c>
      <c r="P24" s="41" t="e">
        <f>IF(AND(' RIESGOS DE GESTION'!#REF!="Alta",' RIESGOS DE GESTION'!#REF!="Menor"),CONCATENATE("R9C",' RIESGOS DE GESTION'!#REF!),"")</f>
        <v>#REF!</v>
      </c>
      <c r="Q24" s="42" t="e">
        <f>IF(AND(' RIESGOS DE GESTION'!#REF!="Alta",' RIESGOS DE GESTION'!#REF!="Menor"),CONCATENATE("R9C",' RIESGOS DE GESTION'!#REF!),"")</f>
        <v>#REF!</v>
      </c>
      <c r="R24" s="42" t="e">
        <f>IF(AND(' RIESGOS DE GESTION'!#REF!="Alta",' RIESGOS DE GESTION'!#REF!="Menor"),CONCATENATE("R9C",' RIESGOS DE GESTION'!#REF!),"")</f>
        <v>#REF!</v>
      </c>
      <c r="S24" s="42" t="e">
        <f>IF(AND(' RIESGOS DE GESTION'!#REF!="Alta",' RIESGOS DE GESTION'!#REF!="Menor"),CONCATENATE("R9C",' RIESGOS DE GESTION'!#REF!),"")</f>
        <v>#REF!</v>
      </c>
      <c r="T24" s="42" t="e">
        <f>IF(AND(' RIESGOS DE GESTION'!#REF!="Alta",' RIESGOS DE GESTION'!#REF!="Menor"),CONCATENATE("R9C",' RIESGOS DE GESTION'!#REF!),"")</f>
        <v>#REF!</v>
      </c>
      <c r="U24" s="43"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27" t="e">
        <f>IF(AND(' RIESGOS DE GESTION'!#REF!="Alta",' RIESGOS DE GESTION'!#REF!="Moderado"),CONCATENATE("R9C",' RIESGOS DE GESTION'!#REF!),"")</f>
        <v>#REF!</v>
      </c>
      <c r="Y24" s="27" t="e">
        <f>IF(AND(' RIESGOS DE GESTION'!#REF!="Alta",' RIESGOS DE GESTION'!#REF!="Moderado"),CONCATENATE("R9C",' RIESGOS DE GESTION'!#REF!),"")</f>
        <v>#REF!</v>
      </c>
      <c r="Z24" s="27"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27" t="e">
        <f>IF(AND(' RIESGOS DE GESTION'!#REF!="Alta",' RIESGOS DE GESTION'!#REF!="Mayor"),CONCATENATE("R9C",' RIESGOS DE GESTION'!#REF!),"")</f>
        <v>#REF!</v>
      </c>
      <c r="AE24" s="27" t="e">
        <f>IF(AND(' RIESGOS DE GESTION'!#REF!="Alta",' RIESGOS DE GESTION'!#REF!="Mayor"),CONCATENATE("R9C",' RIESGOS DE GESTION'!#REF!),"")</f>
        <v>#REF!</v>
      </c>
      <c r="AF24" s="27"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7"/>
      <c r="AO24" s="636"/>
      <c r="AP24" s="637"/>
      <c r="AQ24" s="637"/>
      <c r="AR24" s="637"/>
      <c r="AS24" s="637"/>
      <c r="AT24" s="638"/>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c r="BT24" s="57"/>
      <c r="BU24" s="57"/>
      <c r="BV24" s="57"/>
      <c r="BW24" s="57"/>
      <c r="BX24" s="57"/>
    </row>
    <row r="25" spans="1:76" ht="15.75" customHeight="1" thickBot="1" x14ac:dyDescent="0.3">
      <c r="A25" s="57"/>
      <c r="B25" s="547"/>
      <c r="C25" s="547"/>
      <c r="D25" s="548"/>
      <c r="E25" s="647"/>
      <c r="F25" s="648"/>
      <c r="G25" s="648"/>
      <c r="H25" s="648"/>
      <c r="I25" s="648"/>
      <c r="J25" s="44" t="e">
        <f>IF(AND(' RIESGOS DE GESTION'!#REF!="Alta",' RIESGOS DE GESTION'!#REF!="Leve"),CONCATENATE("R10C",' RIESGOS DE GESTION'!#REF!),"")</f>
        <v>#REF!</v>
      </c>
      <c r="K25" s="45" t="e">
        <f>IF(AND(' RIESGOS DE GESTION'!#REF!="Alta",' RIESGOS DE GESTION'!#REF!="Leve"),CONCATENATE("R10C",' RIESGOS DE GESTION'!#REF!),"")</f>
        <v>#REF!</v>
      </c>
      <c r="L25" s="45" t="e">
        <f>IF(AND(' RIESGOS DE GESTION'!#REF!="Alta",' RIESGOS DE GESTION'!#REF!="Leve"),CONCATENATE("R10C",' RIESGOS DE GESTION'!#REF!),"")</f>
        <v>#REF!</v>
      </c>
      <c r="M25" s="45" t="e">
        <f>IF(AND(' RIESGOS DE GESTION'!#REF!="Alta",' RIESGOS DE GESTION'!#REF!="Leve"),CONCATENATE("R10C",' RIESGOS DE GESTION'!#REF!),"")</f>
        <v>#REF!</v>
      </c>
      <c r="N25" s="45" t="e">
        <f>IF(AND(' RIESGOS DE GESTION'!#REF!="Alta",' RIESGOS DE GESTION'!#REF!="Leve"),CONCATENATE("R10C",' RIESGOS DE GESTION'!#REF!),"")</f>
        <v>#REF!</v>
      </c>
      <c r="O25" s="46" t="e">
        <f>IF(AND(' RIESGOS DE GESTION'!#REF!="Alta",' RIESGOS DE GESTION'!#REF!="Leve"),CONCATENATE("R10C",' RIESGOS DE GESTION'!#REF!),"")</f>
        <v>#REF!</v>
      </c>
      <c r="P25" s="44" t="e">
        <f>IF(AND(' RIESGOS DE GESTION'!#REF!="Alta",' RIESGOS DE GESTION'!#REF!="Menor"),CONCATENATE("R10C",' RIESGOS DE GESTION'!#REF!),"")</f>
        <v>#REF!</v>
      </c>
      <c r="Q25" s="45" t="e">
        <f>IF(AND(' RIESGOS DE GESTION'!#REF!="Alta",' RIESGOS DE GESTION'!#REF!="Menor"),CONCATENATE("R10C",' RIESGOS DE GESTION'!#REF!),"")</f>
        <v>#REF!</v>
      </c>
      <c r="R25" s="45" t="e">
        <f>IF(AND(' RIESGOS DE GESTION'!#REF!="Alta",' RIESGOS DE GESTION'!#REF!="Menor"),CONCATENATE("R10C",' RIESGOS DE GESTION'!#REF!),"")</f>
        <v>#REF!</v>
      </c>
      <c r="S25" s="45" t="e">
        <f>IF(AND(' RIESGOS DE GESTION'!#REF!="Alta",' RIESGOS DE GESTION'!#REF!="Menor"),CONCATENATE("R10C",' RIESGOS DE GESTION'!#REF!),"")</f>
        <v>#REF!</v>
      </c>
      <c r="T25" s="45" t="e">
        <f>IF(AND(' RIESGOS DE GESTION'!#REF!="Alta",' RIESGOS DE GESTION'!#REF!="Menor"),CONCATENATE("R10C",' RIESGOS DE GESTION'!#REF!),"")</f>
        <v>#REF!</v>
      </c>
      <c r="U25" s="46" t="e">
        <f>IF(AND(' RIESGOS DE GESTION'!#REF!="Alta",' RIESGOS DE GESTION'!#REF!="Menor"),CONCATENATE("R10C",' RIESGOS DE GESTION'!#REF!),"")</f>
        <v>#REF!</v>
      </c>
      <c r="V25" s="32" t="e">
        <f>IF(AND(' RIESGOS DE GESTION'!#REF!="Alta",' RIESGOS DE GESTION'!#REF!="Moderado"),CONCATENATE("R10C",' RIESGOS DE GESTION'!#REF!),"")</f>
        <v>#REF!</v>
      </c>
      <c r="W25" s="33" t="e">
        <f>IF(AND(' RIESGOS DE GESTION'!#REF!="Alta",' RIESGOS DE GESTION'!#REF!="Moderado"),CONCATENATE("R10C",' RIESGOS DE GESTION'!#REF!),"")</f>
        <v>#REF!</v>
      </c>
      <c r="X25" s="33" t="e">
        <f>IF(AND(' RIESGOS DE GESTION'!#REF!="Alta",' RIESGOS DE GESTION'!#REF!="Moderado"),CONCATENATE("R10C",' RIESGOS DE GESTION'!#REF!),"")</f>
        <v>#REF!</v>
      </c>
      <c r="Y25" s="33" t="e">
        <f>IF(AND(' RIESGOS DE GESTION'!#REF!="Alta",' RIESGOS DE GESTION'!#REF!="Moderado"),CONCATENATE("R10C",' RIESGOS DE GESTION'!#REF!),"")</f>
        <v>#REF!</v>
      </c>
      <c r="Z25" s="33" t="e">
        <f>IF(AND(' RIESGOS DE GESTION'!#REF!="Alta",' RIESGOS DE GESTION'!#REF!="Moderado"),CONCATENATE("R10C",' RIESGOS DE GESTION'!#REF!),"")</f>
        <v>#REF!</v>
      </c>
      <c r="AA25" s="34" t="e">
        <f>IF(AND(' RIESGOS DE GESTION'!#REF!="Alta",' RIESGOS DE GESTION'!#REF!="Moderado"),CONCATENATE("R10C",' RIESGOS DE GESTION'!#REF!),"")</f>
        <v>#REF!</v>
      </c>
      <c r="AB25" s="32" t="e">
        <f>IF(AND(' RIESGOS DE GESTION'!#REF!="Alta",' RIESGOS DE GESTION'!#REF!="Mayor"),CONCATENATE("R10C",' RIESGOS DE GESTION'!#REF!),"")</f>
        <v>#REF!</v>
      </c>
      <c r="AC25" s="33" t="e">
        <f>IF(AND(' RIESGOS DE GESTION'!#REF!="Alta",' RIESGOS DE GESTION'!#REF!="Mayor"),CONCATENATE("R10C",' RIESGOS DE GESTION'!#REF!),"")</f>
        <v>#REF!</v>
      </c>
      <c r="AD25" s="33" t="e">
        <f>IF(AND(' RIESGOS DE GESTION'!#REF!="Alta",' RIESGOS DE GESTION'!#REF!="Mayor"),CONCATENATE("R10C",' RIESGOS DE GESTION'!#REF!),"")</f>
        <v>#REF!</v>
      </c>
      <c r="AE25" s="33" t="e">
        <f>IF(AND(' RIESGOS DE GESTION'!#REF!="Alta",' RIESGOS DE GESTION'!#REF!="Mayor"),CONCATENATE("R10C",' RIESGOS DE GESTION'!#REF!),"")</f>
        <v>#REF!</v>
      </c>
      <c r="AF25" s="33" t="e">
        <f>IF(AND(' RIESGOS DE GESTION'!#REF!="Alta",' RIESGOS DE GESTION'!#REF!="Mayor"),CONCATENATE("R10C",' RIESGOS DE GESTION'!#REF!),"")</f>
        <v>#REF!</v>
      </c>
      <c r="AG25" s="34" t="e">
        <f>IF(AND(' RIESGOS DE GESTION'!#REF!="Alta",' RIESGOS DE GESTION'!#REF!="Mayor"),CONCATENATE("R10C",' RIESGOS DE GESTION'!#REF!),"")</f>
        <v>#REF!</v>
      </c>
      <c r="AH25" s="35" t="e">
        <f>IF(AND(' RIESGOS DE GESTION'!#REF!="Alta",' RIESGOS DE GESTION'!#REF!="Catastrófico"),CONCATENATE("R10C",' RIESGOS DE GESTION'!#REF!),"")</f>
        <v>#REF!</v>
      </c>
      <c r="AI25" s="36" t="e">
        <f>IF(AND(' RIESGOS DE GESTION'!#REF!="Alta",' RIESGOS DE GESTION'!#REF!="Catastrófico"),CONCATENATE("R10C",' RIESGOS DE GESTION'!#REF!),"")</f>
        <v>#REF!</v>
      </c>
      <c r="AJ25" s="36" t="e">
        <f>IF(AND(' RIESGOS DE GESTION'!#REF!="Alta",' RIESGOS DE GESTION'!#REF!="Catastrófico"),CONCATENATE("R10C",' RIESGOS DE GESTION'!#REF!),"")</f>
        <v>#REF!</v>
      </c>
      <c r="AK25" s="36" t="e">
        <f>IF(AND(' RIESGOS DE GESTION'!#REF!="Alta",' RIESGOS DE GESTION'!#REF!="Catastrófico"),CONCATENATE("R10C",' RIESGOS DE GESTION'!#REF!),"")</f>
        <v>#REF!</v>
      </c>
      <c r="AL25" s="36" t="e">
        <f>IF(AND(' RIESGOS DE GESTION'!#REF!="Alta",' RIESGOS DE GESTION'!#REF!="Catastrófico"),CONCATENATE("R10C",' RIESGOS DE GESTION'!#REF!),"")</f>
        <v>#REF!</v>
      </c>
      <c r="AM25" s="37" t="e">
        <f>IF(AND(' RIESGOS DE GESTION'!#REF!="Alta",' RIESGOS DE GESTION'!#REF!="Catastrófico"),CONCATENATE("R10C",' RIESGOS DE GESTION'!#REF!),"")</f>
        <v>#REF!</v>
      </c>
      <c r="AN25" s="57"/>
      <c r="AO25" s="639"/>
      <c r="AP25" s="640"/>
      <c r="AQ25" s="640"/>
      <c r="AR25" s="640"/>
      <c r="AS25" s="640"/>
      <c r="AT25" s="641"/>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c r="BT25" s="57"/>
      <c r="BU25" s="57"/>
      <c r="BV25" s="57"/>
      <c r="BW25" s="57"/>
      <c r="BX25" s="57"/>
    </row>
    <row r="26" spans="1:76" ht="15" customHeight="1" x14ac:dyDescent="0.25">
      <c r="A26" s="57"/>
      <c r="B26" s="547"/>
      <c r="C26" s="547"/>
      <c r="D26" s="548"/>
      <c r="E26" s="642" t="s">
        <v>575</v>
      </c>
      <c r="F26" s="643"/>
      <c r="G26" s="643"/>
      <c r="H26" s="643"/>
      <c r="I26" s="660"/>
      <c r="J26" s="38" t="e">
        <f>IF(AND(' RIESGOS DE GESTION'!#REF!="Media",' RIESGOS DE GESTION'!#REF!="Leve"),CONCATENATE("R1C",' RIESGOS DE GESTION'!#REF!),"")</f>
        <v>#REF!</v>
      </c>
      <c r="K26" s="39" t="e">
        <f>IF(AND(' RIESGOS DE GESTION'!#REF!="Media",' RIESGOS DE GESTION'!#REF!="Leve"),CONCATENATE("R1C",' RIESGOS DE GESTION'!#REF!),"")</f>
        <v>#REF!</v>
      </c>
      <c r="L26" s="39" t="e">
        <f>IF(AND(' RIESGOS DE GESTION'!#REF!="Media",' RIESGOS DE GESTION'!#REF!="Leve"),CONCATENATE("R1C",' RIESGOS DE GESTION'!#REF!),"")</f>
        <v>#REF!</v>
      </c>
      <c r="M26" s="39" t="e">
        <f>IF(AND(' RIESGOS DE GESTION'!#REF!="Media",' RIESGOS DE GESTION'!#REF!="Leve"),CONCATENATE("R1C",' RIESGOS DE GESTION'!#REF!),"")</f>
        <v>#REF!</v>
      </c>
      <c r="N26" s="39" t="e">
        <f>IF(AND(' RIESGOS DE GESTION'!#REF!="Media",' RIESGOS DE GESTION'!#REF!="Leve"),CONCATENATE("R1C",' RIESGOS DE GESTION'!#REF!),"")</f>
        <v>#REF!</v>
      </c>
      <c r="O26" s="40" t="e">
        <f>IF(AND(' RIESGOS DE GESTION'!#REF!="Media",' RIESGOS DE GESTION'!#REF!="Leve"),CONCATENATE("R1C",' RIESGOS DE GESTION'!#REF!),"")</f>
        <v>#REF!</v>
      </c>
      <c r="P26" s="38" t="e">
        <f>IF(AND(' RIESGOS DE GESTION'!#REF!="Media",' RIESGOS DE GESTION'!#REF!="Menor"),CONCATENATE("R1C",' RIESGOS DE GESTION'!#REF!),"")</f>
        <v>#REF!</v>
      </c>
      <c r="Q26" s="39" t="e">
        <f>IF(AND(' RIESGOS DE GESTION'!#REF!="Media",' RIESGOS DE GESTION'!#REF!="Menor"),CONCATENATE("R1C",' RIESGOS DE GESTION'!#REF!),"")</f>
        <v>#REF!</v>
      </c>
      <c r="R26" s="39" t="e">
        <f>IF(AND(' RIESGOS DE GESTION'!#REF!="Media",' RIESGOS DE GESTION'!#REF!="Menor"),CONCATENATE("R1C",' RIESGOS DE GESTION'!#REF!),"")</f>
        <v>#REF!</v>
      </c>
      <c r="S26" s="39" t="e">
        <f>IF(AND(' RIESGOS DE GESTION'!#REF!="Media",' RIESGOS DE GESTION'!#REF!="Menor"),CONCATENATE("R1C",' RIESGOS DE GESTION'!#REF!),"")</f>
        <v>#REF!</v>
      </c>
      <c r="T26" s="39" t="e">
        <f>IF(AND(' RIESGOS DE GESTION'!#REF!="Media",' RIESGOS DE GESTION'!#REF!="Menor"),CONCATENATE("R1C",' RIESGOS DE GESTION'!#REF!),"")</f>
        <v>#REF!</v>
      </c>
      <c r="U26" s="40" t="e">
        <f>IF(AND(' RIESGOS DE GESTION'!#REF!="Media",' RIESGOS DE GESTION'!#REF!="Menor"),CONCATENATE("R1C",' RIESGOS DE GESTION'!#REF!),"")</f>
        <v>#REF!</v>
      </c>
      <c r="V26" s="38" t="e">
        <f>IF(AND(' RIESGOS DE GESTION'!#REF!="Media",' RIESGOS DE GESTION'!#REF!="Moderado"),CONCATENATE("R1C",' RIESGOS DE GESTION'!#REF!),"")</f>
        <v>#REF!</v>
      </c>
      <c r="W26" s="39" t="e">
        <f>IF(AND(' RIESGOS DE GESTION'!#REF!="Media",' RIESGOS DE GESTION'!#REF!="Moderado"),CONCATENATE("R1C",' RIESGOS DE GESTION'!#REF!),"")</f>
        <v>#REF!</v>
      </c>
      <c r="X26" s="39" t="e">
        <f>IF(AND(' RIESGOS DE GESTION'!#REF!="Media",' RIESGOS DE GESTION'!#REF!="Moderado"),CONCATENATE("R1C",' RIESGOS DE GESTION'!#REF!),"")</f>
        <v>#REF!</v>
      </c>
      <c r="Y26" s="39" t="e">
        <f>IF(AND(' RIESGOS DE GESTION'!#REF!="Media",' RIESGOS DE GESTION'!#REF!="Moderado"),CONCATENATE("R1C",' RIESGOS DE GESTION'!#REF!),"")</f>
        <v>#REF!</v>
      </c>
      <c r="Z26" s="39" t="e">
        <f>IF(AND(' RIESGOS DE GESTION'!#REF!="Media",' RIESGOS DE GESTION'!#REF!="Moderado"),CONCATENATE("R1C",' RIESGOS DE GESTION'!#REF!),"")</f>
        <v>#REF!</v>
      </c>
      <c r="AA26" s="40"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7"/>
      <c r="AO26" s="672" t="s">
        <v>576</v>
      </c>
      <c r="AP26" s="673"/>
      <c r="AQ26" s="673"/>
      <c r="AR26" s="673"/>
      <c r="AS26" s="673"/>
      <c r="AT26" s="674"/>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row>
    <row r="27" spans="1:76" ht="15" customHeight="1" x14ac:dyDescent="0.25">
      <c r="A27" s="57"/>
      <c r="B27" s="547"/>
      <c r="C27" s="547"/>
      <c r="D27" s="548"/>
      <c r="E27" s="644"/>
      <c r="F27" s="645"/>
      <c r="G27" s="645"/>
      <c r="H27" s="645"/>
      <c r="I27" s="661"/>
      <c r="J27" s="41" t="e">
        <f>IF(AND(' RIESGOS DE GESTION'!#REF!="Media",' RIESGOS DE GESTION'!#REF!="Leve"),CONCATENATE("R2C",' RIESGOS DE GESTION'!#REF!),"")</f>
        <v>#REF!</v>
      </c>
      <c r="K27" s="42" t="e">
        <f>IF(AND(' RIESGOS DE GESTION'!#REF!="Media",' RIESGOS DE GESTION'!#REF!="Leve"),CONCATENATE("R2C",' RIESGOS DE GESTION'!#REF!),"")</f>
        <v>#REF!</v>
      </c>
      <c r="L27" s="42" t="e">
        <f>IF(AND(' RIESGOS DE GESTION'!#REF!="Media",' RIESGOS DE GESTION'!#REF!="Leve"),CONCATENATE("R2C",' RIESGOS DE GESTION'!#REF!),"")</f>
        <v>#REF!</v>
      </c>
      <c r="M27" s="42" t="e">
        <f>IF(AND(' RIESGOS DE GESTION'!#REF!="Media",' RIESGOS DE GESTION'!#REF!="Leve"),CONCATENATE("R2C",' RIESGOS DE GESTION'!#REF!),"")</f>
        <v>#REF!</v>
      </c>
      <c r="N27" s="42" t="e">
        <f>IF(AND(' RIESGOS DE GESTION'!#REF!="Media",' RIESGOS DE GESTION'!#REF!="Leve"),CONCATENATE("R2C",' RIESGOS DE GESTION'!#REF!),"")</f>
        <v>#REF!</v>
      </c>
      <c r="O27" s="43" t="e">
        <f>IF(AND(' RIESGOS DE GESTION'!#REF!="Media",' RIESGOS DE GESTION'!#REF!="Leve"),CONCATENATE("R2C",' RIESGOS DE GESTION'!#REF!),"")</f>
        <v>#REF!</v>
      </c>
      <c r="P27" s="41" t="e">
        <f>IF(AND(' RIESGOS DE GESTION'!#REF!="Media",' RIESGOS DE GESTION'!#REF!="Menor"),CONCATENATE("R2C",' RIESGOS DE GESTION'!#REF!),"")</f>
        <v>#REF!</v>
      </c>
      <c r="Q27" s="42" t="e">
        <f>IF(AND(' RIESGOS DE GESTION'!#REF!="Media",' RIESGOS DE GESTION'!#REF!="Menor"),CONCATENATE("R2C",' RIESGOS DE GESTION'!#REF!),"")</f>
        <v>#REF!</v>
      </c>
      <c r="R27" s="42" t="e">
        <f>IF(AND(' RIESGOS DE GESTION'!#REF!="Media",' RIESGOS DE GESTION'!#REF!="Menor"),CONCATENATE("R2C",' RIESGOS DE GESTION'!#REF!),"")</f>
        <v>#REF!</v>
      </c>
      <c r="S27" s="42" t="e">
        <f>IF(AND(' RIESGOS DE GESTION'!#REF!="Media",' RIESGOS DE GESTION'!#REF!="Menor"),CONCATENATE("R2C",' RIESGOS DE GESTION'!#REF!),"")</f>
        <v>#REF!</v>
      </c>
      <c r="T27" s="42" t="e">
        <f>IF(AND(' RIESGOS DE GESTION'!#REF!="Media",' RIESGOS DE GESTION'!#REF!="Menor"),CONCATENATE("R2C",' RIESGOS DE GESTION'!#REF!),"")</f>
        <v>#REF!</v>
      </c>
      <c r="U27" s="43" t="e">
        <f>IF(AND(' RIESGOS DE GESTION'!#REF!="Media",' RIESGOS DE GESTION'!#REF!="Menor"),CONCATENATE("R2C",' RIESGOS DE GESTION'!#REF!),"")</f>
        <v>#REF!</v>
      </c>
      <c r="V27" s="41" t="e">
        <f>IF(AND(' RIESGOS DE GESTION'!#REF!="Media",' RIESGOS DE GESTION'!#REF!="Moderado"),CONCATENATE("R2C",' RIESGOS DE GESTION'!#REF!),"")</f>
        <v>#REF!</v>
      </c>
      <c r="W27" s="42" t="e">
        <f>IF(AND(' RIESGOS DE GESTION'!#REF!="Media",' RIESGOS DE GESTION'!#REF!="Moderado"),CONCATENATE("R2C",' RIESGOS DE GESTION'!#REF!),"")</f>
        <v>#REF!</v>
      </c>
      <c r="X27" s="42" t="e">
        <f>IF(AND(' RIESGOS DE GESTION'!#REF!="Media",' RIESGOS DE GESTION'!#REF!="Moderado"),CONCATENATE("R2C",' RIESGOS DE GESTION'!#REF!),"")</f>
        <v>#REF!</v>
      </c>
      <c r="Y27" s="42" t="e">
        <f>IF(AND(' RIESGOS DE GESTION'!#REF!="Media",' RIESGOS DE GESTION'!#REF!="Moderado"),CONCATENATE("R2C",' RIESGOS DE GESTION'!#REF!),"")</f>
        <v>#REF!</v>
      </c>
      <c r="Z27" s="42" t="e">
        <f>IF(AND(' RIESGOS DE GESTION'!#REF!="Media",' RIESGOS DE GESTION'!#REF!="Moderado"),CONCATENATE("R2C",' RIESGOS DE GESTION'!#REF!),"")</f>
        <v>#REF!</v>
      </c>
      <c r="AA27" s="43"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7"/>
      <c r="AO27" s="675"/>
      <c r="AP27" s="676"/>
      <c r="AQ27" s="676"/>
      <c r="AR27" s="676"/>
      <c r="AS27" s="676"/>
      <c r="AT27" s="67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row>
    <row r="28" spans="1:76" ht="15" customHeight="1" x14ac:dyDescent="0.25">
      <c r="A28" s="57"/>
      <c r="B28" s="547"/>
      <c r="C28" s="547"/>
      <c r="D28" s="548"/>
      <c r="E28" s="646"/>
      <c r="F28" s="645"/>
      <c r="G28" s="645"/>
      <c r="H28" s="645"/>
      <c r="I28" s="661"/>
      <c r="J28" s="41" t="e">
        <f>IF(AND(' RIESGOS DE GESTION'!#REF!="Media",' RIESGOS DE GESTION'!#REF!="Leve"),CONCATENATE("R3C",' RIESGOS DE GESTION'!#REF!),"")</f>
        <v>#REF!</v>
      </c>
      <c r="K28" s="42" t="e">
        <f>IF(AND(' RIESGOS DE GESTION'!#REF!="Media",' RIESGOS DE GESTION'!#REF!="Leve"),CONCATENATE("R3C",' RIESGOS DE GESTION'!#REF!),"")</f>
        <v>#REF!</v>
      </c>
      <c r="L28" s="42" t="e">
        <f>IF(AND(' RIESGOS DE GESTION'!#REF!="Media",' RIESGOS DE GESTION'!#REF!="Leve"),CONCATENATE("R3C",' RIESGOS DE GESTION'!#REF!),"")</f>
        <v>#REF!</v>
      </c>
      <c r="M28" s="42" t="e">
        <f>IF(AND(' RIESGOS DE GESTION'!#REF!="Media",' RIESGOS DE GESTION'!#REF!="Leve"),CONCATENATE("R3C",' RIESGOS DE GESTION'!#REF!),"")</f>
        <v>#REF!</v>
      </c>
      <c r="N28" s="42" t="e">
        <f>IF(AND(' RIESGOS DE GESTION'!#REF!="Media",' RIESGOS DE GESTION'!#REF!="Leve"),CONCATENATE("R3C",' RIESGOS DE GESTION'!#REF!),"")</f>
        <v>#REF!</v>
      </c>
      <c r="O28" s="43" t="e">
        <f>IF(AND(' RIESGOS DE GESTION'!#REF!="Media",' RIESGOS DE GESTION'!#REF!="Leve"),CONCATENATE("R3C",' RIESGOS DE GESTION'!#REF!),"")</f>
        <v>#REF!</v>
      </c>
      <c r="P28" s="41" t="e">
        <f>IF(AND(' RIESGOS DE GESTION'!#REF!="Media",' RIESGOS DE GESTION'!#REF!="Menor"),CONCATENATE("R3C",' RIESGOS DE GESTION'!#REF!),"")</f>
        <v>#REF!</v>
      </c>
      <c r="Q28" s="42" t="e">
        <f>IF(AND(' RIESGOS DE GESTION'!#REF!="Media",' RIESGOS DE GESTION'!#REF!="Menor"),CONCATENATE("R3C",' RIESGOS DE GESTION'!#REF!),"")</f>
        <v>#REF!</v>
      </c>
      <c r="R28" s="42" t="e">
        <f>IF(AND(' RIESGOS DE GESTION'!#REF!="Media",' RIESGOS DE GESTION'!#REF!="Menor"),CONCATENATE("R3C",' RIESGOS DE GESTION'!#REF!),"")</f>
        <v>#REF!</v>
      </c>
      <c r="S28" s="42" t="e">
        <f>IF(AND(' RIESGOS DE GESTION'!#REF!="Media",' RIESGOS DE GESTION'!#REF!="Menor"),CONCATENATE("R3C",' RIESGOS DE GESTION'!#REF!),"")</f>
        <v>#REF!</v>
      </c>
      <c r="T28" s="42" t="e">
        <f>IF(AND(' RIESGOS DE GESTION'!#REF!="Media",' RIESGOS DE GESTION'!#REF!="Menor"),CONCATENATE("R3C",' RIESGOS DE GESTION'!#REF!),"")</f>
        <v>#REF!</v>
      </c>
      <c r="U28" s="43" t="e">
        <f>IF(AND(' RIESGOS DE GESTION'!#REF!="Media",' RIESGOS DE GESTION'!#REF!="Menor"),CONCATENATE("R3C",' RIESGOS DE GESTION'!#REF!),"")</f>
        <v>#REF!</v>
      </c>
      <c r="V28" s="41" t="e">
        <f>IF(AND(' RIESGOS DE GESTION'!#REF!="Media",' RIESGOS DE GESTION'!#REF!="Moderado"),CONCATENATE("R3C",' RIESGOS DE GESTION'!#REF!),"")</f>
        <v>#REF!</v>
      </c>
      <c r="W28" s="42" t="e">
        <f>IF(AND(' RIESGOS DE GESTION'!#REF!="Media",' RIESGOS DE GESTION'!#REF!="Moderado"),CONCATENATE("R3C",' RIESGOS DE GESTION'!#REF!),"")</f>
        <v>#REF!</v>
      </c>
      <c r="X28" s="42" t="e">
        <f>IF(AND(' RIESGOS DE GESTION'!#REF!="Media",' RIESGOS DE GESTION'!#REF!="Moderado"),CONCATENATE("R3C",' RIESGOS DE GESTION'!#REF!),"")</f>
        <v>#REF!</v>
      </c>
      <c r="Y28" s="42" t="e">
        <f>IF(AND(' RIESGOS DE GESTION'!#REF!="Media",' RIESGOS DE GESTION'!#REF!="Moderado"),CONCATENATE("R3C",' RIESGOS DE GESTION'!#REF!),"")</f>
        <v>#REF!</v>
      </c>
      <c r="Z28" s="42" t="e">
        <f>IF(AND(' RIESGOS DE GESTION'!#REF!="Media",' RIESGOS DE GESTION'!#REF!="Moderado"),CONCATENATE("R3C",' RIESGOS DE GESTION'!#REF!),"")</f>
        <v>#REF!</v>
      </c>
      <c r="AA28" s="43"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7"/>
      <c r="AO28" s="675"/>
      <c r="AP28" s="676"/>
      <c r="AQ28" s="676"/>
      <c r="AR28" s="676"/>
      <c r="AS28" s="676"/>
      <c r="AT28" s="67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row>
    <row r="29" spans="1:76" ht="15" customHeight="1" x14ac:dyDescent="0.25">
      <c r="A29" s="57"/>
      <c r="B29" s="547"/>
      <c r="C29" s="547"/>
      <c r="D29" s="548"/>
      <c r="E29" s="646"/>
      <c r="F29" s="645"/>
      <c r="G29" s="645"/>
      <c r="H29" s="645"/>
      <c r="I29" s="661"/>
      <c r="J29" s="41" t="e">
        <f>IF(AND(' RIESGOS DE GESTION'!#REF!="Media",' RIESGOS DE GESTION'!#REF!="Leve"),CONCATENATE("R4C",' RIESGOS DE GESTION'!#REF!),"")</f>
        <v>#REF!</v>
      </c>
      <c r="K29" s="42" t="e">
        <f>IF(AND(' RIESGOS DE GESTION'!#REF!="Media",' RIESGOS DE GESTION'!#REF!="Leve"),CONCATENATE("R4C",' RIESGOS DE GESTION'!#REF!),"")</f>
        <v>#REF!</v>
      </c>
      <c r="L29" s="42" t="e">
        <f>IF(AND(' RIESGOS DE GESTION'!#REF!="Media",' RIESGOS DE GESTION'!#REF!="Leve"),CONCATENATE("R4C",' RIESGOS DE GESTION'!#REF!),"")</f>
        <v>#REF!</v>
      </c>
      <c r="M29" s="42" t="e">
        <f>IF(AND(' RIESGOS DE GESTION'!#REF!="Media",' RIESGOS DE GESTION'!#REF!="Leve"),CONCATENATE("R4C",' RIESGOS DE GESTION'!#REF!),"")</f>
        <v>#REF!</v>
      </c>
      <c r="N29" s="42" t="e">
        <f>IF(AND(' RIESGOS DE GESTION'!#REF!="Media",' RIESGOS DE GESTION'!#REF!="Leve"),CONCATENATE("R4C",' RIESGOS DE GESTION'!#REF!),"")</f>
        <v>#REF!</v>
      </c>
      <c r="O29" s="43" t="e">
        <f>IF(AND(' RIESGOS DE GESTION'!#REF!="Media",' RIESGOS DE GESTION'!#REF!="Leve"),CONCATENATE("R4C",' RIESGOS DE GESTION'!#REF!),"")</f>
        <v>#REF!</v>
      </c>
      <c r="P29" s="41" t="e">
        <f>IF(AND(' RIESGOS DE GESTION'!#REF!="Media",' RIESGOS DE GESTION'!#REF!="Menor"),CONCATENATE("R4C",' RIESGOS DE GESTION'!#REF!),"")</f>
        <v>#REF!</v>
      </c>
      <c r="Q29" s="42" t="e">
        <f>IF(AND(' RIESGOS DE GESTION'!#REF!="Media",' RIESGOS DE GESTION'!#REF!="Menor"),CONCATENATE("R4C",' RIESGOS DE GESTION'!#REF!),"")</f>
        <v>#REF!</v>
      </c>
      <c r="R29" s="42" t="e">
        <f>IF(AND(' RIESGOS DE GESTION'!#REF!="Media",' RIESGOS DE GESTION'!#REF!="Menor"),CONCATENATE("R4C",' RIESGOS DE GESTION'!#REF!),"")</f>
        <v>#REF!</v>
      </c>
      <c r="S29" s="42" t="e">
        <f>IF(AND(' RIESGOS DE GESTION'!#REF!="Media",' RIESGOS DE GESTION'!#REF!="Menor"),CONCATENATE("R4C",' RIESGOS DE GESTION'!#REF!),"")</f>
        <v>#REF!</v>
      </c>
      <c r="T29" s="42" t="e">
        <f>IF(AND(' RIESGOS DE GESTION'!#REF!="Media",' RIESGOS DE GESTION'!#REF!="Menor"),CONCATENATE("R4C",' RIESGOS DE GESTION'!#REF!),"")</f>
        <v>#REF!</v>
      </c>
      <c r="U29" s="43" t="e">
        <f>IF(AND(' RIESGOS DE GESTION'!#REF!="Media",' RIESGOS DE GESTION'!#REF!="Menor"),CONCATENATE("R4C",' RIESGOS DE GESTION'!#REF!),"")</f>
        <v>#REF!</v>
      </c>
      <c r="V29" s="41" t="e">
        <f>IF(AND(' RIESGOS DE GESTION'!#REF!="Media",' RIESGOS DE GESTION'!#REF!="Moderado"),CONCATENATE("R4C",' RIESGOS DE GESTION'!#REF!),"")</f>
        <v>#REF!</v>
      </c>
      <c r="W29" s="42" t="e">
        <f>IF(AND(' RIESGOS DE GESTION'!#REF!="Media",' RIESGOS DE GESTION'!#REF!="Moderado"),CONCATENATE("R4C",' RIESGOS DE GESTION'!#REF!),"")</f>
        <v>#REF!</v>
      </c>
      <c r="X29" s="42" t="e">
        <f>IF(AND(' RIESGOS DE GESTION'!#REF!="Media",' RIESGOS DE GESTION'!#REF!="Moderado"),CONCATENATE("R4C",' RIESGOS DE GESTION'!#REF!),"")</f>
        <v>#REF!</v>
      </c>
      <c r="Y29" s="42" t="e">
        <f>IF(AND(' RIESGOS DE GESTION'!#REF!="Media",' RIESGOS DE GESTION'!#REF!="Moderado"),CONCATENATE("R4C",' RIESGOS DE GESTION'!#REF!),"")</f>
        <v>#REF!</v>
      </c>
      <c r="Z29" s="42" t="e">
        <f>IF(AND(' RIESGOS DE GESTION'!#REF!="Media",' RIESGOS DE GESTION'!#REF!="Moderado"),CONCATENATE("R4C",' RIESGOS DE GESTION'!#REF!),"")</f>
        <v>#REF!</v>
      </c>
      <c r="AA29" s="43"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27" t="e">
        <f>IF(AND(' RIESGOS DE GESTION'!#REF!="Media",' RIESGOS DE GESTION'!#REF!="Mayor"),CONCATENATE("R4C",' RIESGOS DE GESTION'!#REF!),"")</f>
        <v>#REF!</v>
      </c>
      <c r="AE29" s="27" t="e">
        <f>IF(AND(' RIESGOS DE GESTION'!#REF!="Media",' RIESGOS DE GESTION'!#REF!="Mayor"),CONCATENATE("R4C",' RIESGOS DE GESTION'!#REF!),"")</f>
        <v>#REF!</v>
      </c>
      <c r="AF29" s="27"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7"/>
      <c r="AO29" s="675"/>
      <c r="AP29" s="676"/>
      <c r="AQ29" s="676"/>
      <c r="AR29" s="676"/>
      <c r="AS29" s="676"/>
      <c r="AT29" s="67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row>
    <row r="30" spans="1:76" ht="15" customHeight="1" x14ac:dyDescent="0.25">
      <c r="A30" s="57"/>
      <c r="B30" s="547"/>
      <c r="C30" s="547"/>
      <c r="D30" s="548"/>
      <c r="E30" s="646"/>
      <c r="F30" s="645"/>
      <c r="G30" s="645"/>
      <c r="H30" s="645"/>
      <c r="I30" s="661"/>
      <c r="J30" s="41" t="e">
        <f>IF(AND(' RIESGOS DE GESTION'!#REF!="Media",' RIESGOS DE GESTION'!#REF!="Leve"),CONCATENATE("R5C",' RIESGOS DE GESTION'!#REF!),"")</f>
        <v>#REF!</v>
      </c>
      <c r="K30" s="42" t="e">
        <f>IF(AND(' RIESGOS DE GESTION'!#REF!="Media",' RIESGOS DE GESTION'!#REF!="Leve"),CONCATENATE("R5C",' RIESGOS DE GESTION'!#REF!),"")</f>
        <v>#REF!</v>
      </c>
      <c r="L30" s="42" t="e">
        <f>IF(AND(' RIESGOS DE GESTION'!#REF!="Media",' RIESGOS DE GESTION'!#REF!="Leve"),CONCATENATE("R5C",' RIESGOS DE GESTION'!#REF!),"")</f>
        <v>#REF!</v>
      </c>
      <c r="M30" s="42" t="e">
        <f>IF(AND(' RIESGOS DE GESTION'!#REF!="Media",' RIESGOS DE GESTION'!#REF!="Leve"),CONCATENATE("R5C",' RIESGOS DE GESTION'!#REF!),"")</f>
        <v>#REF!</v>
      </c>
      <c r="N30" s="42" t="e">
        <f>IF(AND(' RIESGOS DE GESTION'!#REF!="Media",' RIESGOS DE GESTION'!#REF!="Leve"),CONCATENATE("R5C",' RIESGOS DE GESTION'!#REF!),"")</f>
        <v>#REF!</v>
      </c>
      <c r="O30" s="43" t="e">
        <f>IF(AND(' RIESGOS DE GESTION'!#REF!="Media",' RIESGOS DE GESTION'!#REF!="Leve"),CONCATENATE("R5C",' RIESGOS DE GESTION'!#REF!),"")</f>
        <v>#REF!</v>
      </c>
      <c r="P30" s="41" t="e">
        <f>IF(AND(' RIESGOS DE GESTION'!#REF!="Media",' RIESGOS DE GESTION'!#REF!="Menor"),CONCATENATE("R5C",' RIESGOS DE GESTION'!#REF!),"")</f>
        <v>#REF!</v>
      </c>
      <c r="Q30" s="42" t="e">
        <f>IF(AND(' RIESGOS DE GESTION'!#REF!="Media",' RIESGOS DE GESTION'!#REF!="Menor"),CONCATENATE("R5C",' RIESGOS DE GESTION'!#REF!),"")</f>
        <v>#REF!</v>
      </c>
      <c r="R30" s="42" t="e">
        <f>IF(AND(' RIESGOS DE GESTION'!#REF!="Media",' RIESGOS DE GESTION'!#REF!="Menor"),CONCATENATE("R5C",' RIESGOS DE GESTION'!#REF!),"")</f>
        <v>#REF!</v>
      </c>
      <c r="S30" s="42" t="e">
        <f>IF(AND(' RIESGOS DE GESTION'!#REF!="Media",' RIESGOS DE GESTION'!#REF!="Menor"),CONCATENATE("R5C",' RIESGOS DE GESTION'!#REF!),"")</f>
        <v>#REF!</v>
      </c>
      <c r="T30" s="42" t="e">
        <f>IF(AND(' RIESGOS DE GESTION'!#REF!="Media",' RIESGOS DE GESTION'!#REF!="Menor"),CONCATENATE("R5C",' RIESGOS DE GESTION'!#REF!),"")</f>
        <v>#REF!</v>
      </c>
      <c r="U30" s="43" t="e">
        <f>IF(AND(' RIESGOS DE GESTION'!#REF!="Media",' RIESGOS DE GESTION'!#REF!="Menor"),CONCATENATE("R5C",' RIESGOS DE GESTION'!#REF!),"")</f>
        <v>#REF!</v>
      </c>
      <c r="V30" s="41" t="e">
        <f>IF(AND(' RIESGOS DE GESTION'!#REF!="Media",' RIESGOS DE GESTION'!#REF!="Moderado"),CONCATENATE("R5C",' RIESGOS DE GESTION'!#REF!),"")</f>
        <v>#REF!</v>
      </c>
      <c r="W30" s="42" t="e">
        <f>IF(AND(' RIESGOS DE GESTION'!#REF!="Media",' RIESGOS DE GESTION'!#REF!="Moderado"),CONCATENATE("R5C",' RIESGOS DE GESTION'!#REF!),"")</f>
        <v>#REF!</v>
      </c>
      <c r="X30" s="42" t="e">
        <f>IF(AND(' RIESGOS DE GESTION'!#REF!="Media",' RIESGOS DE GESTION'!#REF!="Moderado"),CONCATENATE("R5C",' RIESGOS DE GESTION'!#REF!),"")</f>
        <v>#REF!</v>
      </c>
      <c r="Y30" s="42" t="e">
        <f>IF(AND(' RIESGOS DE GESTION'!#REF!="Media",' RIESGOS DE GESTION'!#REF!="Moderado"),CONCATENATE("R5C",' RIESGOS DE GESTION'!#REF!),"")</f>
        <v>#REF!</v>
      </c>
      <c r="Z30" s="42" t="e">
        <f>IF(AND(' RIESGOS DE GESTION'!#REF!="Media",' RIESGOS DE GESTION'!#REF!="Moderado"),CONCATENATE("R5C",' RIESGOS DE GESTION'!#REF!),"")</f>
        <v>#REF!</v>
      </c>
      <c r="AA30" s="43"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27" t="e">
        <f>IF(AND(' RIESGOS DE GESTION'!#REF!="Media",' RIESGOS DE GESTION'!#REF!="Mayor"),CONCATENATE("R5C",' RIESGOS DE GESTION'!#REF!),"")</f>
        <v>#REF!</v>
      </c>
      <c r="AE30" s="27" t="e">
        <f>IF(AND(' RIESGOS DE GESTION'!#REF!="Media",' RIESGOS DE GESTION'!#REF!="Mayor"),CONCATENATE("R5C",' RIESGOS DE GESTION'!#REF!),"")</f>
        <v>#REF!</v>
      </c>
      <c r="AF30" s="27"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7"/>
      <c r="AO30" s="675"/>
      <c r="AP30" s="676"/>
      <c r="AQ30" s="676"/>
      <c r="AR30" s="676"/>
      <c r="AS30" s="676"/>
      <c r="AT30" s="67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row>
    <row r="31" spans="1:76" ht="15" customHeight="1" x14ac:dyDescent="0.25">
      <c r="A31" s="57"/>
      <c r="B31" s="547"/>
      <c r="C31" s="547"/>
      <c r="D31" s="548"/>
      <c r="E31" s="646"/>
      <c r="F31" s="645"/>
      <c r="G31" s="645"/>
      <c r="H31" s="645"/>
      <c r="I31" s="661"/>
      <c r="J31" s="41" t="e">
        <f>IF(AND(' RIESGOS DE GESTION'!#REF!="Media",' RIESGOS DE GESTION'!#REF!="Leve"),CONCATENATE("R6C",' RIESGOS DE GESTION'!#REF!),"")</f>
        <v>#REF!</v>
      </c>
      <c r="K31" s="42" t="e">
        <f>IF(AND(' RIESGOS DE GESTION'!#REF!="Media",' RIESGOS DE GESTION'!#REF!="Leve"),CONCATENATE("R6C",' RIESGOS DE GESTION'!#REF!),"")</f>
        <v>#REF!</v>
      </c>
      <c r="L31" s="42" t="e">
        <f>IF(AND(' RIESGOS DE GESTION'!#REF!="Media",' RIESGOS DE GESTION'!#REF!="Leve"),CONCATENATE("R6C",' RIESGOS DE GESTION'!#REF!),"")</f>
        <v>#REF!</v>
      </c>
      <c r="M31" s="42" t="e">
        <f>IF(AND(' RIESGOS DE GESTION'!#REF!="Media",' RIESGOS DE GESTION'!#REF!="Leve"),CONCATENATE("R6C",' RIESGOS DE GESTION'!#REF!),"")</f>
        <v>#REF!</v>
      </c>
      <c r="N31" s="42" t="e">
        <f>IF(AND(' RIESGOS DE GESTION'!#REF!="Media",' RIESGOS DE GESTION'!#REF!="Leve"),CONCATENATE("R6C",' RIESGOS DE GESTION'!#REF!),"")</f>
        <v>#REF!</v>
      </c>
      <c r="O31" s="43" t="e">
        <f>IF(AND(' RIESGOS DE GESTION'!#REF!="Media",' RIESGOS DE GESTION'!#REF!="Leve"),CONCATENATE("R6C",' RIESGOS DE GESTION'!#REF!),"")</f>
        <v>#REF!</v>
      </c>
      <c r="P31" s="41" t="e">
        <f>IF(AND(' RIESGOS DE GESTION'!#REF!="Media",' RIESGOS DE GESTION'!#REF!="Menor"),CONCATENATE("R6C",' RIESGOS DE GESTION'!#REF!),"")</f>
        <v>#REF!</v>
      </c>
      <c r="Q31" s="42" t="e">
        <f>IF(AND(' RIESGOS DE GESTION'!#REF!="Media",' RIESGOS DE GESTION'!#REF!="Menor"),CONCATENATE("R6C",' RIESGOS DE GESTION'!#REF!),"")</f>
        <v>#REF!</v>
      </c>
      <c r="R31" s="42" t="e">
        <f>IF(AND(' RIESGOS DE GESTION'!#REF!="Media",' RIESGOS DE GESTION'!#REF!="Menor"),CONCATENATE("R6C",' RIESGOS DE GESTION'!#REF!),"")</f>
        <v>#REF!</v>
      </c>
      <c r="S31" s="42" t="e">
        <f>IF(AND(' RIESGOS DE GESTION'!#REF!="Media",' RIESGOS DE GESTION'!#REF!="Menor"),CONCATENATE("R6C",' RIESGOS DE GESTION'!#REF!),"")</f>
        <v>#REF!</v>
      </c>
      <c r="T31" s="42" t="e">
        <f>IF(AND(' RIESGOS DE GESTION'!#REF!="Media",' RIESGOS DE GESTION'!#REF!="Menor"),CONCATENATE("R6C",' RIESGOS DE GESTION'!#REF!),"")</f>
        <v>#REF!</v>
      </c>
      <c r="U31" s="43" t="e">
        <f>IF(AND(' RIESGOS DE GESTION'!#REF!="Media",' RIESGOS DE GESTION'!#REF!="Menor"),CONCATENATE("R6C",' RIESGOS DE GESTION'!#REF!),"")</f>
        <v>#REF!</v>
      </c>
      <c r="V31" s="41" t="e">
        <f>IF(AND(' RIESGOS DE GESTION'!#REF!="Media",' RIESGOS DE GESTION'!#REF!="Moderado"),CONCATENATE("R6C",' RIESGOS DE GESTION'!#REF!),"")</f>
        <v>#REF!</v>
      </c>
      <c r="W31" s="42" t="e">
        <f>IF(AND(' RIESGOS DE GESTION'!#REF!="Media",' RIESGOS DE GESTION'!#REF!="Moderado"),CONCATENATE("R6C",' RIESGOS DE GESTION'!#REF!),"")</f>
        <v>#REF!</v>
      </c>
      <c r="X31" s="42" t="e">
        <f>IF(AND(' RIESGOS DE GESTION'!#REF!="Media",' RIESGOS DE GESTION'!#REF!="Moderado"),CONCATENATE("R6C",' RIESGOS DE GESTION'!#REF!),"")</f>
        <v>#REF!</v>
      </c>
      <c r="Y31" s="42" t="e">
        <f>IF(AND(' RIESGOS DE GESTION'!#REF!="Media",' RIESGOS DE GESTION'!#REF!="Moderado"),CONCATENATE("R6C",' RIESGOS DE GESTION'!#REF!),"")</f>
        <v>#REF!</v>
      </c>
      <c r="Z31" s="42" t="e">
        <f>IF(AND(' RIESGOS DE GESTION'!#REF!="Media",' RIESGOS DE GESTION'!#REF!="Moderado"),CONCATENATE("R6C",' RIESGOS DE GESTION'!#REF!),"")</f>
        <v>#REF!</v>
      </c>
      <c r="AA31" s="43"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27" t="e">
        <f>IF(AND(' RIESGOS DE GESTION'!#REF!="Media",' RIESGOS DE GESTION'!#REF!="Mayor"),CONCATENATE("R6C",' RIESGOS DE GESTION'!#REF!),"")</f>
        <v>#REF!</v>
      </c>
      <c r="AE31" s="27" t="e">
        <f>IF(AND(' RIESGOS DE GESTION'!#REF!="Media",' RIESGOS DE GESTION'!#REF!="Mayor"),CONCATENATE("R6C",' RIESGOS DE GESTION'!#REF!),"")</f>
        <v>#REF!</v>
      </c>
      <c r="AF31" s="27"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7"/>
      <c r="AO31" s="675"/>
      <c r="AP31" s="676"/>
      <c r="AQ31" s="676"/>
      <c r="AR31" s="676"/>
      <c r="AS31" s="676"/>
      <c r="AT31" s="67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row>
    <row r="32" spans="1:76" ht="15" customHeight="1" x14ac:dyDescent="0.25">
      <c r="A32" s="57"/>
      <c r="B32" s="547"/>
      <c r="C32" s="547"/>
      <c r="D32" s="548"/>
      <c r="E32" s="646"/>
      <c r="F32" s="645"/>
      <c r="G32" s="645"/>
      <c r="H32" s="645"/>
      <c r="I32" s="661"/>
      <c r="J32" s="41" t="e">
        <f>IF(AND(' RIESGOS DE GESTION'!#REF!="Media",' RIESGOS DE GESTION'!#REF!="Leve"),CONCATENATE("R7C",' RIESGOS DE GESTION'!#REF!),"")</f>
        <v>#REF!</v>
      </c>
      <c r="K32" s="42" t="e">
        <f>IF(AND(' RIESGOS DE GESTION'!#REF!="Media",' RIESGOS DE GESTION'!#REF!="Leve"),CONCATENATE("R7C",' RIESGOS DE GESTION'!#REF!),"")</f>
        <v>#REF!</v>
      </c>
      <c r="L32" s="42" t="e">
        <f>IF(AND(' RIESGOS DE GESTION'!#REF!="Media",' RIESGOS DE GESTION'!#REF!="Leve"),CONCATENATE("R7C",' RIESGOS DE GESTION'!#REF!),"")</f>
        <v>#REF!</v>
      </c>
      <c r="M32" s="42" t="e">
        <f>IF(AND(' RIESGOS DE GESTION'!#REF!="Media",' RIESGOS DE GESTION'!#REF!="Leve"),CONCATENATE("R7C",' RIESGOS DE GESTION'!#REF!),"")</f>
        <v>#REF!</v>
      </c>
      <c r="N32" s="42" t="e">
        <f>IF(AND(' RIESGOS DE GESTION'!#REF!="Media",' RIESGOS DE GESTION'!#REF!="Leve"),CONCATENATE("R7C",' RIESGOS DE GESTION'!#REF!),"")</f>
        <v>#REF!</v>
      </c>
      <c r="O32" s="43" t="e">
        <f>IF(AND(' RIESGOS DE GESTION'!#REF!="Media",' RIESGOS DE GESTION'!#REF!="Leve"),CONCATENATE("R7C",' RIESGOS DE GESTION'!#REF!),"")</f>
        <v>#REF!</v>
      </c>
      <c r="P32" s="41" t="e">
        <f>IF(AND(' RIESGOS DE GESTION'!#REF!="Media",' RIESGOS DE GESTION'!#REF!="Menor"),CONCATENATE("R7C",' RIESGOS DE GESTION'!#REF!),"")</f>
        <v>#REF!</v>
      </c>
      <c r="Q32" s="42" t="e">
        <f>IF(AND(' RIESGOS DE GESTION'!#REF!="Media",' RIESGOS DE GESTION'!#REF!="Menor"),CONCATENATE("R7C",' RIESGOS DE GESTION'!#REF!),"")</f>
        <v>#REF!</v>
      </c>
      <c r="R32" s="42" t="e">
        <f>IF(AND(' RIESGOS DE GESTION'!#REF!="Media",' RIESGOS DE GESTION'!#REF!="Menor"),CONCATENATE("R7C",' RIESGOS DE GESTION'!#REF!),"")</f>
        <v>#REF!</v>
      </c>
      <c r="S32" s="42" t="e">
        <f>IF(AND(' RIESGOS DE GESTION'!#REF!="Media",' RIESGOS DE GESTION'!#REF!="Menor"),CONCATENATE("R7C",' RIESGOS DE GESTION'!#REF!),"")</f>
        <v>#REF!</v>
      </c>
      <c r="T32" s="42" t="e">
        <f>IF(AND(' RIESGOS DE GESTION'!#REF!="Media",' RIESGOS DE GESTION'!#REF!="Menor"),CONCATENATE("R7C",' RIESGOS DE GESTION'!#REF!),"")</f>
        <v>#REF!</v>
      </c>
      <c r="U32" s="43" t="e">
        <f>IF(AND(' RIESGOS DE GESTION'!#REF!="Media",' RIESGOS DE GESTION'!#REF!="Menor"),CONCATENATE("R7C",' RIESGOS DE GESTION'!#REF!),"")</f>
        <v>#REF!</v>
      </c>
      <c r="V32" s="41" t="e">
        <f>IF(AND(' RIESGOS DE GESTION'!#REF!="Media",' RIESGOS DE GESTION'!#REF!="Moderado"),CONCATENATE("R7C",' RIESGOS DE GESTION'!#REF!),"")</f>
        <v>#REF!</v>
      </c>
      <c r="W32" s="42" t="e">
        <f>IF(AND(' RIESGOS DE GESTION'!#REF!="Media",' RIESGOS DE GESTION'!#REF!="Moderado"),CONCATENATE("R7C",' RIESGOS DE GESTION'!#REF!),"")</f>
        <v>#REF!</v>
      </c>
      <c r="X32" s="42" t="e">
        <f>IF(AND(' RIESGOS DE GESTION'!#REF!="Media",' RIESGOS DE GESTION'!#REF!="Moderado"),CONCATENATE("R7C",' RIESGOS DE GESTION'!#REF!),"")</f>
        <v>#REF!</v>
      </c>
      <c r="Y32" s="42" t="e">
        <f>IF(AND(' RIESGOS DE GESTION'!#REF!="Media",' RIESGOS DE GESTION'!#REF!="Moderado"),CONCATENATE("R7C",' RIESGOS DE GESTION'!#REF!),"")</f>
        <v>#REF!</v>
      </c>
      <c r="Z32" s="42" t="e">
        <f>IF(AND(' RIESGOS DE GESTION'!#REF!="Media",' RIESGOS DE GESTION'!#REF!="Moderado"),CONCATENATE("R7C",' RIESGOS DE GESTION'!#REF!),"")</f>
        <v>#REF!</v>
      </c>
      <c r="AA32" s="43"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27" t="e">
        <f>IF(AND(' RIESGOS DE GESTION'!#REF!="Media",' RIESGOS DE GESTION'!#REF!="Mayor"),CONCATENATE("R7C",' RIESGOS DE GESTION'!#REF!),"")</f>
        <v>#REF!</v>
      </c>
      <c r="AE32" s="27" t="e">
        <f>IF(AND(' RIESGOS DE GESTION'!#REF!="Media",' RIESGOS DE GESTION'!#REF!="Mayor"),CONCATENATE("R7C",' RIESGOS DE GESTION'!#REF!),"")</f>
        <v>#REF!</v>
      </c>
      <c r="AF32" s="27"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7"/>
      <c r="AO32" s="675"/>
      <c r="AP32" s="676"/>
      <c r="AQ32" s="676"/>
      <c r="AR32" s="676"/>
      <c r="AS32" s="676"/>
      <c r="AT32" s="67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row>
    <row r="33" spans="1:80" ht="15" customHeight="1" x14ac:dyDescent="0.25">
      <c r="A33" s="57"/>
      <c r="B33" s="547"/>
      <c r="C33" s="547"/>
      <c r="D33" s="548"/>
      <c r="E33" s="646"/>
      <c r="F33" s="645"/>
      <c r="G33" s="645"/>
      <c r="H33" s="645"/>
      <c r="I33" s="661"/>
      <c r="J33" s="41" t="e">
        <f>IF(AND(' RIESGOS DE GESTION'!#REF!="Media",' RIESGOS DE GESTION'!#REF!="Leve"),CONCATENATE("R8C",' RIESGOS DE GESTION'!#REF!),"")</f>
        <v>#REF!</v>
      </c>
      <c r="K33" s="42" t="e">
        <f>IF(AND(' RIESGOS DE GESTION'!#REF!="Media",' RIESGOS DE GESTION'!#REF!="Leve"),CONCATENATE("R8C",' RIESGOS DE GESTION'!#REF!),"")</f>
        <v>#REF!</v>
      </c>
      <c r="L33" s="42" t="e">
        <f>IF(AND(' RIESGOS DE GESTION'!#REF!="Media",' RIESGOS DE GESTION'!#REF!="Leve"),CONCATENATE("R8C",' RIESGOS DE GESTION'!#REF!),"")</f>
        <v>#REF!</v>
      </c>
      <c r="M33" s="42" t="e">
        <f>IF(AND(' RIESGOS DE GESTION'!#REF!="Media",' RIESGOS DE GESTION'!#REF!="Leve"),CONCATENATE("R8C",' RIESGOS DE GESTION'!#REF!),"")</f>
        <v>#REF!</v>
      </c>
      <c r="N33" s="42" t="e">
        <f>IF(AND(' RIESGOS DE GESTION'!#REF!="Media",' RIESGOS DE GESTION'!#REF!="Leve"),CONCATENATE("R8C",' RIESGOS DE GESTION'!#REF!),"")</f>
        <v>#REF!</v>
      </c>
      <c r="O33" s="43" t="e">
        <f>IF(AND(' RIESGOS DE GESTION'!#REF!="Media",' RIESGOS DE GESTION'!#REF!="Leve"),CONCATENATE("R8C",' RIESGOS DE GESTION'!#REF!),"")</f>
        <v>#REF!</v>
      </c>
      <c r="P33" s="41" t="e">
        <f>IF(AND(' RIESGOS DE GESTION'!#REF!="Media",' RIESGOS DE GESTION'!#REF!="Menor"),CONCATENATE("R8C",' RIESGOS DE GESTION'!#REF!),"")</f>
        <v>#REF!</v>
      </c>
      <c r="Q33" s="42" t="e">
        <f>IF(AND(' RIESGOS DE GESTION'!#REF!="Media",' RIESGOS DE GESTION'!#REF!="Menor"),CONCATENATE("R8C",' RIESGOS DE GESTION'!#REF!),"")</f>
        <v>#REF!</v>
      </c>
      <c r="R33" s="42" t="e">
        <f>IF(AND(' RIESGOS DE GESTION'!#REF!="Media",' RIESGOS DE GESTION'!#REF!="Menor"),CONCATENATE("R8C",' RIESGOS DE GESTION'!#REF!),"")</f>
        <v>#REF!</v>
      </c>
      <c r="S33" s="42" t="e">
        <f>IF(AND(' RIESGOS DE GESTION'!#REF!="Media",' RIESGOS DE GESTION'!#REF!="Menor"),CONCATENATE("R8C",' RIESGOS DE GESTION'!#REF!),"")</f>
        <v>#REF!</v>
      </c>
      <c r="T33" s="42" t="e">
        <f>IF(AND(' RIESGOS DE GESTION'!#REF!="Media",' RIESGOS DE GESTION'!#REF!="Menor"),CONCATENATE("R8C",' RIESGOS DE GESTION'!#REF!),"")</f>
        <v>#REF!</v>
      </c>
      <c r="U33" s="43" t="e">
        <f>IF(AND(' RIESGOS DE GESTION'!#REF!="Media",' RIESGOS DE GESTION'!#REF!="Menor"),CONCATENATE("R8C",' RIESGOS DE GESTION'!#REF!),"")</f>
        <v>#REF!</v>
      </c>
      <c r="V33" s="41" t="e">
        <f>IF(AND(' RIESGOS DE GESTION'!#REF!="Media",' RIESGOS DE GESTION'!#REF!="Moderado"),CONCATENATE("R8C",' RIESGOS DE GESTION'!#REF!),"")</f>
        <v>#REF!</v>
      </c>
      <c r="W33" s="42" t="e">
        <f>IF(AND(' RIESGOS DE GESTION'!#REF!="Media",' RIESGOS DE GESTION'!#REF!="Moderado"),CONCATENATE("R8C",' RIESGOS DE GESTION'!#REF!),"")</f>
        <v>#REF!</v>
      </c>
      <c r="X33" s="42" t="e">
        <f>IF(AND(' RIESGOS DE GESTION'!#REF!="Media",' RIESGOS DE GESTION'!#REF!="Moderado"),CONCATENATE("R8C",' RIESGOS DE GESTION'!#REF!),"")</f>
        <v>#REF!</v>
      </c>
      <c r="Y33" s="42" t="e">
        <f>IF(AND(' RIESGOS DE GESTION'!#REF!="Media",' RIESGOS DE GESTION'!#REF!="Moderado"),CONCATENATE("R8C",' RIESGOS DE GESTION'!#REF!),"")</f>
        <v>#REF!</v>
      </c>
      <c r="Z33" s="42" t="e">
        <f>IF(AND(' RIESGOS DE GESTION'!#REF!="Media",' RIESGOS DE GESTION'!#REF!="Moderado"),CONCATENATE("R8C",' RIESGOS DE GESTION'!#REF!),"")</f>
        <v>#REF!</v>
      </c>
      <c r="AA33" s="43"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27" t="e">
        <f>IF(AND(' RIESGOS DE GESTION'!#REF!="Media",' RIESGOS DE GESTION'!#REF!="Mayor"),CONCATENATE("R8C",' RIESGOS DE GESTION'!#REF!),"")</f>
        <v>#REF!</v>
      </c>
      <c r="AE33" s="27" t="e">
        <f>IF(AND(' RIESGOS DE GESTION'!#REF!="Media",' RIESGOS DE GESTION'!#REF!="Mayor"),CONCATENATE("R8C",' RIESGOS DE GESTION'!#REF!),"")</f>
        <v>#REF!</v>
      </c>
      <c r="AF33" s="27"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7"/>
      <c r="AO33" s="675"/>
      <c r="AP33" s="676"/>
      <c r="AQ33" s="676"/>
      <c r="AR33" s="676"/>
      <c r="AS33" s="676"/>
      <c r="AT33" s="67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row>
    <row r="34" spans="1:80" ht="15" customHeight="1" x14ac:dyDescent="0.25">
      <c r="A34" s="57"/>
      <c r="B34" s="547"/>
      <c r="C34" s="547"/>
      <c r="D34" s="548"/>
      <c r="E34" s="646"/>
      <c r="F34" s="645"/>
      <c r="G34" s="645"/>
      <c r="H34" s="645"/>
      <c r="I34" s="661"/>
      <c r="J34" s="41" t="e">
        <f>IF(AND(' RIESGOS DE GESTION'!#REF!="Media",' RIESGOS DE GESTION'!#REF!="Leve"),CONCATENATE("R9C",' RIESGOS DE GESTION'!#REF!),"")</f>
        <v>#REF!</v>
      </c>
      <c r="K34" s="42" t="e">
        <f>IF(AND(' RIESGOS DE GESTION'!#REF!="Media",' RIESGOS DE GESTION'!#REF!="Leve"),CONCATENATE("R9C",' RIESGOS DE GESTION'!#REF!),"")</f>
        <v>#REF!</v>
      </c>
      <c r="L34" s="42" t="e">
        <f>IF(AND(' RIESGOS DE GESTION'!#REF!="Media",' RIESGOS DE GESTION'!#REF!="Leve"),CONCATENATE("R9C",' RIESGOS DE GESTION'!#REF!),"")</f>
        <v>#REF!</v>
      </c>
      <c r="M34" s="42" t="e">
        <f>IF(AND(' RIESGOS DE GESTION'!#REF!="Media",' RIESGOS DE GESTION'!#REF!="Leve"),CONCATENATE("R9C",' RIESGOS DE GESTION'!#REF!),"")</f>
        <v>#REF!</v>
      </c>
      <c r="N34" s="42" t="e">
        <f>IF(AND(' RIESGOS DE GESTION'!#REF!="Media",' RIESGOS DE GESTION'!#REF!="Leve"),CONCATENATE("R9C",' RIESGOS DE GESTION'!#REF!),"")</f>
        <v>#REF!</v>
      </c>
      <c r="O34" s="43" t="e">
        <f>IF(AND(' RIESGOS DE GESTION'!#REF!="Media",' RIESGOS DE GESTION'!#REF!="Leve"),CONCATENATE("R9C",' RIESGOS DE GESTION'!#REF!),"")</f>
        <v>#REF!</v>
      </c>
      <c r="P34" s="41" t="e">
        <f>IF(AND(' RIESGOS DE GESTION'!#REF!="Media",' RIESGOS DE GESTION'!#REF!="Menor"),CONCATENATE("R9C",' RIESGOS DE GESTION'!#REF!),"")</f>
        <v>#REF!</v>
      </c>
      <c r="Q34" s="42" t="e">
        <f>IF(AND(' RIESGOS DE GESTION'!#REF!="Media",' RIESGOS DE GESTION'!#REF!="Menor"),CONCATENATE("R9C",' RIESGOS DE GESTION'!#REF!),"")</f>
        <v>#REF!</v>
      </c>
      <c r="R34" s="42" t="e">
        <f>IF(AND(' RIESGOS DE GESTION'!#REF!="Media",' RIESGOS DE GESTION'!#REF!="Menor"),CONCATENATE("R9C",' RIESGOS DE GESTION'!#REF!),"")</f>
        <v>#REF!</v>
      </c>
      <c r="S34" s="42" t="e">
        <f>IF(AND(' RIESGOS DE GESTION'!#REF!="Media",' RIESGOS DE GESTION'!#REF!="Menor"),CONCATENATE("R9C",' RIESGOS DE GESTION'!#REF!),"")</f>
        <v>#REF!</v>
      </c>
      <c r="T34" s="42" t="e">
        <f>IF(AND(' RIESGOS DE GESTION'!#REF!="Media",' RIESGOS DE GESTION'!#REF!="Menor"),CONCATENATE("R9C",' RIESGOS DE GESTION'!#REF!),"")</f>
        <v>#REF!</v>
      </c>
      <c r="U34" s="43" t="e">
        <f>IF(AND(' RIESGOS DE GESTION'!#REF!="Media",' RIESGOS DE GESTION'!#REF!="Menor"),CONCATENATE("R9C",' RIESGOS DE GESTION'!#REF!),"")</f>
        <v>#REF!</v>
      </c>
      <c r="V34" s="41" t="e">
        <f>IF(AND(' RIESGOS DE GESTION'!#REF!="Media",' RIESGOS DE GESTION'!#REF!="Moderado"),CONCATENATE("R9C",' RIESGOS DE GESTION'!#REF!),"")</f>
        <v>#REF!</v>
      </c>
      <c r="W34" s="42" t="e">
        <f>IF(AND(' RIESGOS DE GESTION'!#REF!="Media",' RIESGOS DE GESTION'!#REF!="Moderado"),CONCATENATE("R9C",' RIESGOS DE GESTION'!#REF!),"")</f>
        <v>#REF!</v>
      </c>
      <c r="X34" s="42" t="e">
        <f>IF(AND(' RIESGOS DE GESTION'!#REF!="Media",' RIESGOS DE GESTION'!#REF!="Moderado"),CONCATENATE("R9C",' RIESGOS DE GESTION'!#REF!),"")</f>
        <v>#REF!</v>
      </c>
      <c r="Y34" s="42" t="e">
        <f>IF(AND(' RIESGOS DE GESTION'!#REF!="Media",' RIESGOS DE GESTION'!#REF!="Moderado"),CONCATENATE("R9C",' RIESGOS DE GESTION'!#REF!),"")</f>
        <v>#REF!</v>
      </c>
      <c r="Z34" s="42" t="e">
        <f>IF(AND(' RIESGOS DE GESTION'!#REF!="Media",' RIESGOS DE GESTION'!#REF!="Moderado"),CONCATENATE("R9C",' RIESGOS DE GESTION'!#REF!),"")</f>
        <v>#REF!</v>
      </c>
      <c r="AA34" s="43"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27" t="e">
        <f>IF(AND(' RIESGOS DE GESTION'!#REF!="Media",' RIESGOS DE GESTION'!#REF!="Mayor"),CONCATENATE("R9C",' RIESGOS DE GESTION'!#REF!),"")</f>
        <v>#REF!</v>
      </c>
      <c r="AE34" s="27" t="e">
        <f>IF(AND(' RIESGOS DE GESTION'!#REF!="Media",' RIESGOS DE GESTION'!#REF!="Mayor"),CONCATENATE("R9C",' RIESGOS DE GESTION'!#REF!),"")</f>
        <v>#REF!</v>
      </c>
      <c r="AF34" s="27"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7"/>
      <c r="AO34" s="675"/>
      <c r="AP34" s="676"/>
      <c r="AQ34" s="676"/>
      <c r="AR34" s="676"/>
      <c r="AS34" s="676"/>
      <c r="AT34" s="67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row>
    <row r="35" spans="1:80" ht="15.75" customHeight="1" thickBot="1" x14ac:dyDescent="0.3">
      <c r="A35" s="57"/>
      <c r="B35" s="547"/>
      <c r="C35" s="547"/>
      <c r="D35" s="548"/>
      <c r="E35" s="647"/>
      <c r="F35" s="648"/>
      <c r="G35" s="648"/>
      <c r="H35" s="648"/>
      <c r="I35" s="662"/>
      <c r="J35" s="41" t="e">
        <f>IF(AND(' RIESGOS DE GESTION'!#REF!="Media",' RIESGOS DE GESTION'!#REF!="Leve"),CONCATENATE("R10C",' RIESGOS DE GESTION'!#REF!),"")</f>
        <v>#REF!</v>
      </c>
      <c r="K35" s="42" t="e">
        <f>IF(AND(' RIESGOS DE GESTION'!#REF!="Media",' RIESGOS DE GESTION'!#REF!="Leve"),CONCATENATE("R10C",' RIESGOS DE GESTION'!#REF!),"")</f>
        <v>#REF!</v>
      </c>
      <c r="L35" s="42" t="e">
        <f>IF(AND(' RIESGOS DE GESTION'!#REF!="Media",' RIESGOS DE GESTION'!#REF!="Leve"),CONCATENATE("R10C",' RIESGOS DE GESTION'!#REF!),"")</f>
        <v>#REF!</v>
      </c>
      <c r="M35" s="42" t="e">
        <f>IF(AND(' RIESGOS DE GESTION'!#REF!="Media",' RIESGOS DE GESTION'!#REF!="Leve"),CONCATENATE("R10C",' RIESGOS DE GESTION'!#REF!),"")</f>
        <v>#REF!</v>
      </c>
      <c r="N35" s="42" t="e">
        <f>IF(AND(' RIESGOS DE GESTION'!#REF!="Media",' RIESGOS DE GESTION'!#REF!="Leve"),CONCATENATE("R10C",' RIESGOS DE GESTION'!#REF!),"")</f>
        <v>#REF!</v>
      </c>
      <c r="O35" s="43" t="e">
        <f>IF(AND(' RIESGOS DE GESTION'!#REF!="Media",' RIESGOS DE GESTION'!#REF!="Leve"),CONCATENATE("R10C",' RIESGOS DE GESTION'!#REF!),"")</f>
        <v>#REF!</v>
      </c>
      <c r="P35" s="41" t="e">
        <f>IF(AND(' RIESGOS DE GESTION'!#REF!="Media",' RIESGOS DE GESTION'!#REF!="Menor"),CONCATENATE("R10C",' RIESGOS DE GESTION'!#REF!),"")</f>
        <v>#REF!</v>
      </c>
      <c r="Q35" s="42" t="e">
        <f>IF(AND(' RIESGOS DE GESTION'!#REF!="Media",' RIESGOS DE GESTION'!#REF!="Menor"),CONCATENATE("R10C",' RIESGOS DE GESTION'!#REF!),"")</f>
        <v>#REF!</v>
      </c>
      <c r="R35" s="42" t="e">
        <f>IF(AND(' RIESGOS DE GESTION'!#REF!="Media",' RIESGOS DE GESTION'!#REF!="Menor"),CONCATENATE("R10C",' RIESGOS DE GESTION'!#REF!),"")</f>
        <v>#REF!</v>
      </c>
      <c r="S35" s="42" t="e">
        <f>IF(AND(' RIESGOS DE GESTION'!#REF!="Media",' RIESGOS DE GESTION'!#REF!="Menor"),CONCATENATE("R10C",' RIESGOS DE GESTION'!#REF!),"")</f>
        <v>#REF!</v>
      </c>
      <c r="T35" s="42" t="e">
        <f>IF(AND(' RIESGOS DE GESTION'!#REF!="Media",' RIESGOS DE GESTION'!#REF!="Menor"),CONCATENATE("R10C",' RIESGOS DE GESTION'!#REF!),"")</f>
        <v>#REF!</v>
      </c>
      <c r="U35" s="43" t="e">
        <f>IF(AND(' RIESGOS DE GESTION'!#REF!="Media",' RIESGOS DE GESTION'!#REF!="Menor"),CONCATENATE("R10C",' RIESGOS DE GESTION'!#REF!),"")</f>
        <v>#REF!</v>
      </c>
      <c r="V35" s="41" t="e">
        <f>IF(AND(' RIESGOS DE GESTION'!#REF!="Media",' RIESGOS DE GESTION'!#REF!="Moderado"),CONCATENATE("R10C",' RIESGOS DE GESTION'!#REF!),"")</f>
        <v>#REF!</v>
      </c>
      <c r="W35" s="42" t="e">
        <f>IF(AND(' RIESGOS DE GESTION'!#REF!="Media",' RIESGOS DE GESTION'!#REF!="Moderado"),CONCATENATE("R10C",' RIESGOS DE GESTION'!#REF!),"")</f>
        <v>#REF!</v>
      </c>
      <c r="X35" s="42" t="e">
        <f>IF(AND(' RIESGOS DE GESTION'!#REF!="Media",' RIESGOS DE GESTION'!#REF!="Moderado"),CONCATENATE("R10C",' RIESGOS DE GESTION'!#REF!),"")</f>
        <v>#REF!</v>
      </c>
      <c r="Y35" s="42" t="e">
        <f>IF(AND(' RIESGOS DE GESTION'!#REF!="Media",' RIESGOS DE GESTION'!#REF!="Moderado"),CONCATENATE("R10C",' RIESGOS DE GESTION'!#REF!),"")</f>
        <v>#REF!</v>
      </c>
      <c r="Z35" s="42" t="e">
        <f>IF(AND(' RIESGOS DE GESTION'!#REF!="Media",' RIESGOS DE GESTION'!#REF!="Moderado"),CONCATENATE("R10C",' RIESGOS DE GESTION'!#REF!),"")</f>
        <v>#REF!</v>
      </c>
      <c r="AA35" s="43" t="e">
        <f>IF(AND(' RIESGOS DE GESTION'!#REF!="Media",' RIESGOS DE GESTION'!#REF!="Moderado"),CONCATENATE("R10C",' RIESGOS DE GESTION'!#REF!),"")</f>
        <v>#REF!</v>
      </c>
      <c r="AB35" s="32" t="e">
        <f>IF(AND(' RIESGOS DE GESTION'!#REF!="Media",' RIESGOS DE GESTION'!#REF!="Mayor"),CONCATENATE("R10C",' RIESGOS DE GESTION'!#REF!),"")</f>
        <v>#REF!</v>
      </c>
      <c r="AC35" s="33" t="e">
        <f>IF(AND(' RIESGOS DE GESTION'!#REF!="Media",' RIESGOS DE GESTION'!#REF!="Mayor"),CONCATENATE("R10C",' RIESGOS DE GESTION'!#REF!),"")</f>
        <v>#REF!</v>
      </c>
      <c r="AD35" s="33" t="e">
        <f>IF(AND(' RIESGOS DE GESTION'!#REF!="Media",' RIESGOS DE GESTION'!#REF!="Mayor"),CONCATENATE("R10C",' RIESGOS DE GESTION'!#REF!),"")</f>
        <v>#REF!</v>
      </c>
      <c r="AE35" s="33" t="e">
        <f>IF(AND(' RIESGOS DE GESTION'!#REF!="Media",' RIESGOS DE GESTION'!#REF!="Mayor"),CONCATENATE("R10C",' RIESGOS DE GESTION'!#REF!),"")</f>
        <v>#REF!</v>
      </c>
      <c r="AF35" s="33" t="e">
        <f>IF(AND(' RIESGOS DE GESTION'!#REF!="Media",' RIESGOS DE GESTION'!#REF!="Mayor"),CONCATENATE("R10C",' RIESGOS DE GESTION'!#REF!),"")</f>
        <v>#REF!</v>
      </c>
      <c r="AG35" s="34" t="e">
        <f>IF(AND(' RIESGOS DE GESTION'!#REF!="Media",' RIESGOS DE GESTION'!#REF!="Mayor"),CONCATENATE("R10C",' RIESGOS DE GESTION'!#REF!),"")</f>
        <v>#REF!</v>
      </c>
      <c r="AH35" s="35" t="e">
        <f>IF(AND(' RIESGOS DE GESTION'!#REF!="Media",' RIESGOS DE GESTION'!#REF!="Catastrófico"),CONCATENATE("R10C",' RIESGOS DE GESTION'!#REF!),"")</f>
        <v>#REF!</v>
      </c>
      <c r="AI35" s="36" t="e">
        <f>IF(AND(' RIESGOS DE GESTION'!#REF!="Media",' RIESGOS DE GESTION'!#REF!="Catastrófico"),CONCATENATE("R10C",' RIESGOS DE GESTION'!#REF!),"")</f>
        <v>#REF!</v>
      </c>
      <c r="AJ35" s="36" t="e">
        <f>IF(AND(' RIESGOS DE GESTION'!#REF!="Media",' RIESGOS DE GESTION'!#REF!="Catastrófico"),CONCATENATE("R10C",' RIESGOS DE GESTION'!#REF!),"")</f>
        <v>#REF!</v>
      </c>
      <c r="AK35" s="36" t="e">
        <f>IF(AND(' RIESGOS DE GESTION'!#REF!="Media",' RIESGOS DE GESTION'!#REF!="Catastrófico"),CONCATENATE("R10C",' RIESGOS DE GESTION'!#REF!),"")</f>
        <v>#REF!</v>
      </c>
      <c r="AL35" s="36" t="e">
        <f>IF(AND(' RIESGOS DE GESTION'!#REF!="Media",' RIESGOS DE GESTION'!#REF!="Catastrófico"),CONCATENATE("R10C",' RIESGOS DE GESTION'!#REF!),"")</f>
        <v>#REF!</v>
      </c>
      <c r="AM35" s="37" t="e">
        <f>IF(AND(' RIESGOS DE GESTION'!#REF!="Media",' RIESGOS DE GESTION'!#REF!="Catastrófico"),CONCATENATE("R10C",' RIESGOS DE GESTION'!#REF!),"")</f>
        <v>#REF!</v>
      </c>
      <c r="AN35" s="57"/>
      <c r="AO35" s="678"/>
      <c r="AP35" s="679"/>
      <c r="AQ35" s="679"/>
      <c r="AR35" s="679"/>
      <c r="AS35" s="679"/>
      <c r="AT35" s="680"/>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row>
    <row r="36" spans="1:80" ht="15" customHeight="1" x14ac:dyDescent="0.25">
      <c r="A36" s="57"/>
      <c r="B36" s="547"/>
      <c r="C36" s="547"/>
      <c r="D36" s="548"/>
      <c r="E36" s="642" t="s">
        <v>577</v>
      </c>
      <c r="F36" s="643"/>
      <c r="G36" s="643"/>
      <c r="H36" s="643"/>
      <c r="I36" s="643"/>
      <c r="J36" s="47" t="e">
        <f>IF(AND(' RIESGOS DE GESTION'!#REF!="Baja",' RIESGOS DE GESTION'!#REF!="Leve"),CONCATENATE("R1C",' RIESGOS DE GESTION'!#REF!),"")</f>
        <v>#REF!</v>
      </c>
      <c r="K36" s="48" t="e">
        <f>IF(AND(' RIESGOS DE GESTION'!#REF!="Baja",' RIESGOS DE GESTION'!#REF!="Leve"),CONCATENATE("R1C",' RIESGOS DE GESTION'!#REF!),"")</f>
        <v>#REF!</v>
      </c>
      <c r="L36" s="48" t="e">
        <f>IF(AND(' RIESGOS DE GESTION'!#REF!="Baja",' RIESGOS DE GESTION'!#REF!="Leve"),CONCATENATE("R1C",' RIESGOS DE GESTION'!#REF!),"")</f>
        <v>#REF!</v>
      </c>
      <c r="M36" s="48" t="e">
        <f>IF(AND(' RIESGOS DE GESTION'!#REF!="Baja",' RIESGOS DE GESTION'!#REF!="Leve"),CONCATENATE("R1C",' RIESGOS DE GESTION'!#REF!),"")</f>
        <v>#REF!</v>
      </c>
      <c r="N36" s="48" t="e">
        <f>IF(AND(' RIESGOS DE GESTION'!#REF!="Baja",' RIESGOS DE GESTION'!#REF!="Leve"),CONCATENATE("R1C",' RIESGOS DE GESTION'!#REF!),"")</f>
        <v>#REF!</v>
      </c>
      <c r="O36" s="49" t="e">
        <f>IF(AND(' RIESGOS DE GESTION'!#REF!="Baja",' RIESGOS DE GESTION'!#REF!="Leve"),CONCATENATE("R1C",' RIESGOS DE GESTION'!#REF!),"")</f>
        <v>#REF!</v>
      </c>
      <c r="P36" s="38" t="e">
        <f>IF(AND(' RIESGOS DE GESTION'!#REF!="Baja",' RIESGOS DE GESTION'!#REF!="Menor"),CONCATENATE("R1C",' RIESGOS DE GESTION'!#REF!),"")</f>
        <v>#REF!</v>
      </c>
      <c r="Q36" s="39" t="e">
        <f>IF(AND(' RIESGOS DE GESTION'!#REF!="Baja",' RIESGOS DE GESTION'!#REF!="Menor"),CONCATENATE("R1C",' RIESGOS DE GESTION'!#REF!),"")</f>
        <v>#REF!</v>
      </c>
      <c r="R36" s="39" t="e">
        <f>IF(AND(' RIESGOS DE GESTION'!#REF!="Baja",' RIESGOS DE GESTION'!#REF!="Menor"),CONCATENATE("R1C",' RIESGOS DE GESTION'!#REF!),"")</f>
        <v>#REF!</v>
      </c>
      <c r="S36" s="39" t="e">
        <f>IF(AND(' RIESGOS DE GESTION'!#REF!="Baja",' RIESGOS DE GESTION'!#REF!="Menor"),CONCATENATE("R1C",' RIESGOS DE GESTION'!#REF!),"")</f>
        <v>#REF!</v>
      </c>
      <c r="T36" s="39" t="e">
        <f>IF(AND(' RIESGOS DE GESTION'!#REF!="Baja",' RIESGOS DE GESTION'!#REF!="Menor"),CONCATENATE("R1C",' RIESGOS DE GESTION'!#REF!),"")</f>
        <v>#REF!</v>
      </c>
      <c r="U36" s="40" t="e">
        <f>IF(AND(' RIESGOS DE GESTION'!#REF!="Baja",' RIESGOS DE GESTION'!#REF!="Menor"),CONCATENATE("R1C",' RIESGOS DE GESTION'!#REF!),"")</f>
        <v>#REF!</v>
      </c>
      <c r="V36" s="38" t="e">
        <f>IF(AND(' RIESGOS DE GESTION'!#REF!="Baja",' RIESGOS DE GESTION'!#REF!="Moderado"),CONCATENATE("R1C",' RIESGOS DE GESTION'!#REF!),"")</f>
        <v>#REF!</v>
      </c>
      <c r="W36" s="39" t="e">
        <f>IF(AND(' RIESGOS DE GESTION'!#REF!="Baja",' RIESGOS DE GESTION'!#REF!="Moderado"),CONCATENATE("R1C",' RIESGOS DE GESTION'!#REF!),"")</f>
        <v>#REF!</v>
      </c>
      <c r="X36" s="39" t="e">
        <f>IF(AND(' RIESGOS DE GESTION'!#REF!="Baja",' RIESGOS DE GESTION'!#REF!="Moderado"),CONCATENATE("R1C",' RIESGOS DE GESTION'!#REF!),"")</f>
        <v>#REF!</v>
      </c>
      <c r="Y36" s="39" t="e">
        <f>IF(AND(' RIESGOS DE GESTION'!#REF!="Baja",' RIESGOS DE GESTION'!#REF!="Moderado"),CONCATENATE("R1C",' RIESGOS DE GESTION'!#REF!),"")</f>
        <v>#REF!</v>
      </c>
      <c r="Z36" s="39" t="e">
        <f>IF(AND(' RIESGOS DE GESTION'!#REF!="Baja",' RIESGOS DE GESTION'!#REF!="Moderado"),CONCATENATE("R1C",' RIESGOS DE GESTION'!#REF!),"")</f>
        <v>#REF!</v>
      </c>
      <c r="AA36" s="40"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7"/>
      <c r="AO36" s="663" t="s">
        <v>578</v>
      </c>
      <c r="AP36" s="664"/>
      <c r="AQ36" s="664"/>
      <c r="AR36" s="664"/>
      <c r="AS36" s="664"/>
      <c r="AT36" s="665"/>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row>
    <row r="37" spans="1:80" ht="15" customHeight="1" x14ac:dyDescent="0.25">
      <c r="A37" s="57"/>
      <c r="B37" s="547"/>
      <c r="C37" s="547"/>
      <c r="D37" s="548"/>
      <c r="E37" s="644"/>
      <c r="F37" s="645"/>
      <c r="G37" s="645"/>
      <c r="H37" s="645"/>
      <c r="I37" s="645"/>
      <c r="J37" s="50" t="e">
        <f>IF(AND(' RIESGOS DE GESTION'!#REF!="Baja",' RIESGOS DE GESTION'!#REF!="Leve"),CONCATENATE("R2C",' RIESGOS DE GESTION'!#REF!),"")</f>
        <v>#REF!</v>
      </c>
      <c r="K37" s="51" t="e">
        <f>IF(AND(' RIESGOS DE GESTION'!#REF!="Baja",' RIESGOS DE GESTION'!#REF!="Leve"),CONCATENATE("R2C",' RIESGOS DE GESTION'!#REF!),"")</f>
        <v>#REF!</v>
      </c>
      <c r="L37" s="51" t="e">
        <f>IF(AND(' RIESGOS DE GESTION'!#REF!="Baja",' RIESGOS DE GESTION'!#REF!="Leve"),CONCATENATE("R2C",' RIESGOS DE GESTION'!#REF!),"")</f>
        <v>#REF!</v>
      </c>
      <c r="M37" s="51" t="e">
        <f>IF(AND(' RIESGOS DE GESTION'!#REF!="Baja",' RIESGOS DE GESTION'!#REF!="Leve"),CONCATENATE("R2C",' RIESGOS DE GESTION'!#REF!),"")</f>
        <v>#REF!</v>
      </c>
      <c r="N37" s="51" t="e">
        <f>IF(AND(' RIESGOS DE GESTION'!#REF!="Baja",' RIESGOS DE GESTION'!#REF!="Leve"),CONCATENATE("R2C",' RIESGOS DE GESTION'!#REF!),"")</f>
        <v>#REF!</v>
      </c>
      <c r="O37" s="52" t="e">
        <f>IF(AND(' RIESGOS DE GESTION'!#REF!="Baja",' RIESGOS DE GESTION'!#REF!="Leve"),CONCATENATE("R2C",' RIESGOS DE GESTION'!#REF!),"")</f>
        <v>#REF!</v>
      </c>
      <c r="P37" s="41" t="e">
        <f>IF(AND(' RIESGOS DE GESTION'!#REF!="Baja",' RIESGOS DE GESTION'!#REF!="Menor"),CONCATENATE("R2C",' RIESGOS DE GESTION'!#REF!),"")</f>
        <v>#REF!</v>
      </c>
      <c r="Q37" s="42" t="e">
        <f>IF(AND(' RIESGOS DE GESTION'!#REF!="Baja",' RIESGOS DE GESTION'!#REF!="Menor"),CONCATENATE("R2C",' RIESGOS DE GESTION'!#REF!),"")</f>
        <v>#REF!</v>
      </c>
      <c r="R37" s="42" t="e">
        <f>IF(AND(' RIESGOS DE GESTION'!#REF!="Baja",' RIESGOS DE GESTION'!#REF!="Menor"),CONCATENATE("R2C",' RIESGOS DE GESTION'!#REF!),"")</f>
        <v>#REF!</v>
      </c>
      <c r="S37" s="42" t="e">
        <f>IF(AND(' RIESGOS DE GESTION'!#REF!="Baja",' RIESGOS DE GESTION'!#REF!="Menor"),CONCATENATE("R2C",' RIESGOS DE GESTION'!#REF!),"")</f>
        <v>#REF!</v>
      </c>
      <c r="T37" s="42" t="e">
        <f>IF(AND(' RIESGOS DE GESTION'!#REF!="Baja",' RIESGOS DE GESTION'!#REF!="Menor"),CONCATENATE("R2C",' RIESGOS DE GESTION'!#REF!),"")</f>
        <v>#REF!</v>
      </c>
      <c r="U37" s="43" t="e">
        <f>IF(AND(' RIESGOS DE GESTION'!#REF!="Baja",' RIESGOS DE GESTION'!#REF!="Menor"),CONCATENATE("R2C",' RIESGOS DE GESTION'!#REF!),"")</f>
        <v>#REF!</v>
      </c>
      <c r="V37" s="41" t="e">
        <f>IF(AND(' RIESGOS DE GESTION'!#REF!="Baja",' RIESGOS DE GESTION'!#REF!="Moderado"),CONCATENATE("R2C",' RIESGOS DE GESTION'!#REF!),"")</f>
        <v>#REF!</v>
      </c>
      <c r="W37" s="42" t="e">
        <f>IF(AND(' RIESGOS DE GESTION'!#REF!="Baja",' RIESGOS DE GESTION'!#REF!="Moderado"),CONCATENATE("R2C",' RIESGOS DE GESTION'!#REF!),"")</f>
        <v>#REF!</v>
      </c>
      <c r="X37" s="42" t="e">
        <f>IF(AND(' RIESGOS DE GESTION'!#REF!="Baja",' RIESGOS DE GESTION'!#REF!="Moderado"),CONCATENATE("R2C",' RIESGOS DE GESTION'!#REF!),"")</f>
        <v>#REF!</v>
      </c>
      <c r="Y37" s="42" t="e">
        <f>IF(AND(' RIESGOS DE GESTION'!#REF!="Baja",' RIESGOS DE GESTION'!#REF!="Moderado"),CONCATENATE("R2C",' RIESGOS DE GESTION'!#REF!),"")</f>
        <v>#REF!</v>
      </c>
      <c r="Z37" s="42" t="e">
        <f>IF(AND(' RIESGOS DE GESTION'!#REF!="Baja",' RIESGOS DE GESTION'!#REF!="Moderado"),CONCATENATE("R2C",' RIESGOS DE GESTION'!#REF!),"")</f>
        <v>#REF!</v>
      </c>
      <c r="AA37" s="43"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7"/>
      <c r="AO37" s="666"/>
      <c r="AP37" s="667"/>
      <c r="AQ37" s="667"/>
      <c r="AR37" s="667"/>
      <c r="AS37" s="667"/>
      <c r="AT37" s="668"/>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row>
    <row r="38" spans="1:80" ht="15" customHeight="1" x14ac:dyDescent="0.25">
      <c r="A38" s="57"/>
      <c r="B38" s="547"/>
      <c r="C38" s="547"/>
      <c r="D38" s="548"/>
      <c r="E38" s="646"/>
      <c r="F38" s="645"/>
      <c r="G38" s="645"/>
      <c r="H38" s="645"/>
      <c r="I38" s="645"/>
      <c r="J38" s="50" t="e">
        <f>IF(AND(' RIESGOS DE GESTION'!#REF!="Baja",' RIESGOS DE GESTION'!#REF!="Leve"),CONCATENATE("R3C",' RIESGOS DE GESTION'!#REF!),"")</f>
        <v>#REF!</v>
      </c>
      <c r="K38" s="51" t="e">
        <f>IF(AND(' RIESGOS DE GESTION'!#REF!="Baja",' RIESGOS DE GESTION'!#REF!="Leve"),CONCATENATE("R3C",' RIESGOS DE GESTION'!#REF!),"")</f>
        <v>#REF!</v>
      </c>
      <c r="L38" s="51" t="e">
        <f>IF(AND(' RIESGOS DE GESTION'!#REF!="Baja",' RIESGOS DE GESTION'!#REF!="Leve"),CONCATENATE("R3C",' RIESGOS DE GESTION'!#REF!),"")</f>
        <v>#REF!</v>
      </c>
      <c r="M38" s="51" t="e">
        <f>IF(AND(' RIESGOS DE GESTION'!#REF!="Baja",' RIESGOS DE GESTION'!#REF!="Leve"),CONCATENATE("R3C",' RIESGOS DE GESTION'!#REF!),"")</f>
        <v>#REF!</v>
      </c>
      <c r="N38" s="51" t="e">
        <f>IF(AND(' RIESGOS DE GESTION'!#REF!="Baja",' RIESGOS DE GESTION'!#REF!="Leve"),CONCATENATE("R3C",' RIESGOS DE GESTION'!#REF!),"")</f>
        <v>#REF!</v>
      </c>
      <c r="O38" s="52" t="e">
        <f>IF(AND(' RIESGOS DE GESTION'!#REF!="Baja",' RIESGOS DE GESTION'!#REF!="Leve"),CONCATENATE("R3C",' RIESGOS DE GESTION'!#REF!),"")</f>
        <v>#REF!</v>
      </c>
      <c r="P38" s="41" t="e">
        <f>IF(AND(' RIESGOS DE GESTION'!#REF!="Baja",' RIESGOS DE GESTION'!#REF!="Menor"),CONCATENATE("R3C",' RIESGOS DE GESTION'!#REF!),"")</f>
        <v>#REF!</v>
      </c>
      <c r="Q38" s="42" t="e">
        <f>IF(AND(' RIESGOS DE GESTION'!#REF!="Baja",' RIESGOS DE GESTION'!#REF!="Menor"),CONCATENATE("R3C",' RIESGOS DE GESTION'!#REF!),"")</f>
        <v>#REF!</v>
      </c>
      <c r="R38" s="42" t="e">
        <f>IF(AND(' RIESGOS DE GESTION'!#REF!="Baja",' RIESGOS DE GESTION'!#REF!="Menor"),CONCATENATE("R3C",' RIESGOS DE GESTION'!#REF!),"")</f>
        <v>#REF!</v>
      </c>
      <c r="S38" s="42" t="e">
        <f>IF(AND(' RIESGOS DE GESTION'!#REF!="Baja",' RIESGOS DE GESTION'!#REF!="Menor"),CONCATENATE("R3C",' RIESGOS DE GESTION'!#REF!),"")</f>
        <v>#REF!</v>
      </c>
      <c r="T38" s="42" t="e">
        <f>IF(AND(' RIESGOS DE GESTION'!#REF!="Baja",' RIESGOS DE GESTION'!#REF!="Menor"),CONCATENATE("R3C",' RIESGOS DE GESTION'!#REF!),"")</f>
        <v>#REF!</v>
      </c>
      <c r="U38" s="43" t="e">
        <f>IF(AND(' RIESGOS DE GESTION'!#REF!="Baja",' RIESGOS DE GESTION'!#REF!="Menor"),CONCATENATE("R3C",' RIESGOS DE GESTION'!#REF!),"")</f>
        <v>#REF!</v>
      </c>
      <c r="V38" s="41" t="e">
        <f>IF(AND(' RIESGOS DE GESTION'!#REF!="Baja",' RIESGOS DE GESTION'!#REF!="Moderado"),CONCATENATE("R3C",' RIESGOS DE GESTION'!#REF!),"")</f>
        <v>#REF!</v>
      </c>
      <c r="W38" s="42" t="e">
        <f>IF(AND(' RIESGOS DE GESTION'!#REF!="Baja",' RIESGOS DE GESTION'!#REF!="Moderado"),CONCATENATE("R3C",' RIESGOS DE GESTION'!#REF!),"")</f>
        <v>#REF!</v>
      </c>
      <c r="X38" s="42" t="e">
        <f>IF(AND(' RIESGOS DE GESTION'!#REF!="Baja",' RIESGOS DE GESTION'!#REF!="Moderado"),CONCATENATE("R3C",' RIESGOS DE GESTION'!#REF!),"")</f>
        <v>#REF!</v>
      </c>
      <c r="Y38" s="42" t="e">
        <f>IF(AND(' RIESGOS DE GESTION'!#REF!="Baja",' RIESGOS DE GESTION'!#REF!="Moderado"),CONCATENATE("R3C",' RIESGOS DE GESTION'!#REF!),"")</f>
        <v>#REF!</v>
      </c>
      <c r="Z38" s="42" t="e">
        <f>IF(AND(' RIESGOS DE GESTION'!#REF!="Baja",' RIESGOS DE GESTION'!#REF!="Moderado"),CONCATENATE("R3C",' RIESGOS DE GESTION'!#REF!),"")</f>
        <v>#REF!</v>
      </c>
      <c r="AA38" s="43"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7"/>
      <c r="AO38" s="666"/>
      <c r="AP38" s="667"/>
      <c r="AQ38" s="667"/>
      <c r="AR38" s="667"/>
      <c r="AS38" s="667"/>
      <c r="AT38" s="668"/>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row>
    <row r="39" spans="1:80" ht="15" customHeight="1" x14ac:dyDescent="0.25">
      <c r="A39" s="57"/>
      <c r="B39" s="547"/>
      <c r="C39" s="547"/>
      <c r="D39" s="548"/>
      <c r="E39" s="646"/>
      <c r="F39" s="645"/>
      <c r="G39" s="645"/>
      <c r="H39" s="645"/>
      <c r="I39" s="645"/>
      <c r="J39" s="50" t="e">
        <f>IF(AND(' RIESGOS DE GESTION'!#REF!="Baja",' RIESGOS DE GESTION'!#REF!="Leve"),CONCATENATE("R4C",' RIESGOS DE GESTION'!#REF!),"")</f>
        <v>#REF!</v>
      </c>
      <c r="K39" s="51" t="e">
        <f>IF(AND(' RIESGOS DE GESTION'!#REF!="Baja",' RIESGOS DE GESTION'!#REF!="Leve"),CONCATENATE("R4C",' RIESGOS DE GESTION'!#REF!),"")</f>
        <v>#REF!</v>
      </c>
      <c r="L39" s="51" t="e">
        <f>IF(AND(' RIESGOS DE GESTION'!#REF!="Baja",' RIESGOS DE GESTION'!#REF!="Leve"),CONCATENATE("R4C",' RIESGOS DE GESTION'!#REF!),"")</f>
        <v>#REF!</v>
      </c>
      <c r="M39" s="51" t="e">
        <f>IF(AND(' RIESGOS DE GESTION'!#REF!="Baja",' RIESGOS DE GESTION'!#REF!="Leve"),CONCATENATE("R4C",' RIESGOS DE GESTION'!#REF!),"")</f>
        <v>#REF!</v>
      </c>
      <c r="N39" s="51" t="e">
        <f>IF(AND(' RIESGOS DE GESTION'!#REF!="Baja",' RIESGOS DE GESTION'!#REF!="Leve"),CONCATENATE("R4C",' RIESGOS DE GESTION'!#REF!),"")</f>
        <v>#REF!</v>
      </c>
      <c r="O39" s="52" t="e">
        <f>IF(AND(' RIESGOS DE GESTION'!#REF!="Baja",' RIESGOS DE GESTION'!#REF!="Leve"),CONCATENATE("R4C",' RIESGOS DE GESTION'!#REF!),"")</f>
        <v>#REF!</v>
      </c>
      <c r="P39" s="41" t="e">
        <f>IF(AND(' RIESGOS DE GESTION'!#REF!="Baja",' RIESGOS DE GESTION'!#REF!="Menor"),CONCATENATE("R4C",' RIESGOS DE GESTION'!#REF!),"")</f>
        <v>#REF!</v>
      </c>
      <c r="Q39" s="42" t="e">
        <f>IF(AND(' RIESGOS DE GESTION'!#REF!="Baja",' RIESGOS DE GESTION'!#REF!="Menor"),CONCATENATE("R4C",' RIESGOS DE GESTION'!#REF!),"")</f>
        <v>#REF!</v>
      </c>
      <c r="R39" s="42" t="e">
        <f>IF(AND(' RIESGOS DE GESTION'!#REF!="Baja",' RIESGOS DE GESTION'!#REF!="Menor"),CONCATENATE("R4C",' RIESGOS DE GESTION'!#REF!),"")</f>
        <v>#REF!</v>
      </c>
      <c r="S39" s="42" t="e">
        <f>IF(AND(' RIESGOS DE GESTION'!#REF!="Baja",' RIESGOS DE GESTION'!#REF!="Menor"),CONCATENATE("R4C",' RIESGOS DE GESTION'!#REF!),"")</f>
        <v>#REF!</v>
      </c>
      <c r="T39" s="42" t="e">
        <f>IF(AND(' RIESGOS DE GESTION'!#REF!="Baja",' RIESGOS DE GESTION'!#REF!="Menor"),CONCATENATE("R4C",' RIESGOS DE GESTION'!#REF!),"")</f>
        <v>#REF!</v>
      </c>
      <c r="U39" s="43" t="e">
        <f>IF(AND(' RIESGOS DE GESTION'!#REF!="Baja",' RIESGOS DE GESTION'!#REF!="Menor"),CONCATENATE("R4C",' RIESGOS DE GESTION'!#REF!),"")</f>
        <v>#REF!</v>
      </c>
      <c r="V39" s="41" t="e">
        <f>IF(AND(' RIESGOS DE GESTION'!#REF!="Baja",' RIESGOS DE GESTION'!#REF!="Moderado"),CONCATENATE("R4C",' RIESGOS DE GESTION'!#REF!),"")</f>
        <v>#REF!</v>
      </c>
      <c r="W39" s="42" t="e">
        <f>IF(AND(' RIESGOS DE GESTION'!#REF!="Baja",' RIESGOS DE GESTION'!#REF!="Moderado"),CONCATENATE("R4C",' RIESGOS DE GESTION'!#REF!),"")</f>
        <v>#REF!</v>
      </c>
      <c r="X39" s="42" t="e">
        <f>IF(AND(' RIESGOS DE GESTION'!#REF!="Baja",' RIESGOS DE GESTION'!#REF!="Moderado"),CONCATENATE("R4C",' RIESGOS DE GESTION'!#REF!),"")</f>
        <v>#REF!</v>
      </c>
      <c r="Y39" s="42" t="e">
        <f>IF(AND(' RIESGOS DE GESTION'!#REF!="Baja",' RIESGOS DE GESTION'!#REF!="Moderado"),CONCATENATE("R4C",' RIESGOS DE GESTION'!#REF!),"")</f>
        <v>#REF!</v>
      </c>
      <c r="Z39" s="42" t="e">
        <f>IF(AND(' RIESGOS DE GESTION'!#REF!="Baja",' RIESGOS DE GESTION'!#REF!="Moderado"),CONCATENATE("R4C",' RIESGOS DE GESTION'!#REF!),"")</f>
        <v>#REF!</v>
      </c>
      <c r="AA39" s="43"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7"/>
      <c r="AO39" s="666"/>
      <c r="AP39" s="667"/>
      <c r="AQ39" s="667"/>
      <c r="AR39" s="667"/>
      <c r="AS39" s="667"/>
      <c r="AT39" s="668"/>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row>
    <row r="40" spans="1:80" ht="15" customHeight="1" x14ac:dyDescent="0.25">
      <c r="A40" s="57"/>
      <c r="B40" s="547"/>
      <c r="C40" s="547"/>
      <c r="D40" s="548"/>
      <c r="E40" s="646"/>
      <c r="F40" s="645"/>
      <c r="G40" s="645"/>
      <c r="H40" s="645"/>
      <c r="I40" s="645"/>
      <c r="J40" s="50" t="e">
        <f>IF(AND(' RIESGOS DE GESTION'!#REF!="Baja",' RIESGOS DE GESTION'!#REF!="Leve"),CONCATENATE("R5C",' RIESGOS DE GESTION'!#REF!),"")</f>
        <v>#REF!</v>
      </c>
      <c r="K40" s="51" t="e">
        <f>IF(AND(' RIESGOS DE GESTION'!#REF!="Baja",' RIESGOS DE GESTION'!#REF!="Leve"),CONCATENATE("R5C",' RIESGOS DE GESTION'!#REF!),"")</f>
        <v>#REF!</v>
      </c>
      <c r="L40" s="51" t="e">
        <f>IF(AND(' RIESGOS DE GESTION'!#REF!="Baja",' RIESGOS DE GESTION'!#REF!="Leve"),CONCATENATE("R5C",' RIESGOS DE GESTION'!#REF!),"")</f>
        <v>#REF!</v>
      </c>
      <c r="M40" s="51" t="e">
        <f>IF(AND(' RIESGOS DE GESTION'!#REF!="Baja",' RIESGOS DE GESTION'!#REF!="Leve"),CONCATENATE("R5C",' RIESGOS DE GESTION'!#REF!),"")</f>
        <v>#REF!</v>
      </c>
      <c r="N40" s="51" t="e">
        <f>IF(AND(' RIESGOS DE GESTION'!#REF!="Baja",' RIESGOS DE GESTION'!#REF!="Leve"),CONCATENATE("R5C",' RIESGOS DE GESTION'!#REF!),"")</f>
        <v>#REF!</v>
      </c>
      <c r="O40" s="52" t="e">
        <f>IF(AND(' RIESGOS DE GESTION'!#REF!="Baja",' RIESGOS DE GESTION'!#REF!="Leve"),CONCATENATE("R5C",' RIESGOS DE GESTION'!#REF!),"")</f>
        <v>#REF!</v>
      </c>
      <c r="P40" s="41" t="e">
        <f>IF(AND(' RIESGOS DE GESTION'!#REF!="Baja",' RIESGOS DE GESTION'!#REF!="Menor"),CONCATENATE("R5C",' RIESGOS DE GESTION'!#REF!),"")</f>
        <v>#REF!</v>
      </c>
      <c r="Q40" s="42" t="e">
        <f>IF(AND(' RIESGOS DE GESTION'!#REF!="Baja",' RIESGOS DE GESTION'!#REF!="Menor"),CONCATENATE("R5C",' RIESGOS DE GESTION'!#REF!),"")</f>
        <v>#REF!</v>
      </c>
      <c r="R40" s="42" t="e">
        <f>IF(AND(' RIESGOS DE GESTION'!#REF!="Baja",' RIESGOS DE GESTION'!#REF!="Menor"),CONCATENATE("R5C",' RIESGOS DE GESTION'!#REF!),"")</f>
        <v>#REF!</v>
      </c>
      <c r="S40" s="42" t="e">
        <f>IF(AND(' RIESGOS DE GESTION'!#REF!="Baja",' RIESGOS DE GESTION'!#REF!="Menor"),CONCATENATE("R5C",' RIESGOS DE GESTION'!#REF!),"")</f>
        <v>#REF!</v>
      </c>
      <c r="T40" s="42" t="e">
        <f>IF(AND(' RIESGOS DE GESTION'!#REF!="Baja",' RIESGOS DE GESTION'!#REF!="Menor"),CONCATENATE("R5C",' RIESGOS DE GESTION'!#REF!),"")</f>
        <v>#REF!</v>
      </c>
      <c r="U40" s="43" t="e">
        <f>IF(AND(' RIESGOS DE GESTION'!#REF!="Baja",' RIESGOS DE GESTION'!#REF!="Menor"),CONCATENATE("R5C",' RIESGOS DE GESTION'!#REF!),"")</f>
        <v>#REF!</v>
      </c>
      <c r="V40" s="41" t="e">
        <f>IF(AND(' RIESGOS DE GESTION'!#REF!="Baja",' RIESGOS DE GESTION'!#REF!="Moderado"),CONCATENATE("R5C",' RIESGOS DE GESTION'!#REF!),"")</f>
        <v>#REF!</v>
      </c>
      <c r="W40" s="42" t="e">
        <f>IF(AND(' RIESGOS DE GESTION'!#REF!="Baja",' RIESGOS DE GESTION'!#REF!="Moderado"),CONCATENATE("R5C",' RIESGOS DE GESTION'!#REF!),"")</f>
        <v>#REF!</v>
      </c>
      <c r="X40" s="42" t="e">
        <f>IF(AND(' RIESGOS DE GESTION'!#REF!="Baja",' RIESGOS DE GESTION'!#REF!="Moderado"),CONCATENATE("R5C",' RIESGOS DE GESTION'!#REF!),"")</f>
        <v>#REF!</v>
      </c>
      <c r="Y40" s="42" t="e">
        <f>IF(AND(' RIESGOS DE GESTION'!#REF!="Baja",' RIESGOS DE GESTION'!#REF!="Moderado"),CONCATENATE("R5C",' RIESGOS DE GESTION'!#REF!),"")</f>
        <v>#REF!</v>
      </c>
      <c r="Z40" s="42" t="e">
        <f>IF(AND(' RIESGOS DE GESTION'!#REF!="Baja",' RIESGOS DE GESTION'!#REF!="Moderado"),CONCATENATE("R5C",' RIESGOS DE GESTION'!#REF!),"")</f>
        <v>#REF!</v>
      </c>
      <c r="AA40" s="43"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27" t="e">
        <f>IF(AND(' RIESGOS DE GESTION'!#REF!="Baja",' RIESGOS DE GESTION'!#REF!="Mayor"),CONCATENATE("R5C",' RIESGOS DE GESTION'!#REF!),"")</f>
        <v>#REF!</v>
      </c>
      <c r="AE40" s="27" t="e">
        <f>IF(AND(' RIESGOS DE GESTION'!#REF!="Baja",' RIESGOS DE GESTION'!#REF!="Mayor"),CONCATENATE("R5C",' RIESGOS DE GESTION'!#REF!),"")</f>
        <v>#REF!</v>
      </c>
      <c r="AF40" s="27"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7"/>
      <c r="AO40" s="666"/>
      <c r="AP40" s="667"/>
      <c r="AQ40" s="667"/>
      <c r="AR40" s="667"/>
      <c r="AS40" s="667"/>
      <c r="AT40" s="668"/>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row>
    <row r="41" spans="1:80" ht="15" customHeight="1" x14ac:dyDescent="0.25">
      <c r="A41" s="57"/>
      <c r="B41" s="547"/>
      <c r="C41" s="547"/>
      <c r="D41" s="548"/>
      <c r="E41" s="646"/>
      <c r="F41" s="645"/>
      <c r="G41" s="645"/>
      <c r="H41" s="645"/>
      <c r="I41" s="645"/>
      <c r="J41" s="50" t="e">
        <f>IF(AND(' RIESGOS DE GESTION'!#REF!="Baja",' RIESGOS DE GESTION'!#REF!="Leve"),CONCATENATE("R6C",' RIESGOS DE GESTION'!#REF!),"")</f>
        <v>#REF!</v>
      </c>
      <c r="K41" s="51" t="e">
        <f>IF(AND(' RIESGOS DE GESTION'!#REF!="Baja",' RIESGOS DE GESTION'!#REF!="Leve"),CONCATENATE("R6C",' RIESGOS DE GESTION'!#REF!),"")</f>
        <v>#REF!</v>
      </c>
      <c r="L41" s="51" t="e">
        <f>IF(AND(' RIESGOS DE GESTION'!#REF!="Baja",' RIESGOS DE GESTION'!#REF!="Leve"),CONCATENATE("R6C",' RIESGOS DE GESTION'!#REF!),"")</f>
        <v>#REF!</v>
      </c>
      <c r="M41" s="51" t="e">
        <f>IF(AND(' RIESGOS DE GESTION'!#REF!="Baja",' RIESGOS DE GESTION'!#REF!="Leve"),CONCATENATE("R6C",' RIESGOS DE GESTION'!#REF!),"")</f>
        <v>#REF!</v>
      </c>
      <c r="N41" s="51" t="e">
        <f>IF(AND(' RIESGOS DE GESTION'!#REF!="Baja",' RIESGOS DE GESTION'!#REF!="Leve"),CONCATENATE("R6C",' RIESGOS DE GESTION'!#REF!),"")</f>
        <v>#REF!</v>
      </c>
      <c r="O41" s="52" t="e">
        <f>IF(AND(' RIESGOS DE GESTION'!#REF!="Baja",' RIESGOS DE GESTION'!#REF!="Leve"),CONCATENATE("R6C",' RIESGOS DE GESTION'!#REF!),"")</f>
        <v>#REF!</v>
      </c>
      <c r="P41" s="41" t="e">
        <f>IF(AND(' RIESGOS DE GESTION'!#REF!="Baja",' RIESGOS DE GESTION'!#REF!="Menor"),CONCATENATE("R6C",' RIESGOS DE GESTION'!#REF!),"")</f>
        <v>#REF!</v>
      </c>
      <c r="Q41" s="42" t="e">
        <f>IF(AND(' RIESGOS DE GESTION'!#REF!="Baja",' RIESGOS DE GESTION'!#REF!="Menor"),CONCATENATE("R6C",' RIESGOS DE GESTION'!#REF!),"")</f>
        <v>#REF!</v>
      </c>
      <c r="R41" s="42" t="e">
        <f>IF(AND(' RIESGOS DE GESTION'!#REF!="Baja",' RIESGOS DE GESTION'!#REF!="Menor"),CONCATENATE("R6C",' RIESGOS DE GESTION'!#REF!),"")</f>
        <v>#REF!</v>
      </c>
      <c r="S41" s="42" t="e">
        <f>IF(AND(' RIESGOS DE GESTION'!#REF!="Baja",' RIESGOS DE GESTION'!#REF!="Menor"),CONCATENATE("R6C",' RIESGOS DE GESTION'!#REF!),"")</f>
        <v>#REF!</v>
      </c>
      <c r="T41" s="42" t="e">
        <f>IF(AND(' RIESGOS DE GESTION'!#REF!="Baja",' RIESGOS DE GESTION'!#REF!="Menor"),CONCATENATE("R6C",' RIESGOS DE GESTION'!#REF!),"")</f>
        <v>#REF!</v>
      </c>
      <c r="U41" s="43" t="e">
        <f>IF(AND(' RIESGOS DE GESTION'!#REF!="Baja",' RIESGOS DE GESTION'!#REF!="Menor"),CONCATENATE("R6C",' RIESGOS DE GESTION'!#REF!),"")</f>
        <v>#REF!</v>
      </c>
      <c r="V41" s="41" t="e">
        <f>IF(AND(' RIESGOS DE GESTION'!#REF!="Baja",' RIESGOS DE GESTION'!#REF!="Moderado"),CONCATENATE("R6C",' RIESGOS DE GESTION'!#REF!),"")</f>
        <v>#REF!</v>
      </c>
      <c r="W41" s="42" t="e">
        <f>IF(AND(' RIESGOS DE GESTION'!#REF!="Baja",' RIESGOS DE GESTION'!#REF!="Moderado"),CONCATENATE("R6C",' RIESGOS DE GESTION'!#REF!),"")</f>
        <v>#REF!</v>
      </c>
      <c r="X41" s="42" t="e">
        <f>IF(AND(' RIESGOS DE GESTION'!#REF!="Baja",' RIESGOS DE GESTION'!#REF!="Moderado"),CONCATENATE("R6C",' RIESGOS DE GESTION'!#REF!),"")</f>
        <v>#REF!</v>
      </c>
      <c r="Y41" s="42" t="e">
        <f>IF(AND(' RIESGOS DE GESTION'!#REF!="Baja",' RIESGOS DE GESTION'!#REF!="Moderado"),CONCATENATE("R6C",' RIESGOS DE GESTION'!#REF!),"")</f>
        <v>#REF!</v>
      </c>
      <c r="Z41" s="42" t="e">
        <f>IF(AND(' RIESGOS DE GESTION'!#REF!="Baja",' RIESGOS DE GESTION'!#REF!="Moderado"),CONCATENATE("R6C",' RIESGOS DE GESTION'!#REF!),"")</f>
        <v>#REF!</v>
      </c>
      <c r="AA41" s="43"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27" t="e">
        <f>IF(AND(' RIESGOS DE GESTION'!#REF!="Baja",' RIESGOS DE GESTION'!#REF!="Mayor"),CONCATENATE("R6C",' RIESGOS DE GESTION'!#REF!),"")</f>
        <v>#REF!</v>
      </c>
      <c r="AE41" s="27" t="e">
        <f>IF(AND(' RIESGOS DE GESTION'!#REF!="Baja",' RIESGOS DE GESTION'!#REF!="Mayor"),CONCATENATE("R6C",' RIESGOS DE GESTION'!#REF!),"")</f>
        <v>#REF!</v>
      </c>
      <c r="AF41" s="27"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7"/>
      <c r="AO41" s="666"/>
      <c r="AP41" s="667"/>
      <c r="AQ41" s="667"/>
      <c r="AR41" s="667"/>
      <c r="AS41" s="667"/>
      <c r="AT41" s="668"/>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row>
    <row r="42" spans="1:80" ht="15" customHeight="1" x14ac:dyDescent="0.25">
      <c r="A42" s="57"/>
      <c r="B42" s="547"/>
      <c r="C42" s="547"/>
      <c r="D42" s="548"/>
      <c r="E42" s="646"/>
      <c r="F42" s="645"/>
      <c r="G42" s="645"/>
      <c r="H42" s="645"/>
      <c r="I42" s="645"/>
      <c r="J42" s="50" t="e">
        <f>IF(AND(' RIESGOS DE GESTION'!#REF!="Baja",' RIESGOS DE GESTION'!#REF!="Leve"),CONCATENATE("R7C",' RIESGOS DE GESTION'!#REF!),"")</f>
        <v>#REF!</v>
      </c>
      <c r="K42" s="51" t="e">
        <f>IF(AND(' RIESGOS DE GESTION'!#REF!="Baja",' RIESGOS DE GESTION'!#REF!="Leve"),CONCATENATE("R7C",' RIESGOS DE GESTION'!#REF!),"")</f>
        <v>#REF!</v>
      </c>
      <c r="L42" s="51" t="e">
        <f>IF(AND(' RIESGOS DE GESTION'!#REF!="Baja",' RIESGOS DE GESTION'!#REF!="Leve"),CONCATENATE("R7C",' RIESGOS DE GESTION'!#REF!),"")</f>
        <v>#REF!</v>
      </c>
      <c r="M42" s="51" t="e">
        <f>IF(AND(' RIESGOS DE GESTION'!#REF!="Baja",' RIESGOS DE GESTION'!#REF!="Leve"),CONCATENATE("R7C",' RIESGOS DE GESTION'!#REF!),"")</f>
        <v>#REF!</v>
      </c>
      <c r="N42" s="51" t="e">
        <f>IF(AND(' RIESGOS DE GESTION'!#REF!="Baja",' RIESGOS DE GESTION'!#REF!="Leve"),CONCATENATE("R7C",' RIESGOS DE GESTION'!#REF!),"")</f>
        <v>#REF!</v>
      </c>
      <c r="O42" s="52" t="e">
        <f>IF(AND(' RIESGOS DE GESTION'!#REF!="Baja",' RIESGOS DE GESTION'!#REF!="Leve"),CONCATENATE("R7C",' RIESGOS DE GESTION'!#REF!),"")</f>
        <v>#REF!</v>
      </c>
      <c r="P42" s="41" t="e">
        <f>IF(AND(' RIESGOS DE GESTION'!#REF!="Baja",' RIESGOS DE GESTION'!#REF!="Menor"),CONCATENATE("R7C",' RIESGOS DE GESTION'!#REF!),"")</f>
        <v>#REF!</v>
      </c>
      <c r="Q42" s="42" t="e">
        <f>IF(AND(' RIESGOS DE GESTION'!#REF!="Baja",' RIESGOS DE GESTION'!#REF!="Menor"),CONCATENATE("R7C",' RIESGOS DE GESTION'!#REF!),"")</f>
        <v>#REF!</v>
      </c>
      <c r="R42" s="42" t="e">
        <f>IF(AND(' RIESGOS DE GESTION'!#REF!="Baja",' RIESGOS DE GESTION'!#REF!="Menor"),CONCATENATE("R7C",' RIESGOS DE GESTION'!#REF!),"")</f>
        <v>#REF!</v>
      </c>
      <c r="S42" s="42" t="e">
        <f>IF(AND(' RIESGOS DE GESTION'!#REF!="Baja",' RIESGOS DE GESTION'!#REF!="Menor"),CONCATENATE("R7C",' RIESGOS DE GESTION'!#REF!),"")</f>
        <v>#REF!</v>
      </c>
      <c r="T42" s="42" t="e">
        <f>IF(AND(' RIESGOS DE GESTION'!#REF!="Baja",' RIESGOS DE GESTION'!#REF!="Menor"),CONCATENATE("R7C",' RIESGOS DE GESTION'!#REF!),"")</f>
        <v>#REF!</v>
      </c>
      <c r="U42" s="43" t="e">
        <f>IF(AND(' RIESGOS DE GESTION'!#REF!="Baja",' RIESGOS DE GESTION'!#REF!="Menor"),CONCATENATE("R7C",' RIESGOS DE GESTION'!#REF!),"")</f>
        <v>#REF!</v>
      </c>
      <c r="V42" s="41" t="e">
        <f>IF(AND(' RIESGOS DE GESTION'!#REF!="Baja",' RIESGOS DE GESTION'!#REF!="Moderado"),CONCATENATE("R7C",' RIESGOS DE GESTION'!#REF!),"")</f>
        <v>#REF!</v>
      </c>
      <c r="W42" s="42" t="e">
        <f>IF(AND(' RIESGOS DE GESTION'!#REF!="Baja",' RIESGOS DE GESTION'!#REF!="Moderado"),CONCATENATE("R7C",' RIESGOS DE GESTION'!#REF!),"")</f>
        <v>#REF!</v>
      </c>
      <c r="X42" s="42" t="e">
        <f>IF(AND(' RIESGOS DE GESTION'!#REF!="Baja",' RIESGOS DE GESTION'!#REF!="Moderado"),CONCATENATE("R7C",' RIESGOS DE GESTION'!#REF!),"")</f>
        <v>#REF!</v>
      </c>
      <c r="Y42" s="42" t="e">
        <f>IF(AND(' RIESGOS DE GESTION'!#REF!="Baja",' RIESGOS DE GESTION'!#REF!="Moderado"),CONCATENATE("R7C",' RIESGOS DE GESTION'!#REF!),"")</f>
        <v>#REF!</v>
      </c>
      <c r="Z42" s="42" t="e">
        <f>IF(AND(' RIESGOS DE GESTION'!#REF!="Baja",' RIESGOS DE GESTION'!#REF!="Moderado"),CONCATENATE("R7C",' RIESGOS DE GESTION'!#REF!),"")</f>
        <v>#REF!</v>
      </c>
      <c r="AA42" s="43"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27" t="e">
        <f>IF(AND(' RIESGOS DE GESTION'!#REF!="Baja",' RIESGOS DE GESTION'!#REF!="Mayor"),CONCATENATE("R7C",' RIESGOS DE GESTION'!#REF!),"")</f>
        <v>#REF!</v>
      </c>
      <c r="AE42" s="27" t="e">
        <f>IF(AND(' RIESGOS DE GESTION'!#REF!="Baja",' RIESGOS DE GESTION'!#REF!="Mayor"),CONCATENATE("R7C",' RIESGOS DE GESTION'!#REF!),"")</f>
        <v>#REF!</v>
      </c>
      <c r="AF42" s="27"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7"/>
      <c r="AO42" s="666"/>
      <c r="AP42" s="667"/>
      <c r="AQ42" s="667"/>
      <c r="AR42" s="667"/>
      <c r="AS42" s="667"/>
      <c r="AT42" s="668"/>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0" ht="15" customHeight="1" x14ac:dyDescent="0.25">
      <c r="A43" s="57"/>
      <c r="B43" s="547"/>
      <c r="C43" s="547"/>
      <c r="D43" s="548"/>
      <c r="E43" s="646"/>
      <c r="F43" s="645"/>
      <c r="G43" s="645"/>
      <c r="H43" s="645"/>
      <c r="I43" s="645"/>
      <c r="J43" s="50" t="e">
        <f>IF(AND(' RIESGOS DE GESTION'!#REF!="Baja",' RIESGOS DE GESTION'!#REF!="Leve"),CONCATENATE("R8C",' RIESGOS DE GESTION'!#REF!),"")</f>
        <v>#REF!</v>
      </c>
      <c r="K43" s="51" t="e">
        <f>IF(AND(' RIESGOS DE GESTION'!#REF!="Baja",' RIESGOS DE GESTION'!#REF!="Leve"),CONCATENATE("R8C",' RIESGOS DE GESTION'!#REF!),"")</f>
        <v>#REF!</v>
      </c>
      <c r="L43" s="51" t="e">
        <f>IF(AND(' RIESGOS DE GESTION'!#REF!="Baja",' RIESGOS DE GESTION'!#REF!="Leve"),CONCATENATE("R8C",' RIESGOS DE GESTION'!#REF!),"")</f>
        <v>#REF!</v>
      </c>
      <c r="M43" s="51" t="e">
        <f>IF(AND(' RIESGOS DE GESTION'!#REF!="Baja",' RIESGOS DE GESTION'!#REF!="Leve"),CONCATENATE("R8C",' RIESGOS DE GESTION'!#REF!),"")</f>
        <v>#REF!</v>
      </c>
      <c r="N43" s="51" t="e">
        <f>IF(AND(' RIESGOS DE GESTION'!#REF!="Baja",' RIESGOS DE GESTION'!#REF!="Leve"),CONCATENATE("R8C",' RIESGOS DE GESTION'!#REF!),"")</f>
        <v>#REF!</v>
      </c>
      <c r="O43" s="52" t="e">
        <f>IF(AND(' RIESGOS DE GESTION'!#REF!="Baja",' RIESGOS DE GESTION'!#REF!="Leve"),CONCATENATE("R8C",' RIESGOS DE GESTION'!#REF!),"")</f>
        <v>#REF!</v>
      </c>
      <c r="P43" s="41" t="e">
        <f>IF(AND(' RIESGOS DE GESTION'!#REF!="Baja",' RIESGOS DE GESTION'!#REF!="Menor"),CONCATENATE("R8C",' RIESGOS DE GESTION'!#REF!),"")</f>
        <v>#REF!</v>
      </c>
      <c r="Q43" s="42" t="e">
        <f>IF(AND(' RIESGOS DE GESTION'!#REF!="Baja",' RIESGOS DE GESTION'!#REF!="Menor"),CONCATENATE("R8C",' RIESGOS DE GESTION'!#REF!),"")</f>
        <v>#REF!</v>
      </c>
      <c r="R43" s="42" t="e">
        <f>IF(AND(' RIESGOS DE GESTION'!#REF!="Baja",' RIESGOS DE GESTION'!#REF!="Menor"),CONCATENATE("R8C",' RIESGOS DE GESTION'!#REF!),"")</f>
        <v>#REF!</v>
      </c>
      <c r="S43" s="42" t="e">
        <f>IF(AND(' RIESGOS DE GESTION'!#REF!="Baja",' RIESGOS DE GESTION'!#REF!="Menor"),CONCATENATE("R8C",' RIESGOS DE GESTION'!#REF!),"")</f>
        <v>#REF!</v>
      </c>
      <c r="T43" s="42" t="e">
        <f>IF(AND(' RIESGOS DE GESTION'!#REF!="Baja",' RIESGOS DE GESTION'!#REF!="Menor"),CONCATENATE("R8C",' RIESGOS DE GESTION'!#REF!),"")</f>
        <v>#REF!</v>
      </c>
      <c r="U43" s="43" t="e">
        <f>IF(AND(' RIESGOS DE GESTION'!#REF!="Baja",' RIESGOS DE GESTION'!#REF!="Menor"),CONCATENATE("R8C",' RIESGOS DE GESTION'!#REF!),"")</f>
        <v>#REF!</v>
      </c>
      <c r="V43" s="41" t="e">
        <f>IF(AND(' RIESGOS DE GESTION'!#REF!="Baja",' RIESGOS DE GESTION'!#REF!="Moderado"),CONCATENATE("R8C",' RIESGOS DE GESTION'!#REF!),"")</f>
        <v>#REF!</v>
      </c>
      <c r="W43" s="42" t="e">
        <f>IF(AND(' RIESGOS DE GESTION'!#REF!="Baja",' RIESGOS DE GESTION'!#REF!="Moderado"),CONCATENATE("R8C",' RIESGOS DE GESTION'!#REF!),"")</f>
        <v>#REF!</v>
      </c>
      <c r="X43" s="42" t="e">
        <f>IF(AND(' RIESGOS DE GESTION'!#REF!="Baja",' RIESGOS DE GESTION'!#REF!="Moderado"),CONCATENATE("R8C",' RIESGOS DE GESTION'!#REF!),"")</f>
        <v>#REF!</v>
      </c>
      <c r="Y43" s="42" t="e">
        <f>IF(AND(' RIESGOS DE GESTION'!#REF!="Baja",' RIESGOS DE GESTION'!#REF!="Moderado"),CONCATENATE("R8C",' RIESGOS DE GESTION'!#REF!),"")</f>
        <v>#REF!</v>
      </c>
      <c r="Z43" s="42" t="e">
        <f>IF(AND(' RIESGOS DE GESTION'!#REF!="Baja",' RIESGOS DE GESTION'!#REF!="Moderado"),CONCATENATE("R8C",' RIESGOS DE GESTION'!#REF!),"")</f>
        <v>#REF!</v>
      </c>
      <c r="AA43" s="43"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27" t="e">
        <f>IF(AND(' RIESGOS DE GESTION'!#REF!="Baja",' RIESGOS DE GESTION'!#REF!="Mayor"),CONCATENATE("R8C",' RIESGOS DE GESTION'!#REF!),"")</f>
        <v>#REF!</v>
      </c>
      <c r="AE43" s="27" t="e">
        <f>IF(AND(' RIESGOS DE GESTION'!#REF!="Baja",' RIESGOS DE GESTION'!#REF!="Mayor"),CONCATENATE("R8C",' RIESGOS DE GESTION'!#REF!),"")</f>
        <v>#REF!</v>
      </c>
      <c r="AF43" s="27"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7"/>
      <c r="AO43" s="666"/>
      <c r="AP43" s="667"/>
      <c r="AQ43" s="667"/>
      <c r="AR43" s="667"/>
      <c r="AS43" s="667"/>
      <c r="AT43" s="668"/>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0" ht="15" customHeight="1" x14ac:dyDescent="0.25">
      <c r="A44" s="57"/>
      <c r="B44" s="547"/>
      <c r="C44" s="547"/>
      <c r="D44" s="548"/>
      <c r="E44" s="646"/>
      <c r="F44" s="645"/>
      <c r="G44" s="645"/>
      <c r="H44" s="645"/>
      <c r="I44" s="645"/>
      <c r="J44" s="50" t="e">
        <f>IF(AND(' RIESGOS DE GESTION'!#REF!="Baja",' RIESGOS DE GESTION'!#REF!="Leve"),CONCATENATE("R9C",' RIESGOS DE GESTION'!#REF!),"")</f>
        <v>#REF!</v>
      </c>
      <c r="K44" s="51" t="e">
        <f>IF(AND(' RIESGOS DE GESTION'!#REF!="Baja",' RIESGOS DE GESTION'!#REF!="Leve"),CONCATENATE("R9C",' RIESGOS DE GESTION'!#REF!),"")</f>
        <v>#REF!</v>
      </c>
      <c r="L44" s="51" t="e">
        <f>IF(AND(' RIESGOS DE GESTION'!#REF!="Baja",' RIESGOS DE GESTION'!#REF!="Leve"),CONCATENATE("R9C",' RIESGOS DE GESTION'!#REF!),"")</f>
        <v>#REF!</v>
      </c>
      <c r="M44" s="51" t="e">
        <f>IF(AND(' RIESGOS DE GESTION'!#REF!="Baja",' RIESGOS DE GESTION'!#REF!="Leve"),CONCATENATE("R9C",' RIESGOS DE GESTION'!#REF!),"")</f>
        <v>#REF!</v>
      </c>
      <c r="N44" s="51" t="e">
        <f>IF(AND(' RIESGOS DE GESTION'!#REF!="Baja",' RIESGOS DE GESTION'!#REF!="Leve"),CONCATENATE("R9C",' RIESGOS DE GESTION'!#REF!),"")</f>
        <v>#REF!</v>
      </c>
      <c r="O44" s="52" t="e">
        <f>IF(AND(' RIESGOS DE GESTION'!#REF!="Baja",' RIESGOS DE GESTION'!#REF!="Leve"),CONCATENATE("R9C",' RIESGOS DE GESTION'!#REF!),"")</f>
        <v>#REF!</v>
      </c>
      <c r="P44" s="41" t="e">
        <f>IF(AND(' RIESGOS DE GESTION'!#REF!="Baja",' RIESGOS DE GESTION'!#REF!="Menor"),CONCATENATE("R9C",' RIESGOS DE GESTION'!#REF!),"")</f>
        <v>#REF!</v>
      </c>
      <c r="Q44" s="42" t="e">
        <f>IF(AND(' RIESGOS DE GESTION'!#REF!="Baja",' RIESGOS DE GESTION'!#REF!="Menor"),CONCATENATE("R9C",' RIESGOS DE GESTION'!#REF!),"")</f>
        <v>#REF!</v>
      </c>
      <c r="R44" s="42" t="e">
        <f>IF(AND(' RIESGOS DE GESTION'!#REF!="Baja",' RIESGOS DE GESTION'!#REF!="Menor"),CONCATENATE("R9C",' RIESGOS DE GESTION'!#REF!),"")</f>
        <v>#REF!</v>
      </c>
      <c r="S44" s="42" t="e">
        <f>IF(AND(' RIESGOS DE GESTION'!#REF!="Baja",' RIESGOS DE GESTION'!#REF!="Menor"),CONCATENATE("R9C",' RIESGOS DE GESTION'!#REF!),"")</f>
        <v>#REF!</v>
      </c>
      <c r="T44" s="42" t="e">
        <f>IF(AND(' RIESGOS DE GESTION'!#REF!="Baja",' RIESGOS DE GESTION'!#REF!="Menor"),CONCATENATE("R9C",' RIESGOS DE GESTION'!#REF!),"")</f>
        <v>#REF!</v>
      </c>
      <c r="U44" s="43" t="e">
        <f>IF(AND(' RIESGOS DE GESTION'!#REF!="Baja",' RIESGOS DE GESTION'!#REF!="Menor"),CONCATENATE("R9C",' RIESGOS DE GESTION'!#REF!),"")</f>
        <v>#REF!</v>
      </c>
      <c r="V44" s="41" t="e">
        <f>IF(AND(' RIESGOS DE GESTION'!#REF!="Baja",' RIESGOS DE GESTION'!#REF!="Moderado"),CONCATENATE("R9C",' RIESGOS DE GESTION'!#REF!),"")</f>
        <v>#REF!</v>
      </c>
      <c r="W44" s="42" t="e">
        <f>IF(AND(' RIESGOS DE GESTION'!#REF!="Baja",' RIESGOS DE GESTION'!#REF!="Moderado"),CONCATENATE("R9C",' RIESGOS DE GESTION'!#REF!),"")</f>
        <v>#REF!</v>
      </c>
      <c r="X44" s="42" t="e">
        <f>IF(AND(' RIESGOS DE GESTION'!#REF!="Baja",' RIESGOS DE GESTION'!#REF!="Moderado"),CONCATENATE("R9C",' RIESGOS DE GESTION'!#REF!),"")</f>
        <v>#REF!</v>
      </c>
      <c r="Y44" s="42" t="e">
        <f>IF(AND(' RIESGOS DE GESTION'!#REF!="Baja",' RIESGOS DE GESTION'!#REF!="Moderado"),CONCATENATE("R9C",' RIESGOS DE GESTION'!#REF!),"")</f>
        <v>#REF!</v>
      </c>
      <c r="Z44" s="42" t="e">
        <f>IF(AND(' RIESGOS DE GESTION'!#REF!="Baja",' RIESGOS DE GESTION'!#REF!="Moderado"),CONCATENATE("R9C",' RIESGOS DE GESTION'!#REF!),"")</f>
        <v>#REF!</v>
      </c>
      <c r="AA44" s="43"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27" t="e">
        <f>IF(AND(' RIESGOS DE GESTION'!#REF!="Baja",' RIESGOS DE GESTION'!#REF!="Mayor"),CONCATENATE("R9C",' RIESGOS DE GESTION'!#REF!),"")</f>
        <v>#REF!</v>
      </c>
      <c r="AE44" s="27" t="e">
        <f>IF(AND(' RIESGOS DE GESTION'!#REF!="Baja",' RIESGOS DE GESTION'!#REF!="Mayor"),CONCATENATE("R9C",' RIESGOS DE GESTION'!#REF!),"")</f>
        <v>#REF!</v>
      </c>
      <c r="AF44" s="27"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7"/>
      <c r="AO44" s="666"/>
      <c r="AP44" s="667"/>
      <c r="AQ44" s="667"/>
      <c r="AR44" s="667"/>
      <c r="AS44" s="667"/>
      <c r="AT44" s="668"/>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row>
    <row r="45" spans="1:80" ht="15.75" customHeight="1" thickBot="1" x14ac:dyDescent="0.3">
      <c r="A45" s="57"/>
      <c r="B45" s="547"/>
      <c r="C45" s="547"/>
      <c r="D45" s="548"/>
      <c r="E45" s="647"/>
      <c r="F45" s="648"/>
      <c r="G45" s="648"/>
      <c r="H45" s="648"/>
      <c r="I45" s="648"/>
      <c r="J45" s="53" t="e">
        <f>IF(AND(' RIESGOS DE GESTION'!#REF!="Baja",' RIESGOS DE GESTION'!#REF!="Leve"),CONCATENATE("R10C",' RIESGOS DE GESTION'!#REF!),"")</f>
        <v>#REF!</v>
      </c>
      <c r="K45" s="54" t="e">
        <f>IF(AND(' RIESGOS DE GESTION'!#REF!="Baja",' RIESGOS DE GESTION'!#REF!="Leve"),CONCATENATE("R10C",' RIESGOS DE GESTION'!#REF!),"")</f>
        <v>#REF!</v>
      </c>
      <c r="L45" s="54" t="e">
        <f>IF(AND(' RIESGOS DE GESTION'!#REF!="Baja",' RIESGOS DE GESTION'!#REF!="Leve"),CONCATENATE("R10C",' RIESGOS DE GESTION'!#REF!),"")</f>
        <v>#REF!</v>
      </c>
      <c r="M45" s="54" t="e">
        <f>IF(AND(' RIESGOS DE GESTION'!#REF!="Baja",' RIESGOS DE GESTION'!#REF!="Leve"),CONCATENATE("R10C",' RIESGOS DE GESTION'!#REF!),"")</f>
        <v>#REF!</v>
      </c>
      <c r="N45" s="54" t="e">
        <f>IF(AND(' RIESGOS DE GESTION'!#REF!="Baja",' RIESGOS DE GESTION'!#REF!="Leve"),CONCATENATE("R10C",' RIESGOS DE GESTION'!#REF!),"")</f>
        <v>#REF!</v>
      </c>
      <c r="O45" s="55" t="e">
        <f>IF(AND(' RIESGOS DE GESTION'!#REF!="Baja",' RIESGOS DE GESTION'!#REF!="Leve"),CONCATENATE("R10C",' RIESGOS DE GESTION'!#REF!),"")</f>
        <v>#REF!</v>
      </c>
      <c r="P45" s="41" t="e">
        <f>IF(AND(' RIESGOS DE GESTION'!#REF!="Baja",' RIESGOS DE GESTION'!#REF!="Menor"),CONCATENATE("R10C",' RIESGOS DE GESTION'!#REF!),"")</f>
        <v>#REF!</v>
      </c>
      <c r="Q45" s="42" t="e">
        <f>IF(AND(' RIESGOS DE GESTION'!#REF!="Baja",' RIESGOS DE GESTION'!#REF!="Menor"),CONCATENATE("R10C",' RIESGOS DE GESTION'!#REF!),"")</f>
        <v>#REF!</v>
      </c>
      <c r="R45" s="42" t="e">
        <f>IF(AND(' RIESGOS DE GESTION'!#REF!="Baja",' RIESGOS DE GESTION'!#REF!="Menor"),CONCATENATE("R10C",' RIESGOS DE GESTION'!#REF!),"")</f>
        <v>#REF!</v>
      </c>
      <c r="S45" s="42" t="e">
        <f>IF(AND(' RIESGOS DE GESTION'!#REF!="Baja",' RIESGOS DE GESTION'!#REF!="Menor"),CONCATENATE("R10C",' RIESGOS DE GESTION'!#REF!),"")</f>
        <v>#REF!</v>
      </c>
      <c r="T45" s="42" t="e">
        <f>IF(AND(' RIESGOS DE GESTION'!#REF!="Baja",' RIESGOS DE GESTION'!#REF!="Menor"),CONCATENATE("R10C",' RIESGOS DE GESTION'!#REF!),"")</f>
        <v>#REF!</v>
      </c>
      <c r="U45" s="43" t="e">
        <f>IF(AND(' RIESGOS DE GESTION'!#REF!="Baja",' RIESGOS DE GESTION'!#REF!="Menor"),CONCATENATE("R10C",' RIESGOS DE GESTION'!#REF!),"")</f>
        <v>#REF!</v>
      </c>
      <c r="V45" s="44" t="e">
        <f>IF(AND(' RIESGOS DE GESTION'!#REF!="Baja",' RIESGOS DE GESTION'!#REF!="Moderado"),CONCATENATE("R10C",' RIESGOS DE GESTION'!#REF!),"")</f>
        <v>#REF!</v>
      </c>
      <c r="W45" s="45" t="e">
        <f>IF(AND(' RIESGOS DE GESTION'!#REF!="Baja",' RIESGOS DE GESTION'!#REF!="Moderado"),CONCATENATE("R10C",' RIESGOS DE GESTION'!#REF!),"")</f>
        <v>#REF!</v>
      </c>
      <c r="X45" s="45" t="e">
        <f>IF(AND(' RIESGOS DE GESTION'!#REF!="Baja",' RIESGOS DE GESTION'!#REF!="Moderado"),CONCATENATE("R10C",' RIESGOS DE GESTION'!#REF!),"")</f>
        <v>#REF!</v>
      </c>
      <c r="Y45" s="45" t="e">
        <f>IF(AND(' RIESGOS DE GESTION'!#REF!="Baja",' RIESGOS DE GESTION'!#REF!="Moderado"),CONCATENATE("R10C",' RIESGOS DE GESTION'!#REF!),"")</f>
        <v>#REF!</v>
      </c>
      <c r="Z45" s="45" t="e">
        <f>IF(AND(' RIESGOS DE GESTION'!#REF!="Baja",' RIESGOS DE GESTION'!#REF!="Moderado"),CONCATENATE("R10C",' RIESGOS DE GESTION'!#REF!),"")</f>
        <v>#REF!</v>
      </c>
      <c r="AA45" s="46" t="e">
        <f>IF(AND(' RIESGOS DE GESTION'!#REF!="Baja",' RIESGOS DE GESTION'!#REF!="Moderado"),CONCATENATE("R10C",' RIESGOS DE GESTION'!#REF!),"")</f>
        <v>#REF!</v>
      </c>
      <c r="AB45" s="32" t="e">
        <f>IF(AND(' RIESGOS DE GESTION'!#REF!="Baja",' RIESGOS DE GESTION'!#REF!="Mayor"),CONCATENATE("R10C",' RIESGOS DE GESTION'!#REF!),"")</f>
        <v>#REF!</v>
      </c>
      <c r="AC45" s="33" t="e">
        <f>IF(AND(' RIESGOS DE GESTION'!#REF!="Baja",' RIESGOS DE GESTION'!#REF!="Mayor"),CONCATENATE("R10C",' RIESGOS DE GESTION'!#REF!),"")</f>
        <v>#REF!</v>
      </c>
      <c r="AD45" s="33" t="e">
        <f>IF(AND(' RIESGOS DE GESTION'!#REF!="Baja",' RIESGOS DE GESTION'!#REF!="Mayor"),CONCATENATE("R10C",' RIESGOS DE GESTION'!#REF!),"")</f>
        <v>#REF!</v>
      </c>
      <c r="AE45" s="33" t="e">
        <f>IF(AND(' RIESGOS DE GESTION'!#REF!="Baja",' RIESGOS DE GESTION'!#REF!="Mayor"),CONCATENATE("R10C",' RIESGOS DE GESTION'!#REF!),"")</f>
        <v>#REF!</v>
      </c>
      <c r="AF45" s="33" t="e">
        <f>IF(AND(' RIESGOS DE GESTION'!#REF!="Baja",' RIESGOS DE GESTION'!#REF!="Mayor"),CONCATENATE("R10C",' RIESGOS DE GESTION'!#REF!),"")</f>
        <v>#REF!</v>
      </c>
      <c r="AG45" s="34" t="e">
        <f>IF(AND(' RIESGOS DE GESTION'!#REF!="Baja",' RIESGOS DE GESTION'!#REF!="Mayor"),CONCATENATE("R10C",' RIESGOS DE GESTION'!#REF!),"")</f>
        <v>#REF!</v>
      </c>
      <c r="AH45" s="35" t="e">
        <f>IF(AND(' RIESGOS DE GESTION'!#REF!="Baja",' RIESGOS DE GESTION'!#REF!="Catastrófico"),CONCATENATE("R10C",' RIESGOS DE GESTION'!#REF!),"")</f>
        <v>#REF!</v>
      </c>
      <c r="AI45" s="36" t="e">
        <f>IF(AND(' RIESGOS DE GESTION'!#REF!="Baja",' RIESGOS DE GESTION'!#REF!="Catastrófico"),CONCATENATE("R10C",' RIESGOS DE GESTION'!#REF!),"")</f>
        <v>#REF!</v>
      </c>
      <c r="AJ45" s="36" t="e">
        <f>IF(AND(' RIESGOS DE GESTION'!#REF!="Baja",' RIESGOS DE GESTION'!#REF!="Catastrófico"),CONCATENATE("R10C",' RIESGOS DE GESTION'!#REF!),"")</f>
        <v>#REF!</v>
      </c>
      <c r="AK45" s="36" t="e">
        <f>IF(AND(' RIESGOS DE GESTION'!#REF!="Baja",' RIESGOS DE GESTION'!#REF!="Catastrófico"),CONCATENATE("R10C",' RIESGOS DE GESTION'!#REF!),"")</f>
        <v>#REF!</v>
      </c>
      <c r="AL45" s="36" t="e">
        <f>IF(AND(' RIESGOS DE GESTION'!#REF!="Baja",' RIESGOS DE GESTION'!#REF!="Catastrófico"),CONCATENATE("R10C",' RIESGOS DE GESTION'!#REF!),"")</f>
        <v>#REF!</v>
      </c>
      <c r="AM45" s="37" t="e">
        <f>IF(AND(' RIESGOS DE GESTION'!#REF!="Baja",' RIESGOS DE GESTION'!#REF!="Catastrófico"),CONCATENATE("R10C",' RIESGOS DE GESTION'!#REF!),"")</f>
        <v>#REF!</v>
      </c>
      <c r="AN45" s="57"/>
      <c r="AO45" s="669"/>
      <c r="AP45" s="670"/>
      <c r="AQ45" s="670"/>
      <c r="AR45" s="670"/>
      <c r="AS45" s="670"/>
      <c r="AT45" s="671"/>
    </row>
    <row r="46" spans="1:80" ht="46.5" customHeight="1" x14ac:dyDescent="0.35">
      <c r="A46" s="57"/>
      <c r="B46" s="547"/>
      <c r="C46" s="547"/>
      <c r="D46" s="548"/>
      <c r="E46" s="642" t="s">
        <v>579</v>
      </c>
      <c r="F46" s="643"/>
      <c r="G46" s="643"/>
      <c r="H46" s="643"/>
      <c r="I46" s="660"/>
      <c r="J46" s="47" t="e">
        <f>IF(AND(' RIESGOS DE GESTION'!#REF!="Muy Baja",' RIESGOS DE GESTION'!#REF!="Leve"),CONCATENATE("R1C",' RIESGOS DE GESTION'!#REF!),"")</f>
        <v>#REF!</v>
      </c>
      <c r="K46" s="48" t="e">
        <f>IF(AND(' RIESGOS DE GESTION'!#REF!="Muy Baja",' RIESGOS DE GESTION'!#REF!="Leve"),CONCATENATE("R1C",' RIESGOS DE GESTION'!#REF!),"")</f>
        <v>#REF!</v>
      </c>
      <c r="L46" s="48" t="e">
        <f>IF(AND(' RIESGOS DE GESTION'!#REF!="Muy Baja",' RIESGOS DE GESTION'!#REF!="Leve"),CONCATENATE("R1C",' RIESGOS DE GESTION'!#REF!),"")</f>
        <v>#REF!</v>
      </c>
      <c r="M46" s="48" t="e">
        <f>IF(AND(' RIESGOS DE GESTION'!#REF!="Muy Baja",' RIESGOS DE GESTION'!#REF!="Leve"),CONCATENATE("R1C",' RIESGOS DE GESTION'!#REF!),"")</f>
        <v>#REF!</v>
      </c>
      <c r="N46" s="48" t="e">
        <f>IF(AND(' RIESGOS DE GESTION'!#REF!="Muy Baja",' RIESGOS DE GESTION'!#REF!="Leve"),CONCATENATE("R1C",' RIESGOS DE GESTION'!#REF!),"")</f>
        <v>#REF!</v>
      </c>
      <c r="O46" s="49" t="e">
        <f>IF(AND(' RIESGOS DE GESTION'!#REF!="Muy Baja",' RIESGOS DE GESTION'!#REF!="Leve"),CONCATENATE("R1C",' RIESGOS DE GESTION'!#REF!),"")</f>
        <v>#REF!</v>
      </c>
      <c r="P46" s="47" t="e">
        <f>IF(AND(' RIESGOS DE GESTION'!#REF!="Muy Baja",' RIESGOS DE GESTION'!#REF!="Menor"),CONCATENATE("R1C",' RIESGOS DE GESTION'!#REF!),"")</f>
        <v>#REF!</v>
      </c>
      <c r="Q46" s="48" t="e">
        <f>IF(AND(' RIESGOS DE GESTION'!#REF!="Muy Baja",' RIESGOS DE GESTION'!#REF!="Menor"),CONCATENATE("R1C",' RIESGOS DE GESTION'!#REF!),"")</f>
        <v>#REF!</v>
      </c>
      <c r="R46" s="48" t="e">
        <f>IF(AND(' RIESGOS DE GESTION'!#REF!="Muy Baja",' RIESGOS DE GESTION'!#REF!="Menor"),CONCATENATE("R1C",' RIESGOS DE GESTION'!#REF!),"")</f>
        <v>#REF!</v>
      </c>
      <c r="S46" s="48" t="e">
        <f>IF(AND(' RIESGOS DE GESTION'!#REF!="Muy Baja",' RIESGOS DE GESTION'!#REF!="Menor"),CONCATENATE("R1C",' RIESGOS DE GESTION'!#REF!),"")</f>
        <v>#REF!</v>
      </c>
      <c r="T46" s="48" t="e">
        <f>IF(AND(' RIESGOS DE GESTION'!#REF!="Muy Baja",' RIESGOS DE GESTION'!#REF!="Menor"),CONCATENATE("R1C",' RIESGOS DE GESTION'!#REF!),"")</f>
        <v>#REF!</v>
      </c>
      <c r="U46" s="49" t="e">
        <f>IF(AND(' RIESGOS DE GESTION'!#REF!="Muy Baja",' RIESGOS DE GESTION'!#REF!="Menor"),CONCATENATE("R1C",' RIESGOS DE GESTION'!#REF!),"")</f>
        <v>#REF!</v>
      </c>
      <c r="V46" s="38" t="e">
        <f>IF(AND(' RIESGOS DE GESTION'!#REF!="Muy Baja",' RIESGOS DE GESTION'!#REF!="Moderado"),CONCATENATE("R1C",' RIESGOS DE GESTION'!#REF!),"")</f>
        <v>#REF!</v>
      </c>
      <c r="W46" s="56" t="e">
        <f>IF(AND(' RIESGOS DE GESTION'!#REF!="Muy Baja",' RIESGOS DE GESTION'!#REF!="Moderado"),CONCATENATE("R1C",' RIESGOS DE GESTION'!#REF!),"")</f>
        <v>#REF!</v>
      </c>
      <c r="X46" s="39" t="e">
        <f>IF(AND(' RIESGOS DE GESTION'!#REF!="Muy Baja",' RIESGOS DE GESTION'!#REF!="Moderado"),CONCATENATE("R1C",' RIESGOS DE GESTION'!#REF!),"")</f>
        <v>#REF!</v>
      </c>
      <c r="Y46" s="39" t="e">
        <f>IF(AND(' RIESGOS DE GESTION'!#REF!="Muy Baja",' RIESGOS DE GESTION'!#REF!="Moderado"),CONCATENATE("R1C",' RIESGOS DE GESTION'!#REF!),"")</f>
        <v>#REF!</v>
      </c>
      <c r="Z46" s="39" t="e">
        <f>IF(AND(' RIESGOS DE GESTION'!#REF!="Muy Baja",' RIESGOS DE GESTION'!#REF!="Moderado"),CONCATENATE("R1C",' RIESGOS DE GESTION'!#REF!),"")</f>
        <v>#REF!</v>
      </c>
      <c r="AA46" s="40"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row>
    <row r="47" spans="1:80" ht="46.5" customHeight="1" x14ac:dyDescent="0.25">
      <c r="A47" s="57"/>
      <c r="B47" s="547"/>
      <c r="C47" s="547"/>
      <c r="D47" s="548"/>
      <c r="E47" s="644"/>
      <c r="F47" s="645"/>
      <c r="G47" s="645"/>
      <c r="H47" s="645"/>
      <c r="I47" s="661"/>
      <c r="J47" s="50" t="e">
        <f>IF(AND(' RIESGOS DE GESTION'!#REF!="Muy Baja",' RIESGOS DE GESTION'!#REF!="Leve"),CONCATENATE("R2C",' RIESGOS DE GESTION'!#REF!),"")</f>
        <v>#REF!</v>
      </c>
      <c r="K47" s="51" t="e">
        <f>IF(AND(' RIESGOS DE GESTION'!#REF!="Muy Baja",' RIESGOS DE GESTION'!#REF!="Leve"),CONCATENATE("R2C",' RIESGOS DE GESTION'!#REF!),"")</f>
        <v>#REF!</v>
      </c>
      <c r="L47" s="51" t="e">
        <f>IF(AND(' RIESGOS DE GESTION'!#REF!="Muy Baja",' RIESGOS DE GESTION'!#REF!="Leve"),CONCATENATE("R2C",' RIESGOS DE GESTION'!#REF!),"")</f>
        <v>#REF!</v>
      </c>
      <c r="M47" s="51" t="e">
        <f>IF(AND(' RIESGOS DE GESTION'!#REF!="Muy Baja",' RIESGOS DE GESTION'!#REF!="Leve"),CONCATENATE("R2C",' RIESGOS DE GESTION'!#REF!),"")</f>
        <v>#REF!</v>
      </c>
      <c r="N47" s="51" t="e">
        <f>IF(AND(' RIESGOS DE GESTION'!#REF!="Muy Baja",' RIESGOS DE GESTION'!#REF!="Leve"),CONCATENATE("R2C",' RIESGOS DE GESTION'!#REF!),"")</f>
        <v>#REF!</v>
      </c>
      <c r="O47" s="52" t="e">
        <f>IF(AND(' RIESGOS DE GESTION'!#REF!="Muy Baja",' RIESGOS DE GESTION'!#REF!="Leve"),CONCATENATE("R2C",' RIESGOS DE GESTION'!#REF!),"")</f>
        <v>#REF!</v>
      </c>
      <c r="P47" s="50" t="e">
        <f>IF(AND(' RIESGOS DE GESTION'!#REF!="Muy Baja",' RIESGOS DE GESTION'!#REF!="Menor"),CONCATENATE("R2C",' RIESGOS DE GESTION'!#REF!),"")</f>
        <v>#REF!</v>
      </c>
      <c r="Q47" s="51" t="e">
        <f>IF(AND(' RIESGOS DE GESTION'!#REF!="Muy Baja",' RIESGOS DE GESTION'!#REF!="Menor"),CONCATENATE("R2C",' RIESGOS DE GESTION'!#REF!),"")</f>
        <v>#REF!</v>
      </c>
      <c r="R47" s="51" t="e">
        <f>IF(AND(' RIESGOS DE GESTION'!#REF!="Muy Baja",' RIESGOS DE GESTION'!#REF!="Menor"),CONCATENATE("R2C",' RIESGOS DE GESTION'!#REF!),"")</f>
        <v>#REF!</v>
      </c>
      <c r="S47" s="51" t="e">
        <f>IF(AND(' RIESGOS DE GESTION'!#REF!="Muy Baja",' RIESGOS DE GESTION'!#REF!="Menor"),CONCATENATE("R2C",' RIESGOS DE GESTION'!#REF!),"")</f>
        <v>#REF!</v>
      </c>
      <c r="T47" s="51" t="e">
        <f>IF(AND(' RIESGOS DE GESTION'!#REF!="Muy Baja",' RIESGOS DE GESTION'!#REF!="Menor"),CONCATENATE("R2C",' RIESGOS DE GESTION'!#REF!),"")</f>
        <v>#REF!</v>
      </c>
      <c r="U47" s="52" t="e">
        <f>IF(AND(' RIESGOS DE GESTION'!#REF!="Muy Baja",' RIESGOS DE GESTION'!#REF!="Menor"),CONCATENATE("R2C",' RIESGOS DE GESTION'!#REF!),"")</f>
        <v>#REF!</v>
      </c>
      <c r="V47" s="41" t="e">
        <f>IF(AND(' RIESGOS DE GESTION'!#REF!="Muy Baja",' RIESGOS DE GESTION'!#REF!="Moderado"),CONCATENATE("R2C",' RIESGOS DE GESTION'!#REF!),"")</f>
        <v>#REF!</v>
      </c>
      <c r="W47" s="42" t="e">
        <f>IF(AND(' RIESGOS DE GESTION'!#REF!="Muy Baja",' RIESGOS DE GESTION'!#REF!="Moderado"),CONCATENATE("R2C",' RIESGOS DE GESTION'!#REF!),"")</f>
        <v>#REF!</v>
      </c>
      <c r="X47" s="42" t="e">
        <f>IF(AND(' RIESGOS DE GESTION'!#REF!="Muy Baja",' RIESGOS DE GESTION'!#REF!="Moderado"),CONCATENATE("R2C",' RIESGOS DE GESTION'!#REF!),"")</f>
        <v>#REF!</v>
      </c>
      <c r="Y47" s="42" t="e">
        <f>IF(AND(' RIESGOS DE GESTION'!#REF!="Muy Baja",' RIESGOS DE GESTION'!#REF!="Moderado"),CONCATENATE("R2C",' RIESGOS DE GESTION'!#REF!),"")</f>
        <v>#REF!</v>
      </c>
      <c r="Z47" s="42" t="e">
        <f>IF(AND(' RIESGOS DE GESTION'!#REF!="Muy Baja",' RIESGOS DE GESTION'!#REF!="Moderado"),CONCATENATE("R2C",' RIESGOS DE GESTION'!#REF!),"")</f>
        <v>#REF!</v>
      </c>
      <c r="AA47" s="43"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row>
    <row r="48" spans="1:80" ht="15" customHeight="1" x14ac:dyDescent="0.25">
      <c r="A48" s="57"/>
      <c r="B48" s="547"/>
      <c r="C48" s="547"/>
      <c r="D48" s="548"/>
      <c r="E48" s="644"/>
      <c r="F48" s="645"/>
      <c r="G48" s="645"/>
      <c r="H48" s="645"/>
      <c r="I48" s="661"/>
      <c r="J48" s="50" t="e">
        <f>IF(AND(' RIESGOS DE GESTION'!#REF!="Muy Baja",' RIESGOS DE GESTION'!#REF!="Leve"),CONCATENATE("R3C",' RIESGOS DE GESTION'!#REF!),"")</f>
        <v>#REF!</v>
      </c>
      <c r="K48" s="51" t="e">
        <f>IF(AND(' RIESGOS DE GESTION'!#REF!="Muy Baja",' RIESGOS DE GESTION'!#REF!="Leve"),CONCATENATE("R3C",' RIESGOS DE GESTION'!#REF!),"")</f>
        <v>#REF!</v>
      </c>
      <c r="L48" s="51" t="e">
        <f>IF(AND(' RIESGOS DE GESTION'!#REF!="Muy Baja",' RIESGOS DE GESTION'!#REF!="Leve"),CONCATENATE("R3C",' RIESGOS DE GESTION'!#REF!),"")</f>
        <v>#REF!</v>
      </c>
      <c r="M48" s="51" t="e">
        <f>IF(AND(' RIESGOS DE GESTION'!#REF!="Muy Baja",' RIESGOS DE GESTION'!#REF!="Leve"),CONCATENATE("R3C",' RIESGOS DE GESTION'!#REF!),"")</f>
        <v>#REF!</v>
      </c>
      <c r="N48" s="51" t="e">
        <f>IF(AND(' RIESGOS DE GESTION'!#REF!="Muy Baja",' RIESGOS DE GESTION'!#REF!="Leve"),CONCATENATE("R3C",' RIESGOS DE GESTION'!#REF!),"")</f>
        <v>#REF!</v>
      </c>
      <c r="O48" s="52" t="e">
        <f>IF(AND(' RIESGOS DE GESTION'!#REF!="Muy Baja",' RIESGOS DE GESTION'!#REF!="Leve"),CONCATENATE("R3C",' RIESGOS DE GESTION'!#REF!),"")</f>
        <v>#REF!</v>
      </c>
      <c r="P48" s="50" t="e">
        <f>IF(AND(' RIESGOS DE GESTION'!#REF!="Muy Baja",' RIESGOS DE GESTION'!#REF!="Menor"),CONCATENATE("R3C",' RIESGOS DE GESTION'!#REF!),"")</f>
        <v>#REF!</v>
      </c>
      <c r="Q48" s="51" t="e">
        <f>IF(AND(' RIESGOS DE GESTION'!#REF!="Muy Baja",' RIESGOS DE GESTION'!#REF!="Menor"),CONCATENATE("R3C",' RIESGOS DE GESTION'!#REF!),"")</f>
        <v>#REF!</v>
      </c>
      <c r="R48" s="51" t="e">
        <f>IF(AND(' RIESGOS DE GESTION'!#REF!="Muy Baja",' RIESGOS DE GESTION'!#REF!="Menor"),CONCATENATE("R3C",' RIESGOS DE GESTION'!#REF!),"")</f>
        <v>#REF!</v>
      </c>
      <c r="S48" s="51" t="e">
        <f>IF(AND(' RIESGOS DE GESTION'!#REF!="Muy Baja",' RIESGOS DE GESTION'!#REF!="Menor"),CONCATENATE("R3C",' RIESGOS DE GESTION'!#REF!),"")</f>
        <v>#REF!</v>
      </c>
      <c r="T48" s="51" t="e">
        <f>IF(AND(' RIESGOS DE GESTION'!#REF!="Muy Baja",' RIESGOS DE GESTION'!#REF!="Menor"),CONCATENATE("R3C",' RIESGOS DE GESTION'!#REF!),"")</f>
        <v>#REF!</v>
      </c>
      <c r="U48" s="52" t="e">
        <f>IF(AND(' RIESGOS DE GESTION'!#REF!="Muy Baja",' RIESGOS DE GESTION'!#REF!="Menor"),CONCATENATE("R3C",' RIESGOS DE GESTION'!#REF!),"")</f>
        <v>#REF!</v>
      </c>
      <c r="V48" s="41" t="e">
        <f>IF(AND(' RIESGOS DE GESTION'!#REF!="Muy Baja",' RIESGOS DE GESTION'!#REF!="Moderado"),CONCATENATE("R3C",' RIESGOS DE GESTION'!#REF!),"")</f>
        <v>#REF!</v>
      </c>
      <c r="W48" s="42" t="e">
        <f>IF(AND(' RIESGOS DE GESTION'!#REF!="Muy Baja",' RIESGOS DE GESTION'!#REF!="Moderado"),CONCATENATE("R3C",' RIESGOS DE GESTION'!#REF!),"")</f>
        <v>#REF!</v>
      </c>
      <c r="X48" s="42" t="e">
        <f>IF(AND(' RIESGOS DE GESTION'!#REF!="Muy Baja",' RIESGOS DE GESTION'!#REF!="Moderado"),CONCATENATE("R3C",' RIESGOS DE GESTION'!#REF!),"")</f>
        <v>#REF!</v>
      </c>
      <c r="Y48" s="42" t="e">
        <f>IF(AND(' RIESGOS DE GESTION'!#REF!="Muy Baja",' RIESGOS DE GESTION'!#REF!="Moderado"),CONCATENATE("R3C",' RIESGOS DE GESTION'!#REF!),"")</f>
        <v>#REF!</v>
      </c>
      <c r="Z48" s="42" t="e">
        <f>IF(AND(' RIESGOS DE GESTION'!#REF!="Muy Baja",' RIESGOS DE GESTION'!#REF!="Moderado"),CONCATENATE("R3C",' RIESGOS DE GESTION'!#REF!),"")</f>
        <v>#REF!</v>
      </c>
      <c r="AA48" s="43"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row>
    <row r="49" spans="1:80" ht="15" customHeight="1" x14ac:dyDescent="0.25">
      <c r="A49" s="57"/>
      <c r="B49" s="547"/>
      <c r="C49" s="547"/>
      <c r="D49" s="548"/>
      <c r="E49" s="646"/>
      <c r="F49" s="645"/>
      <c r="G49" s="645"/>
      <c r="H49" s="645"/>
      <c r="I49" s="661"/>
      <c r="J49" s="50" t="e">
        <f>IF(AND(' RIESGOS DE GESTION'!#REF!="Muy Baja",' RIESGOS DE GESTION'!#REF!="Leve"),CONCATENATE("R4C",' RIESGOS DE GESTION'!#REF!),"")</f>
        <v>#REF!</v>
      </c>
      <c r="K49" s="51" t="e">
        <f>IF(AND(' RIESGOS DE GESTION'!#REF!="Muy Baja",' RIESGOS DE GESTION'!#REF!="Leve"),CONCATENATE("R4C",' RIESGOS DE GESTION'!#REF!),"")</f>
        <v>#REF!</v>
      </c>
      <c r="L49" s="51" t="e">
        <f>IF(AND(' RIESGOS DE GESTION'!#REF!="Muy Baja",' RIESGOS DE GESTION'!#REF!="Leve"),CONCATENATE("R4C",' RIESGOS DE GESTION'!#REF!),"")</f>
        <v>#REF!</v>
      </c>
      <c r="M49" s="51" t="e">
        <f>IF(AND(' RIESGOS DE GESTION'!#REF!="Muy Baja",' RIESGOS DE GESTION'!#REF!="Leve"),CONCATENATE("R4C",' RIESGOS DE GESTION'!#REF!),"")</f>
        <v>#REF!</v>
      </c>
      <c r="N49" s="51" t="e">
        <f>IF(AND(' RIESGOS DE GESTION'!#REF!="Muy Baja",' RIESGOS DE GESTION'!#REF!="Leve"),CONCATENATE("R4C",' RIESGOS DE GESTION'!#REF!),"")</f>
        <v>#REF!</v>
      </c>
      <c r="O49" s="52" t="e">
        <f>IF(AND(' RIESGOS DE GESTION'!#REF!="Muy Baja",' RIESGOS DE GESTION'!#REF!="Leve"),CONCATENATE("R4C",' RIESGOS DE GESTION'!#REF!),"")</f>
        <v>#REF!</v>
      </c>
      <c r="P49" s="50" t="e">
        <f>IF(AND(' RIESGOS DE GESTION'!#REF!="Muy Baja",' RIESGOS DE GESTION'!#REF!="Menor"),CONCATENATE("R4C",' RIESGOS DE GESTION'!#REF!),"")</f>
        <v>#REF!</v>
      </c>
      <c r="Q49" s="51" t="e">
        <f>IF(AND(' RIESGOS DE GESTION'!#REF!="Muy Baja",' RIESGOS DE GESTION'!#REF!="Menor"),CONCATENATE("R4C",' RIESGOS DE GESTION'!#REF!),"")</f>
        <v>#REF!</v>
      </c>
      <c r="R49" s="51" t="e">
        <f>IF(AND(' RIESGOS DE GESTION'!#REF!="Muy Baja",' RIESGOS DE GESTION'!#REF!="Menor"),CONCATENATE("R4C",' RIESGOS DE GESTION'!#REF!),"")</f>
        <v>#REF!</v>
      </c>
      <c r="S49" s="51" t="e">
        <f>IF(AND(' RIESGOS DE GESTION'!#REF!="Muy Baja",' RIESGOS DE GESTION'!#REF!="Menor"),CONCATENATE("R4C",' RIESGOS DE GESTION'!#REF!),"")</f>
        <v>#REF!</v>
      </c>
      <c r="T49" s="51" t="e">
        <f>IF(AND(' RIESGOS DE GESTION'!#REF!="Muy Baja",' RIESGOS DE GESTION'!#REF!="Menor"),CONCATENATE("R4C",' RIESGOS DE GESTION'!#REF!),"")</f>
        <v>#REF!</v>
      </c>
      <c r="U49" s="52" t="e">
        <f>IF(AND(' RIESGOS DE GESTION'!#REF!="Muy Baja",' RIESGOS DE GESTION'!#REF!="Menor"),CONCATENATE("R4C",' RIESGOS DE GESTION'!#REF!),"")</f>
        <v>#REF!</v>
      </c>
      <c r="V49" s="41" t="e">
        <f>IF(AND(' RIESGOS DE GESTION'!#REF!="Muy Baja",' RIESGOS DE GESTION'!#REF!="Moderado"),CONCATENATE("R4C",' RIESGOS DE GESTION'!#REF!),"")</f>
        <v>#REF!</v>
      </c>
      <c r="W49" s="42" t="e">
        <f>IF(AND(' RIESGOS DE GESTION'!#REF!="Muy Baja",' RIESGOS DE GESTION'!#REF!="Moderado"),CONCATENATE("R4C",' RIESGOS DE GESTION'!#REF!),"")</f>
        <v>#REF!</v>
      </c>
      <c r="X49" s="42" t="e">
        <f>IF(AND(' RIESGOS DE GESTION'!#REF!="Muy Baja",' RIESGOS DE GESTION'!#REF!="Moderado"),CONCATENATE("R4C",' RIESGOS DE GESTION'!#REF!),"")</f>
        <v>#REF!</v>
      </c>
      <c r="Y49" s="42" t="e">
        <f>IF(AND(' RIESGOS DE GESTION'!#REF!="Muy Baja",' RIESGOS DE GESTION'!#REF!="Moderado"),CONCATENATE("R4C",' RIESGOS DE GESTION'!#REF!),"")</f>
        <v>#REF!</v>
      </c>
      <c r="Z49" s="42" t="e">
        <f>IF(AND(' RIESGOS DE GESTION'!#REF!="Muy Baja",' RIESGOS DE GESTION'!#REF!="Moderado"),CONCATENATE("R4C",' RIESGOS DE GESTION'!#REF!),"")</f>
        <v>#REF!</v>
      </c>
      <c r="AA49" s="43"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row>
    <row r="50" spans="1:80" ht="15" customHeight="1" x14ac:dyDescent="0.25">
      <c r="A50" s="57"/>
      <c r="B50" s="547"/>
      <c r="C50" s="547"/>
      <c r="D50" s="548"/>
      <c r="E50" s="646"/>
      <c r="F50" s="645"/>
      <c r="G50" s="645"/>
      <c r="H50" s="645"/>
      <c r="I50" s="661"/>
      <c r="J50" s="50" t="e">
        <f>IF(AND(' RIESGOS DE GESTION'!#REF!="Muy Baja",' RIESGOS DE GESTION'!#REF!="Leve"),CONCATENATE("R5C",' RIESGOS DE GESTION'!#REF!),"")</f>
        <v>#REF!</v>
      </c>
      <c r="K50" s="51" t="e">
        <f>IF(AND(' RIESGOS DE GESTION'!#REF!="Muy Baja",' RIESGOS DE GESTION'!#REF!="Leve"),CONCATENATE("R5C",' RIESGOS DE GESTION'!#REF!),"")</f>
        <v>#REF!</v>
      </c>
      <c r="L50" s="51" t="e">
        <f>IF(AND(' RIESGOS DE GESTION'!#REF!="Muy Baja",' RIESGOS DE GESTION'!#REF!="Leve"),CONCATENATE("R5C",' RIESGOS DE GESTION'!#REF!),"")</f>
        <v>#REF!</v>
      </c>
      <c r="M50" s="51" t="e">
        <f>IF(AND(' RIESGOS DE GESTION'!#REF!="Muy Baja",' RIESGOS DE GESTION'!#REF!="Leve"),CONCATENATE("R5C",' RIESGOS DE GESTION'!#REF!),"")</f>
        <v>#REF!</v>
      </c>
      <c r="N50" s="51" t="e">
        <f>IF(AND(' RIESGOS DE GESTION'!#REF!="Muy Baja",' RIESGOS DE GESTION'!#REF!="Leve"),CONCATENATE("R5C",' RIESGOS DE GESTION'!#REF!),"")</f>
        <v>#REF!</v>
      </c>
      <c r="O50" s="52" t="e">
        <f>IF(AND(' RIESGOS DE GESTION'!#REF!="Muy Baja",' RIESGOS DE GESTION'!#REF!="Leve"),CONCATENATE("R5C",' RIESGOS DE GESTION'!#REF!),"")</f>
        <v>#REF!</v>
      </c>
      <c r="P50" s="50" t="e">
        <f>IF(AND(' RIESGOS DE GESTION'!#REF!="Muy Baja",' RIESGOS DE GESTION'!#REF!="Menor"),CONCATENATE("R5C",' RIESGOS DE GESTION'!#REF!),"")</f>
        <v>#REF!</v>
      </c>
      <c r="Q50" s="51" t="e">
        <f>IF(AND(' RIESGOS DE GESTION'!#REF!="Muy Baja",' RIESGOS DE GESTION'!#REF!="Menor"),CONCATENATE("R5C",' RIESGOS DE GESTION'!#REF!),"")</f>
        <v>#REF!</v>
      </c>
      <c r="R50" s="51" t="e">
        <f>IF(AND(' RIESGOS DE GESTION'!#REF!="Muy Baja",' RIESGOS DE GESTION'!#REF!="Menor"),CONCATENATE("R5C",' RIESGOS DE GESTION'!#REF!),"")</f>
        <v>#REF!</v>
      </c>
      <c r="S50" s="51" t="e">
        <f>IF(AND(' RIESGOS DE GESTION'!#REF!="Muy Baja",' RIESGOS DE GESTION'!#REF!="Menor"),CONCATENATE("R5C",' RIESGOS DE GESTION'!#REF!),"")</f>
        <v>#REF!</v>
      </c>
      <c r="T50" s="51" t="e">
        <f>IF(AND(' RIESGOS DE GESTION'!#REF!="Muy Baja",' RIESGOS DE GESTION'!#REF!="Menor"),CONCATENATE("R5C",' RIESGOS DE GESTION'!#REF!),"")</f>
        <v>#REF!</v>
      </c>
      <c r="U50" s="52" t="e">
        <f>IF(AND(' RIESGOS DE GESTION'!#REF!="Muy Baja",' RIESGOS DE GESTION'!#REF!="Menor"),CONCATENATE("R5C",' RIESGOS DE GESTION'!#REF!),"")</f>
        <v>#REF!</v>
      </c>
      <c r="V50" s="41" t="e">
        <f>IF(AND(' RIESGOS DE GESTION'!#REF!="Muy Baja",' RIESGOS DE GESTION'!#REF!="Moderado"),CONCATENATE("R5C",' RIESGOS DE GESTION'!#REF!),"")</f>
        <v>#REF!</v>
      </c>
      <c r="W50" s="42" t="e">
        <f>IF(AND(' RIESGOS DE GESTION'!#REF!="Muy Baja",' RIESGOS DE GESTION'!#REF!="Moderado"),CONCATENATE("R5C",' RIESGOS DE GESTION'!#REF!),"")</f>
        <v>#REF!</v>
      </c>
      <c r="X50" s="42" t="e">
        <f>IF(AND(' RIESGOS DE GESTION'!#REF!="Muy Baja",' RIESGOS DE GESTION'!#REF!="Moderado"),CONCATENATE("R5C",' RIESGOS DE GESTION'!#REF!),"")</f>
        <v>#REF!</v>
      </c>
      <c r="Y50" s="42" t="e">
        <f>IF(AND(' RIESGOS DE GESTION'!#REF!="Muy Baja",' RIESGOS DE GESTION'!#REF!="Moderado"),CONCATENATE("R5C",' RIESGOS DE GESTION'!#REF!),"")</f>
        <v>#REF!</v>
      </c>
      <c r="Z50" s="42" t="e">
        <f>IF(AND(' RIESGOS DE GESTION'!#REF!="Muy Baja",' RIESGOS DE GESTION'!#REF!="Moderado"),CONCATENATE("R5C",' RIESGOS DE GESTION'!#REF!),"")</f>
        <v>#REF!</v>
      </c>
      <c r="AA50" s="43"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27" t="e">
        <f>IF(AND(' RIESGOS DE GESTION'!#REF!="Muy Baja",' RIESGOS DE GESTION'!#REF!="Mayor"),CONCATENATE("R5C",' RIESGOS DE GESTION'!#REF!),"")</f>
        <v>#REF!</v>
      </c>
      <c r="AE50" s="27" t="e">
        <f>IF(AND(' RIESGOS DE GESTION'!#REF!="Muy Baja",' RIESGOS DE GESTION'!#REF!="Mayor"),CONCATENATE("R5C",' RIESGOS DE GESTION'!#REF!),"")</f>
        <v>#REF!</v>
      </c>
      <c r="AF50" s="27"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row>
    <row r="51" spans="1:80" ht="15" customHeight="1" x14ac:dyDescent="0.25">
      <c r="A51" s="57"/>
      <c r="B51" s="547"/>
      <c r="C51" s="547"/>
      <c r="D51" s="548"/>
      <c r="E51" s="646"/>
      <c r="F51" s="645"/>
      <c r="G51" s="645"/>
      <c r="H51" s="645"/>
      <c r="I51" s="661"/>
      <c r="J51" s="50" t="e">
        <f>IF(AND(' RIESGOS DE GESTION'!#REF!="Muy Baja",' RIESGOS DE GESTION'!#REF!="Leve"),CONCATENATE("R6C",' RIESGOS DE GESTION'!#REF!),"")</f>
        <v>#REF!</v>
      </c>
      <c r="K51" s="51" t="e">
        <f>IF(AND(' RIESGOS DE GESTION'!#REF!="Muy Baja",' RIESGOS DE GESTION'!#REF!="Leve"),CONCATENATE("R6C",' RIESGOS DE GESTION'!#REF!),"")</f>
        <v>#REF!</v>
      </c>
      <c r="L51" s="51" t="e">
        <f>IF(AND(' RIESGOS DE GESTION'!#REF!="Muy Baja",' RIESGOS DE GESTION'!#REF!="Leve"),CONCATENATE("R6C",' RIESGOS DE GESTION'!#REF!),"")</f>
        <v>#REF!</v>
      </c>
      <c r="M51" s="51" t="e">
        <f>IF(AND(' RIESGOS DE GESTION'!#REF!="Muy Baja",' RIESGOS DE GESTION'!#REF!="Leve"),CONCATENATE("R6C",' RIESGOS DE GESTION'!#REF!),"")</f>
        <v>#REF!</v>
      </c>
      <c r="N51" s="51" t="e">
        <f>IF(AND(' RIESGOS DE GESTION'!#REF!="Muy Baja",' RIESGOS DE GESTION'!#REF!="Leve"),CONCATENATE("R6C",' RIESGOS DE GESTION'!#REF!),"")</f>
        <v>#REF!</v>
      </c>
      <c r="O51" s="52" t="e">
        <f>IF(AND(' RIESGOS DE GESTION'!#REF!="Muy Baja",' RIESGOS DE GESTION'!#REF!="Leve"),CONCATENATE("R6C",' RIESGOS DE GESTION'!#REF!),"")</f>
        <v>#REF!</v>
      </c>
      <c r="P51" s="50" t="e">
        <f>IF(AND(' RIESGOS DE GESTION'!#REF!="Muy Baja",' RIESGOS DE GESTION'!#REF!="Menor"),CONCATENATE("R6C",' RIESGOS DE GESTION'!#REF!),"")</f>
        <v>#REF!</v>
      </c>
      <c r="Q51" s="51" t="e">
        <f>IF(AND(' RIESGOS DE GESTION'!#REF!="Muy Baja",' RIESGOS DE GESTION'!#REF!="Menor"),CONCATENATE("R6C",' RIESGOS DE GESTION'!#REF!),"")</f>
        <v>#REF!</v>
      </c>
      <c r="R51" s="51" t="e">
        <f>IF(AND(' RIESGOS DE GESTION'!#REF!="Muy Baja",' RIESGOS DE GESTION'!#REF!="Menor"),CONCATENATE("R6C",' RIESGOS DE GESTION'!#REF!),"")</f>
        <v>#REF!</v>
      </c>
      <c r="S51" s="51" t="e">
        <f>IF(AND(' RIESGOS DE GESTION'!#REF!="Muy Baja",' RIESGOS DE GESTION'!#REF!="Menor"),CONCATENATE("R6C",' RIESGOS DE GESTION'!#REF!),"")</f>
        <v>#REF!</v>
      </c>
      <c r="T51" s="51" t="e">
        <f>IF(AND(' RIESGOS DE GESTION'!#REF!="Muy Baja",' RIESGOS DE GESTION'!#REF!="Menor"),CONCATENATE("R6C",' RIESGOS DE GESTION'!#REF!),"")</f>
        <v>#REF!</v>
      </c>
      <c r="U51" s="52" t="e">
        <f>IF(AND(' RIESGOS DE GESTION'!#REF!="Muy Baja",' RIESGOS DE GESTION'!#REF!="Menor"),CONCATENATE("R6C",' RIESGOS DE GESTION'!#REF!),"")</f>
        <v>#REF!</v>
      </c>
      <c r="V51" s="41" t="e">
        <f>IF(AND(' RIESGOS DE GESTION'!#REF!="Muy Baja",' RIESGOS DE GESTION'!#REF!="Moderado"),CONCATENATE("R6C",' RIESGOS DE GESTION'!#REF!),"")</f>
        <v>#REF!</v>
      </c>
      <c r="W51" s="42" t="e">
        <f>IF(AND(' RIESGOS DE GESTION'!#REF!="Muy Baja",' RIESGOS DE GESTION'!#REF!="Moderado"),CONCATENATE("R6C",' RIESGOS DE GESTION'!#REF!),"")</f>
        <v>#REF!</v>
      </c>
      <c r="X51" s="42" t="e">
        <f>IF(AND(' RIESGOS DE GESTION'!#REF!="Muy Baja",' RIESGOS DE GESTION'!#REF!="Moderado"),CONCATENATE("R6C",' RIESGOS DE GESTION'!#REF!),"")</f>
        <v>#REF!</v>
      </c>
      <c r="Y51" s="42" t="e">
        <f>IF(AND(' RIESGOS DE GESTION'!#REF!="Muy Baja",' RIESGOS DE GESTION'!#REF!="Moderado"),CONCATENATE("R6C",' RIESGOS DE GESTION'!#REF!),"")</f>
        <v>#REF!</v>
      </c>
      <c r="Z51" s="42" t="e">
        <f>IF(AND(' RIESGOS DE GESTION'!#REF!="Muy Baja",' RIESGOS DE GESTION'!#REF!="Moderado"),CONCATENATE("R6C",' RIESGOS DE GESTION'!#REF!),"")</f>
        <v>#REF!</v>
      </c>
      <c r="AA51" s="43"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27" t="e">
        <f>IF(AND(' RIESGOS DE GESTION'!#REF!="Muy Baja",' RIESGOS DE GESTION'!#REF!="Mayor"),CONCATENATE("R6C",' RIESGOS DE GESTION'!#REF!),"")</f>
        <v>#REF!</v>
      </c>
      <c r="AE51" s="27" t="e">
        <f>IF(AND(' RIESGOS DE GESTION'!#REF!="Muy Baja",' RIESGOS DE GESTION'!#REF!="Mayor"),CONCATENATE("R6C",' RIESGOS DE GESTION'!#REF!),"")</f>
        <v>#REF!</v>
      </c>
      <c r="AF51" s="27"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row>
    <row r="52" spans="1:80" ht="15" customHeight="1" x14ac:dyDescent="0.25">
      <c r="A52" s="57"/>
      <c r="B52" s="547"/>
      <c r="C52" s="547"/>
      <c r="D52" s="548"/>
      <c r="E52" s="646"/>
      <c r="F52" s="645"/>
      <c r="G52" s="645"/>
      <c r="H52" s="645"/>
      <c r="I52" s="661"/>
      <c r="J52" s="50" t="e">
        <f>IF(AND(' RIESGOS DE GESTION'!#REF!="Muy Baja",' RIESGOS DE GESTION'!#REF!="Leve"),CONCATENATE("R7C",' RIESGOS DE GESTION'!#REF!),"")</f>
        <v>#REF!</v>
      </c>
      <c r="K52" s="51" t="e">
        <f>IF(AND(' RIESGOS DE GESTION'!#REF!="Muy Baja",' RIESGOS DE GESTION'!#REF!="Leve"),CONCATENATE("R7C",' RIESGOS DE GESTION'!#REF!),"")</f>
        <v>#REF!</v>
      </c>
      <c r="L52" s="51" t="e">
        <f>IF(AND(' RIESGOS DE GESTION'!#REF!="Muy Baja",' RIESGOS DE GESTION'!#REF!="Leve"),CONCATENATE("R7C",' RIESGOS DE GESTION'!#REF!),"")</f>
        <v>#REF!</v>
      </c>
      <c r="M52" s="51" t="e">
        <f>IF(AND(' RIESGOS DE GESTION'!#REF!="Muy Baja",' RIESGOS DE GESTION'!#REF!="Leve"),CONCATENATE("R7C",' RIESGOS DE GESTION'!#REF!),"")</f>
        <v>#REF!</v>
      </c>
      <c r="N52" s="51" t="e">
        <f>IF(AND(' RIESGOS DE GESTION'!#REF!="Muy Baja",' RIESGOS DE GESTION'!#REF!="Leve"),CONCATENATE("R7C",' RIESGOS DE GESTION'!#REF!),"")</f>
        <v>#REF!</v>
      </c>
      <c r="O52" s="52" t="e">
        <f>IF(AND(' RIESGOS DE GESTION'!#REF!="Muy Baja",' RIESGOS DE GESTION'!#REF!="Leve"),CONCATENATE("R7C",' RIESGOS DE GESTION'!#REF!),"")</f>
        <v>#REF!</v>
      </c>
      <c r="P52" s="50" t="e">
        <f>IF(AND(' RIESGOS DE GESTION'!#REF!="Muy Baja",' RIESGOS DE GESTION'!#REF!="Menor"),CONCATENATE("R7C",' RIESGOS DE GESTION'!#REF!),"")</f>
        <v>#REF!</v>
      </c>
      <c r="Q52" s="51" t="e">
        <f>IF(AND(' RIESGOS DE GESTION'!#REF!="Muy Baja",' RIESGOS DE GESTION'!#REF!="Menor"),CONCATENATE("R7C",' RIESGOS DE GESTION'!#REF!),"")</f>
        <v>#REF!</v>
      </c>
      <c r="R52" s="51" t="e">
        <f>IF(AND(' RIESGOS DE GESTION'!#REF!="Muy Baja",' RIESGOS DE GESTION'!#REF!="Menor"),CONCATENATE("R7C",' RIESGOS DE GESTION'!#REF!),"")</f>
        <v>#REF!</v>
      </c>
      <c r="S52" s="51" t="e">
        <f>IF(AND(' RIESGOS DE GESTION'!#REF!="Muy Baja",' RIESGOS DE GESTION'!#REF!="Menor"),CONCATENATE("R7C",' RIESGOS DE GESTION'!#REF!),"")</f>
        <v>#REF!</v>
      </c>
      <c r="T52" s="51" t="e">
        <f>IF(AND(' RIESGOS DE GESTION'!#REF!="Muy Baja",' RIESGOS DE GESTION'!#REF!="Menor"),CONCATENATE("R7C",' RIESGOS DE GESTION'!#REF!),"")</f>
        <v>#REF!</v>
      </c>
      <c r="U52" s="52" t="e">
        <f>IF(AND(' RIESGOS DE GESTION'!#REF!="Muy Baja",' RIESGOS DE GESTION'!#REF!="Menor"),CONCATENATE("R7C",' RIESGOS DE GESTION'!#REF!),"")</f>
        <v>#REF!</v>
      </c>
      <c r="V52" s="41" t="e">
        <f>IF(AND(' RIESGOS DE GESTION'!#REF!="Muy Baja",' RIESGOS DE GESTION'!#REF!="Moderado"),CONCATENATE("R7C",' RIESGOS DE GESTION'!#REF!),"")</f>
        <v>#REF!</v>
      </c>
      <c r="W52" s="42" t="e">
        <f>IF(AND(' RIESGOS DE GESTION'!#REF!="Muy Baja",' RIESGOS DE GESTION'!#REF!="Moderado"),CONCATENATE("R7C",' RIESGOS DE GESTION'!#REF!),"")</f>
        <v>#REF!</v>
      </c>
      <c r="X52" s="42" t="e">
        <f>IF(AND(' RIESGOS DE GESTION'!#REF!="Muy Baja",' RIESGOS DE GESTION'!#REF!="Moderado"),CONCATENATE("R7C",' RIESGOS DE GESTION'!#REF!),"")</f>
        <v>#REF!</v>
      </c>
      <c r="Y52" s="42" t="e">
        <f>IF(AND(' RIESGOS DE GESTION'!#REF!="Muy Baja",' RIESGOS DE GESTION'!#REF!="Moderado"),CONCATENATE("R7C",' RIESGOS DE GESTION'!#REF!),"")</f>
        <v>#REF!</v>
      </c>
      <c r="Z52" s="42" t="e">
        <f>IF(AND(' RIESGOS DE GESTION'!#REF!="Muy Baja",' RIESGOS DE GESTION'!#REF!="Moderado"),CONCATENATE("R7C",' RIESGOS DE GESTION'!#REF!),"")</f>
        <v>#REF!</v>
      </c>
      <c r="AA52" s="43"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27" t="e">
        <f>IF(AND(' RIESGOS DE GESTION'!#REF!="Muy Baja",' RIESGOS DE GESTION'!#REF!="Mayor"),CONCATENATE("R7C",' RIESGOS DE GESTION'!#REF!),"")</f>
        <v>#REF!</v>
      </c>
      <c r="AE52" s="27" t="e">
        <f>IF(AND(' RIESGOS DE GESTION'!#REF!="Muy Baja",' RIESGOS DE GESTION'!#REF!="Mayor"),CONCATENATE("R7C",' RIESGOS DE GESTION'!#REF!),"")</f>
        <v>#REF!</v>
      </c>
      <c r="AF52" s="27"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row>
    <row r="53" spans="1:80" ht="15" customHeight="1" x14ac:dyDescent="0.25">
      <c r="A53" s="57"/>
      <c r="B53" s="547"/>
      <c r="C53" s="547"/>
      <c r="D53" s="548"/>
      <c r="E53" s="646"/>
      <c r="F53" s="645"/>
      <c r="G53" s="645"/>
      <c r="H53" s="645"/>
      <c r="I53" s="661"/>
      <c r="J53" s="50" t="e">
        <f>IF(AND(' RIESGOS DE GESTION'!#REF!="Muy Baja",' RIESGOS DE GESTION'!#REF!="Leve"),CONCATENATE("R8C",' RIESGOS DE GESTION'!#REF!),"")</f>
        <v>#REF!</v>
      </c>
      <c r="K53" s="51" t="e">
        <f>IF(AND(' RIESGOS DE GESTION'!#REF!="Muy Baja",' RIESGOS DE GESTION'!#REF!="Leve"),CONCATENATE("R8C",' RIESGOS DE GESTION'!#REF!),"")</f>
        <v>#REF!</v>
      </c>
      <c r="L53" s="51" t="e">
        <f>IF(AND(' RIESGOS DE GESTION'!#REF!="Muy Baja",' RIESGOS DE GESTION'!#REF!="Leve"),CONCATENATE("R8C",' RIESGOS DE GESTION'!#REF!),"")</f>
        <v>#REF!</v>
      </c>
      <c r="M53" s="51" t="e">
        <f>IF(AND(' RIESGOS DE GESTION'!#REF!="Muy Baja",' RIESGOS DE GESTION'!#REF!="Leve"),CONCATENATE("R8C",' RIESGOS DE GESTION'!#REF!),"")</f>
        <v>#REF!</v>
      </c>
      <c r="N53" s="51" t="e">
        <f>IF(AND(' RIESGOS DE GESTION'!#REF!="Muy Baja",' RIESGOS DE GESTION'!#REF!="Leve"),CONCATENATE("R8C",' RIESGOS DE GESTION'!#REF!),"")</f>
        <v>#REF!</v>
      </c>
      <c r="O53" s="52" t="e">
        <f>IF(AND(' RIESGOS DE GESTION'!#REF!="Muy Baja",' RIESGOS DE GESTION'!#REF!="Leve"),CONCATENATE("R8C",' RIESGOS DE GESTION'!#REF!),"")</f>
        <v>#REF!</v>
      </c>
      <c r="P53" s="50" t="e">
        <f>IF(AND(' RIESGOS DE GESTION'!#REF!="Muy Baja",' RIESGOS DE GESTION'!#REF!="Menor"),CONCATENATE("R8C",' RIESGOS DE GESTION'!#REF!),"")</f>
        <v>#REF!</v>
      </c>
      <c r="Q53" s="51" t="e">
        <f>IF(AND(' RIESGOS DE GESTION'!#REF!="Muy Baja",' RIESGOS DE GESTION'!#REF!="Menor"),CONCATENATE("R8C",' RIESGOS DE GESTION'!#REF!),"")</f>
        <v>#REF!</v>
      </c>
      <c r="R53" s="51" t="e">
        <f>IF(AND(' RIESGOS DE GESTION'!#REF!="Muy Baja",' RIESGOS DE GESTION'!#REF!="Menor"),CONCATENATE("R8C",' RIESGOS DE GESTION'!#REF!),"")</f>
        <v>#REF!</v>
      </c>
      <c r="S53" s="51" t="e">
        <f>IF(AND(' RIESGOS DE GESTION'!#REF!="Muy Baja",' RIESGOS DE GESTION'!#REF!="Menor"),CONCATENATE("R8C",' RIESGOS DE GESTION'!#REF!),"")</f>
        <v>#REF!</v>
      </c>
      <c r="T53" s="51" t="e">
        <f>IF(AND(' RIESGOS DE GESTION'!#REF!="Muy Baja",' RIESGOS DE GESTION'!#REF!="Menor"),CONCATENATE("R8C",' RIESGOS DE GESTION'!#REF!),"")</f>
        <v>#REF!</v>
      </c>
      <c r="U53" s="52" t="e">
        <f>IF(AND(' RIESGOS DE GESTION'!#REF!="Muy Baja",' RIESGOS DE GESTION'!#REF!="Menor"),CONCATENATE("R8C",' RIESGOS DE GESTION'!#REF!),"")</f>
        <v>#REF!</v>
      </c>
      <c r="V53" s="41" t="e">
        <f>IF(AND(' RIESGOS DE GESTION'!#REF!="Muy Baja",' RIESGOS DE GESTION'!#REF!="Moderado"),CONCATENATE("R8C",' RIESGOS DE GESTION'!#REF!),"")</f>
        <v>#REF!</v>
      </c>
      <c r="W53" s="42" t="e">
        <f>IF(AND(' RIESGOS DE GESTION'!#REF!="Muy Baja",' RIESGOS DE GESTION'!#REF!="Moderado"),CONCATENATE("R8C",' RIESGOS DE GESTION'!#REF!),"")</f>
        <v>#REF!</v>
      </c>
      <c r="X53" s="42" t="e">
        <f>IF(AND(' RIESGOS DE GESTION'!#REF!="Muy Baja",' RIESGOS DE GESTION'!#REF!="Moderado"),CONCATENATE("R8C",' RIESGOS DE GESTION'!#REF!),"")</f>
        <v>#REF!</v>
      </c>
      <c r="Y53" s="42" t="e">
        <f>IF(AND(' RIESGOS DE GESTION'!#REF!="Muy Baja",' RIESGOS DE GESTION'!#REF!="Moderado"),CONCATENATE("R8C",' RIESGOS DE GESTION'!#REF!),"")</f>
        <v>#REF!</v>
      </c>
      <c r="Z53" s="42" t="e">
        <f>IF(AND(' RIESGOS DE GESTION'!#REF!="Muy Baja",' RIESGOS DE GESTION'!#REF!="Moderado"),CONCATENATE("R8C",' RIESGOS DE GESTION'!#REF!),"")</f>
        <v>#REF!</v>
      </c>
      <c r="AA53" s="43"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27" t="e">
        <f>IF(AND(' RIESGOS DE GESTION'!#REF!="Muy Baja",' RIESGOS DE GESTION'!#REF!="Mayor"),CONCATENATE("R8C",' RIESGOS DE GESTION'!#REF!),"")</f>
        <v>#REF!</v>
      </c>
      <c r="AE53" s="27" t="e">
        <f>IF(AND(' RIESGOS DE GESTION'!#REF!="Muy Baja",' RIESGOS DE GESTION'!#REF!="Mayor"),CONCATENATE("R8C",' RIESGOS DE GESTION'!#REF!),"")</f>
        <v>#REF!</v>
      </c>
      <c r="AF53" s="27"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row>
    <row r="54" spans="1:80" ht="15" customHeight="1" x14ac:dyDescent="0.25">
      <c r="A54" s="57"/>
      <c r="B54" s="547"/>
      <c r="C54" s="547"/>
      <c r="D54" s="548"/>
      <c r="E54" s="646"/>
      <c r="F54" s="645"/>
      <c r="G54" s="645"/>
      <c r="H54" s="645"/>
      <c r="I54" s="661"/>
      <c r="J54" s="50" t="e">
        <f>IF(AND(' RIESGOS DE GESTION'!#REF!="Muy Baja",' RIESGOS DE GESTION'!#REF!="Leve"),CONCATENATE("R9C",' RIESGOS DE GESTION'!#REF!),"")</f>
        <v>#REF!</v>
      </c>
      <c r="K54" s="51" t="e">
        <f>IF(AND(' RIESGOS DE GESTION'!#REF!="Muy Baja",' RIESGOS DE GESTION'!#REF!="Leve"),CONCATENATE("R9C",' RIESGOS DE GESTION'!#REF!),"")</f>
        <v>#REF!</v>
      </c>
      <c r="L54" s="51" t="e">
        <f>IF(AND(' RIESGOS DE GESTION'!#REF!="Muy Baja",' RIESGOS DE GESTION'!#REF!="Leve"),CONCATENATE("R9C",' RIESGOS DE GESTION'!#REF!),"")</f>
        <v>#REF!</v>
      </c>
      <c r="M54" s="51" t="e">
        <f>IF(AND(' RIESGOS DE GESTION'!#REF!="Muy Baja",' RIESGOS DE GESTION'!#REF!="Leve"),CONCATENATE("R9C",' RIESGOS DE GESTION'!#REF!),"")</f>
        <v>#REF!</v>
      </c>
      <c r="N54" s="51" t="e">
        <f>IF(AND(' RIESGOS DE GESTION'!#REF!="Muy Baja",' RIESGOS DE GESTION'!#REF!="Leve"),CONCATENATE("R9C",' RIESGOS DE GESTION'!#REF!),"")</f>
        <v>#REF!</v>
      </c>
      <c r="O54" s="52" t="e">
        <f>IF(AND(' RIESGOS DE GESTION'!#REF!="Muy Baja",' RIESGOS DE GESTION'!#REF!="Leve"),CONCATENATE("R9C",' RIESGOS DE GESTION'!#REF!),"")</f>
        <v>#REF!</v>
      </c>
      <c r="P54" s="50" t="e">
        <f>IF(AND(' RIESGOS DE GESTION'!#REF!="Muy Baja",' RIESGOS DE GESTION'!#REF!="Menor"),CONCATENATE("R9C",' RIESGOS DE GESTION'!#REF!),"")</f>
        <v>#REF!</v>
      </c>
      <c r="Q54" s="51" t="e">
        <f>IF(AND(' RIESGOS DE GESTION'!#REF!="Muy Baja",' RIESGOS DE GESTION'!#REF!="Menor"),CONCATENATE("R9C",' RIESGOS DE GESTION'!#REF!),"")</f>
        <v>#REF!</v>
      </c>
      <c r="R54" s="51" t="e">
        <f>IF(AND(' RIESGOS DE GESTION'!#REF!="Muy Baja",' RIESGOS DE GESTION'!#REF!="Menor"),CONCATENATE("R9C",' RIESGOS DE GESTION'!#REF!),"")</f>
        <v>#REF!</v>
      </c>
      <c r="S54" s="51" t="e">
        <f>IF(AND(' RIESGOS DE GESTION'!#REF!="Muy Baja",' RIESGOS DE GESTION'!#REF!="Menor"),CONCATENATE("R9C",' RIESGOS DE GESTION'!#REF!),"")</f>
        <v>#REF!</v>
      </c>
      <c r="T54" s="51" t="e">
        <f>IF(AND(' RIESGOS DE GESTION'!#REF!="Muy Baja",' RIESGOS DE GESTION'!#REF!="Menor"),CONCATENATE("R9C",' RIESGOS DE GESTION'!#REF!),"")</f>
        <v>#REF!</v>
      </c>
      <c r="U54" s="52" t="e">
        <f>IF(AND(' RIESGOS DE GESTION'!#REF!="Muy Baja",' RIESGOS DE GESTION'!#REF!="Menor"),CONCATENATE("R9C",' RIESGOS DE GESTION'!#REF!),"")</f>
        <v>#REF!</v>
      </c>
      <c r="V54" s="41" t="e">
        <f>IF(AND(' RIESGOS DE GESTION'!#REF!="Muy Baja",' RIESGOS DE GESTION'!#REF!="Moderado"),CONCATENATE("R9C",' RIESGOS DE GESTION'!#REF!),"")</f>
        <v>#REF!</v>
      </c>
      <c r="W54" s="42" t="e">
        <f>IF(AND(' RIESGOS DE GESTION'!#REF!="Muy Baja",' RIESGOS DE GESTION'!#REF!="Moderado"),CONCATENATE("R9C",' RIESGOS DE GESTION'!#REF!),"")</f>
        <v>#REF!</v>
      </c>
      <c r="X54" s="42" t="e">
        <f>IF(AND(' RIESGOS DE GESTION'!#REF!="Muy Baja",' RIESGOS DE GESTION'!#REF!="Moderado"),CONCATENATE("R9C",' RIESGOS DE GESTION'!#REF!),"")</f>
        <v>#REF!</v>
      </c>
      <c r="Y54" s="42" t="e">
        <f>IF(AND(' RIESGOS DE GESTION'!#REF!="Muy Baja",' RIESGOS DE GESTION'!#REF!="Moderado"),CONCATENATE("R9C",' RIESGOS DE GESTION'!#REF!),"")</f>
        <v>#REF!</v>
      </c>
      <c r="Z54" s="42" t="e">
        <f>IF(AND(' RIESGOS DE GESTION'!#REF!="Muy Baja",' RIESGOS DE GESTION'!#REF!="Moderado"),CONCATENATE("R9C",' RIESGOS DE GESTION'!#REF!),"")</f>
        <v>#REF!</v>
      </c>
      <c r="AA54" s="43"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27" t="e">
        <f>IF(AND(' RIESGOS DE GESTION'!#REF!="Muy Baja",' RIESGOS DE GESTION'!#REF!="Mayor"),CONCATENATE("R9C",' RIESGOS DE GESTION'!#REF!),"")</f>
        <v>#REF!</v>
      </c>
      <c r="AE54" s="27" t="e">
        <f>IF(AND(' RIESGOS DE GESTION'!#REF!="Muy Baja",' RIESGOS DE GESTION'!#REF!="Mayor"),CONCATENATE("R9C",' RIESGOS DE GESTION'!#REF!),"")</f>
        <v>#REF!</v>
      </c>
      <c r="AF54" s="27"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row>
    <row r="55" spans="1:80" ht="15.75" customHeight="1" thickBot="1" x14ac:dyDescent="0.3">
      <c r="A55" s="57"/>
      <c r="B55" s="547"/>
      <c r="C55" s="547"/>
      <c r="D55" s="548"/>
      <c r="E55" s="647"/>
      <c r="F55" s="648"/>
      <c r="G55" s="648"/>
      <c r="H55" s="648"/>
      <c r="I55" s="662"/>
      <c r="J55" s="53" t="e">
        <f>IF(AND(' RIESGOS DE GESTION'!#REF!="Muy Baja",' RIESGOS DE GESTION'!#REF!="Leve"),CONCATENATE("R10C",' RIESGOS DE GESTION'!#REF!),"")</f>
        <v>#REF!</v>
      </c>
      <c r="K55" s="54" t="e">
        <f>IF(AND(' RIESGOS DE GESTION'!#REF!="Muy Baja",' RIESGOS DE GESTION'!#REF!="Leve"),CONCATENATE("R10C",' RIESGOS DE GESTION'!#REF!),"")</f>
        <v>#REF!</v>
      </c>
      <c r="L55" s="54" t="e">
        <f>IF(AND(' RIESGOS DE GESTION'!#REF!="Muy Baja",' RIESGOS DE GESTION'!#REF!="Leve"),CONCATENATE("R10C",' RIESGOS DE GESTION'!#REF!),"")</f>
        <v>#REF!</v>
      </c>
      <c r="M55" s="54" t="e">
        <f>IF(AND(' RIESGOS DE GESTION'!#REF!="Muy Baja",' RIESGOS DE GESTION'!#REF!="Leve"),CONCATENATE("R10C",' RIESGOS DE GESTION'!#REF!),"")</f>
        <v>#REF!</v>
      </c>
      <c r="N55" s="54" t="e">
        <f>IF(AND(' RIESGOS DE GESTION'!#REF!="Muy Baja",' RIESGOS DE GESTION'!#REF!="Leve"),CONCATENATE("R10C",' RIESGOS DE GESTION'!#REF!),"")</f>
        <v>#REF!</v>
      </c>
      <c r="O55" s="55" t="e">
        <f>IF(AND(' RIESGOS DE GESTION'!#REF!="Muy Baja",' RIESGOS DE GESTION'!#REF!="Leve"),CONCATENATE("R10C",' RIESGOS DE GESTION'!#REF!),"")</f>
        <v>#REF!</v>
      </c>
      <c r="P55" s="53" t="e">
        <f>IF(AND(' RIESGOS DE GESTION'!#REF!="Muy Baja",' RIESGOS DE GESTION'!#REF!="Menor"),CONCATENATE("R10C",' RIESGOS DE GESTION'!#REF!),"")</f>
        <v>#REF!</v>
      </c>
      <c r="Q55" s="54" t="e">
        <f>IF(AND(' RIESGOS DE GESTION'!#REF!="Muy Baja",' RIESGOS DE GESTION'!#REF!="Menor"),CONCATENATE("R10C",' RIESGOS DE GESTION'!#REF!),"")</f>
        <v>#REF!</v>
      </c>
      <c r="R55" s="54" t="e">
        <f>IF(AND(' RIESGOS DE GESTION'!#REF!="Muy Baja",' RIESGOS DE GESTION'!#REF!="Menor"),CONCATENATE("R10C",' RIESGOS DE GESTION'!#REF!),"")</f>
        <v>#REF!</v>
      </c>
      <c r="S55" s="54" t="e">
        <f>IF(AND(' RIESGOS DE GESTION'!#REF!="Muy Baja",' RIESGOS DE GESTION'!#REF!="Menor"),CONCATENATE("R10C",' RIESGOS DE GESTION'!#REF!),"")</f>
        <v>#REF!</v>
      </c>
      <c r="T55" s="54" t="e">
        <f>IF(AND(' RIESGOS DE GESTION'!#REF!="Muy Baja",' RIESGOS DE GESTION'!#REF!="Menor"),CONCATENATE("R10C",' RIESGOS DE GESTION'!#REF!),"")</f>
        <v>#REF!</v>
      </c>
      <c r="U55" s="55" t="e">
        <f>IF(AND(' RIESGOS DE GESTION'!#REF!="Muy Baja",' RIESGOS DE GESTION'!#REF!="Menor"),CONCATENATE("R10C",' RIESGOS DE GESTION'!#REF!),"")</f>
        <v>#REF!</v>
      </c>
      <c r="V55" s="44" t="e">
        <f>IF(AND(' RIESGOS DE GESTION'!#REF!="Muy Baja",' RIESGOS DE GESTION'!#REF!="Moderado"),CONCATENATE("R10C",' RIESGOS DE GESTION'!#REF!),"")</f>
        <v>#REF!</v>
      </c>
      <c r="W55" s="45" t="e">
        <f>IF(AND(' RIESGOS DE GESTION'!#REF!="Muy Baja",' RIESGOS DE GESTION'!#REF!="Moderado"),CONCATENATE("R10C",' RIESGOS DE GESTION'!#REF!),"")</f>
        <v>#REF!</v>
      </c>
      <c r="X55" s="45" t="e">
        <f>IF(AND(' RIESGOS DE GESTION'!#REF!="Muy Baja",' RIESGOS DE GESTION'!#REF!="Moderado"),CONCATENATE("R10C",' RIESGOS DE GESTION'!#REF!),"")</f>
        <v>#REF!</v>
      </c>
      <c r="Y55" s="45" t="e">
        <f>IF(AND(' RIESGOS DE GESTION'!#REF!="Muy Baja",' RIESGOS DE GESTION'!#REF!="Moderado"),CONCATENATE("R10C",' RIESGOS DE GESTION'!#REF!),"")</f>
        <v>#REF!</v>
      </c>
      <c r="Z55" s="45" t="e">
        <f>IF(AND(' RIESGOS DE GESTION'!#REF!="Muy Baja",' RIESGOS DE GESTION'!#REF!="Moderado"),CONCATENATE("R10C",' RIESGOS DE GESTION'!#REF!),"")</f>
        <v>#REF!</v>
      </c>
      <c r="AA55" s="46" t="e">
        <f>IF(AND(' RIESGOS DE GESTION'!#REF!="Muy Baja",' RIESGOS DE GESTION'!#REF!="Moderado"),CONCATENATE("R10C",' RIESGOS DE GESTION'!#REF!),"")</f>
        <v>#REF!</v>
      </c>
      <c r="AB55" s="32" t="e">
        <f>IF(AND(' RIESGOS DE GESTION'!#REF!="Muy Baja",' RIESGOS DE GESTION'!#REF!="Mayor"),CONCATENATE("R10C",' RIESGOS DE GESTION'!#REF!),"")</f>
        <v>#REF!</v>
      </c>
      <c r="AC55" s="33" t="e">
        <f>IF(AND(' RIESGOS DE GESTION'!#REF!="Muy Baja",' RIESGOS DE GESTION'!#REF!="Mayor"),CONCATENATE("R10C",' RIESGOS DE GESTION'!#REF!),"")</f>
        <v>#REF!</v>
      </c>
      <c r="AD55" s="33" t="e">
        <f>IF(AND(' RIESGOS DE GESTION'!#REF!="Muy Baja",' RIESGOS DE GESTION'!#REF!="Mayor"),CONCATENATE("R10C",' RIESGOS DE GESTION'!#REF!),"")</f>
        <v>#REF!</v>
      </c>
      <c r="AE55" s="33" t="e">
        <f>IF(AND(' RIESGOS DE GESTION'!#REF!="Muy Baja",' RIESGOS DE GESTION'!#REF!="Mayor"),CONCATENATE("R10C",' RIESGOS DE GESTION'!#REF!),"")</f>
        <v>#REF!</v>
      </c>
      <c r="AF55" s="33" t="e">
        <f>IF(AND(' RIESGOS DE GESTION'!#REF!="Muy Baja",' RIESGOS DE GESTION'!#REF!="Mayor"),CONCATENATE("R10C",' RIESGOS DE GESTION'!#REF!),"")</f>
        <v>#REF!</v>
      </c>
      <c r="AG55" s="34" t="e">
        <f>IF(AND(' RIESGOS DE GESTION'!#REF!="Muy Baja",' RIESGOS DE GESTION'!#REF!="Mayor"),CONCATENATE("R10C",' RIESGOS DE GESTION'!#REF!),"")</f>
        <v>#REF!</v>
      </c>
      <c r="AH55" s="35" t="e">
        <f>IF(AND(' RIESGOS DE GESTION'!#REF!="Muy Baja",' RIESGOS DE GESTION'!#REF!="Catastrófico"),CONCATENATE("R10C",' RIESGOS DE GESTION'!#REF!),"")</f>
        <v>#REF!</v>
      </c>
      <c r="AI55" s="36" t="e">
        <f>IF(AND(' RIESGOS DE GESTION'!#REF!="Muy Baja",' RIESGOS DE GESTION'!#REF!="Catastrófico"),CONCATENATE("R10C",' RIESGOS DE GESTION'!#REF!),"")</f>
        <v>#REF!</v>
      </c>
      <c r="AJ55" s="36" t="e">
        <f>IF(AND(' RIESGOS DE GESTION'!#REF!="Muy Baja",' RIESGOS DE GESTION'!#REF!="Catastrófico"),CONCATENATE("R10C",' RIESGOS DE GESTION'!#REF!),"")</f>
        <v>#REF!</v>
      </c>
      <c r="AK55" s="36" t="e">
        <f>IF(AND(' RIESGOS DE GESTION'!#REF!="Muy Baja",' RIESGOS DE GESTION'!#REF!="Catastrófico"),CONCATENATE("R10C",' RIESGOS DE GESTION'!#REF!),"")</f>
        <v>#REF!</v>
      </c>
      <c r="AL55" s="36" t="e">
        <f>IF(AND(' RIESGOS DE GESTION'!#REF!="Muy Baja",' RIESGOS DE GESTION'!#REF!="Catastrófico"),CONCATENATE("R10C",' RIESGOS DE GESTION'!#REF!),"")</f>
        <v>#REF!</v>
      </c>
      <c r="AM55" s="37" t="e">
        <f>IF(AND(' RIESGOS DE GESTION'!#REF!="Muy Baja",' RIESGOS DE GESTION'!#REF!="Catastrófico"),CONCATENATE("R10C",' RIESGOS DE GESTION'!#REF!),"")</f>
        <v>#REF!</v>
      </c>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row>
    <row r="56" spans="1:80" x14ac:dyDescent="0.25">
      <c r="A56" s="57"/>
      <c r="B56" s="57"/>
      <c r="C56" s="57"/>
      <c r="D56" s="57"/>
      <c r="E56" s="57"/>
      <c r="F56" s="57"/>
      <c r="G56" s="57"/>
      <c r="H56" s="57"/>
      <c r="I56" s="57"/>
      <c r="J56" s="642" t="s">
        <v>580</v>
      </c>
      <c r="K56" s="643"/>
      <c r="L56" s="643"/>
      <c r="M56" s="643"/>
      <c r="N56" s="643"/>
      <c r="O56" s="660"/>
      <c r="P56" s="642" t="s">
        <v>581</v>
      </c>
      <c r="Q56" s="643"/>
      <c r="R56" s="643"/>
      <c r="S56" s="643"/>
      <c r="T56" s="643"/>
      <c r="U56" s="660"/>
      <c r="V56" s="642" t="s">
        <v>582</v>
      </c>
      <c r="W56" s="643"/>
      <c r="X56" s="643"/>
      <c r="Y56" s="643"/>
      <c r="Z56" s="643"/>
      <c r="AA56" s="660"/>
      <c r="AB56" s="642" t="s">
        <v>583</v>
      </c>
      <c r="AC56" s="681"/>
      <c r="AD56" s="643"/>
      <c r="AE56" s="643"/>
      <c r="AF56" s="643"/>
      <c r="AG56" s="660"/>
      <c r="AH56" s="642" t="s">
        <v>584</v>
      </c>
      <c r="AI56" s="643"/>
      <c r="AJ56" s="643"/>
      <c r="AK56" s="643"/>
      <c r="AL56" s="643"/>
      <c r="AM56" s="660"/>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row>
    <row r="57" spans="1:80" x14ac:dyDescent="0.25">
      <c r="A57" s="57"/>
      <c r="B57" s="57"/>
      <c r="C57" s="57"/>
      <c r="D57" s="57"/>
      <c r="E57" s="57"/>
      <c r="F57" s="57"/>
      <c r="G57" s="57"/>
      <c r="H57" s="57"/>
      <c r="I57" s="57"/>
      <c r="J57" s="646"/>
      <c r="K57" s="645"/>
      <c r="L57" s="645"/>
      <c r="M57" s="645"/>
      <c r="N57" s="645"/>
      <c r="O57" s="661"/>
      <c r="P57" s="646"/>
      <c r="Q57" s="645"/>
      <c r="R57" s="645"/>
      <c r="S57" s="645"/>
      <c r="T57" s="645"/>
      <c r="U57" s="661"/>
      <c r="V57" s="646"/>
      <c r="W57" s="645"/>
      <c r="X57" s="645"/>
      <c r="Y57" s="645"/>
      <c r="Z57" s="645"/>
      <c r="AA57" s="661"/>
      <c r="AB57" s="646"/>
      <c r="AC57" s="645"/>
      <c r="AD57" s="645"/>
      <c r="AE57" s="645"/>
      <c r="AF57" s="645"/>
      <c r="AG57" s="661"/>
      <c r="AH57" s="646"/>
      <c r="AI57" s="645"/>
      <c r="AJ57" s="645"/>
      <c r="AK57" s="645"/>
      <c r="AL57" s="645"/>
      <c r="AM57" s="661"/>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row>
    <row r="58" spans="1:80" x14ac:dyDescent="0.25">
      <c r="A58" s="57"/>
      <c r="B58" s="57"/>
      <c r="C58" s="57"/>
      <c r="D58" s="57"/>
      <c r="E58" s="57"/>
      <c r="F58" s="57"/>
      <c r="G58" s="57"/>
      <c r="H58" s="57"/>
      <c r="I58" s="57"/>
      <c r="J58" s="646"/>
      <c r="K58" s="645"/>
      <c r="L58" s="645"/>
      <c r="M58" s="645"/>
      <c r="N58" s="645"/>
      <c r="O58" s="661"/>
      <c r="P58" s="646"/>
      <c r="Q58" s="645"/>
      <c r="R58" s="645"/>
      <c r="S58" s="645"/>
      <c r="T58" s="645"/>
      <c r="U58" s="661"/>
      <c r="V58" s="646"/>
      <c r="W58" s="645"/>
      <c r="X58" s="645"/>
      <c r="Y58" s="645"/>
      <c r="Z58" s="645"/>
      <c r="AA58" s="661"/>
      <c r="AB58" s="646"/>
      <c r="AC58" s="645"/>
      <c r="AD58" s="645"/>
      <c r="AE58" s="645"/>
      <c r="AF58" s="645"/>
      <c r="AG58" s="661"/>
      <c r="AH58" s="646"/>
      <c r="AI58" s="645"/>
      <c r="AJ58" s="645"/>
      <c r="AK58" s="645"/>
      <c r="AL58" s="645"/>
      <c r="AM58" s="661"/>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row>
    <row r="59" spans="1:80" x14ac:dyDescent="0.25">
      <c r="A59" s="57"/>
      <c r="B59" s="57"/>
      <c r="C59" s="57"/>
      <c r="D59" s="57"/>
      <c r="E59" s="57"/>
      <c r="F59" s="57"/>
      <c r="G59" s="57"/>
      <c r="H59" s="57"/>
      <c r="I59" s="57"/>
      <c r="J59" s="646"/>
      <c r="K59" s="645"/>
      <c r="L59" s="645"/>
      <c r="M59" s="645"/>
      <c r="N59" s="645"/>
      <c r="O59" s="661"/>
      <c r="P59" s="646"/>
      <c r="Q59" s="645"/>
      <c r="R59" s="645"/>
      <c r="S59" s="645"/>
      <c r="T59" s="645"/>
      <c r="U59" s="661"/>
      <c r="V59" s="646"/>
      <c r="W59" s="645"/>
      <c r="X59" s="645"/>
      <c r="Y59" s="645"/>
      <c r="Z59" s="645"/>
      <c r="AA59" s="661"/>
      <c r="AB59" s="646"/>
      <c r="AC59" s="645"/>
      <c r="AD59" s="645"/>
      <c r="AE59" s="645"/>
      <c r="AF59" s="645"/>
      <c r="AG59" s="661"/>
      <c r="AH59" s="646"/>
      <c r="AI59" s="645"/>
      <c r="AJ59" s="645"/>
      <c r="AK59" s="645"/>
      <c r="AL59" s="645"/>
      <c r="AM59" s="661"/>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row>
    <row r="60" spans="1:80" x14ac:dyDescent="0.25">
      <c r="A60" s="57"/>
      <c r="B60" s="57"/>
      <c r="C60" s="57"/>
      <c r="D60" s="57"/>
      <c r="E60" s="57"/>
      <c r="F60" s="57"/>
      <c r="G60" s="57"/>
      <c r="H60" s="57"/>
      <c r="I60" s="57"/>
      <c r="J60" s="646"/>
      <c r="K60" s="645"/>
      <c r="L60" s="645"/>
      <c r="M60" s="645"/>
      <c r="N60" s="645"/>
      <c r="O60" s="661"/>
      <c r="P60" s="646"/>
      <c r="Q60" s="645"/>
      <c r="R60" s="645"/>
      <c r="S60" s="645"/>
      <c r="T60" s="645"/>
      <c r="U60" s="661"/>
      <c r="V60" s="646"/>
      <c r="W60" s="645"/>
      <c r="X60" s="645"/>
      <c r="Y60" s="645"/>
      <c r="Z60" s="645"/>
      <c r="AA60" s="661"/>
      <c r="AB60" s="646"/>
      <c r="AC60" s="645"/>
      <c r="AD60" s="645"/>
      <c r="AE60" s="645"/>
      <c r="AF60" s="645"/>
      <c r="AG60" s="661"/>
      <c r="AH60" s="646"/>
      <c r="AI60" s="645"/>
      <c r="AJ60" s="645"/>
      <c r="AK60" s="645"/>
      <c r="AL60" s="645"/>
      <c r="AM60" s="661"/>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row>
    <row r="61" spans="1:80" ht="15.75" thickBot="1" x14ac:dyDescent="0.3">
      <c r="A61" s="57"/>
      <c r="B61" s="57"/>
      <c r="C61" s="57"/>
      <c r="D61" s="57"/>
      <c r="E61" s="57"/>
      <c r="F61" s="57"/>
      <c r="G61" s="57"/>
      <c r="H61" s="57"/>
      <c r="I61" s="57"/>
      <c r="J61" s="647"/>
      <c r="K61" s="648"/>
      <c r="L61" s="648"/>
      <c r="M61" s="648"/>
      <c r="N61" s="648"/>
      <c r="O61" s="662"/>
      <c r="P61" s="647"/>
      <c r="Q61" s="648"/>
      <c r="R61" s="648"/>
      <c r="S61" s="648"/>
      <c r="T61" s="648"/>
      <c r="U61" s="662"/>
      <c r="V61" s="647"/>
      <c r="W61" s="648"/>
      <c r="X61" s="648"/>
      <c r="Y61" s="648"/>
      <c r="Z61" s="648"/>
      <c r="AA61" s="662"/>
      <c r="AB61" s="647"/>
      <c r="AC61" s="648"/>
      <c r="AD61" s="648"/>
      <c r="AE61" s="648"/>
      <c r="AF61" s="648"/>
      <c r="AG61" s="662"/>
      <c r="AH61" s="647"/>
      <c r="AI61" s="648"/>
      <c r="AJ61" s="648"/>
      <c r="AK61" s="648"/>
      <c r="AL61" s="648"/>
      <c r="AM61" s="662"/>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row>
    <row r="62" spans="1:80" x14ac:dyDescent="0.25">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row>
    <row r="63" spans="1:80" ht="15" customHeight="1" x14ac:dyDescent="0.25">
      <c r="A63" s="57"/>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57"/>
      <c r="AV63" s="57"/>
      <c r="AW63" s="57"/>
      <c r="AX63" s="57"/>
      <c r="AY63" s="57"/>
      <c r="AZ63" s="57"/>
      <c r="BA63" s="57"/>
      <c r="BB63" s="57"/>
      <c r="BC63" s="57"/>
      <c r="BD63" s="57"/>
      <c r="BE63" s="57"/>
      <c r="BF63" s="57"/>
      <c r="BG63" s="57"/>
      <c r="BH63" s="57"/>
    </row>
    <row r="64" spans="1:80" ht="15" customHeight="1" x14ac:dyDescent="0.25">
      <c r="A64" s="57"/>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57"/>
      <c r="AV64" s="57"/>
      <c r="AW64" s="57"/>
      <c r="AX64" s="57"/>
      <c r="AY64" s="57"/>
      <c r="AZ64" s="57"/>
      <c r="BA64" s="57"/>
      <c r="BB64" s="57"/>
      <c r="BC64" s="57"/>
      <c r="BD64" s="57"/>
      <c r="BE64" s="57"/>
      <c r="BF64" s="57"/>
      <c r="BG64" s="57"/>
      <c r="BH64" s="57"/>
    </row>
    <row r="65" spans="1:60" x14ac:dyDescent="0.25">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row>
    <row r="66" spans="1:60" x14ac:dyDescent="0.25">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row>
    <row r="67" spans="1:60" x14ac:dyDescent="0.25">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row>
    <row r="68" spans="1:60" x14ac:dyDescent="0.25">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row>
    <row r="69" spans="1:60" x14ac:dyDescent="0.25">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row>
    <row r="70" spans="1:60" x14ac:dyDescent="0.25">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row>
    <row r="71" spans="1:60" x14ac:dyDescent="0.25">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row>
    <row r="72" spans="1:60" x14ac:dyDescent="0.25">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row>
    <row r="73" spans="1:60" x14ac:dyDescent="0.25">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row>
    <row r="74" spans="1:60" x14ac:dyDescent="0.25">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row>
    <row r="75" spans="1:60" x14ac:dyDescent="0.25">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row>
    <row r="76" spans="1:60" x14ac:dyDescent="0.25">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row>
    <row r="77" spans="1:60" x14ac:dyDescent="0.25">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row>
    <row r="78" spans="1:60" x14ac:dyDescent="0.25">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row>
    <row r="79" spans="1:60" x14ac:dyDescent="0.25">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c r="AY79" s="57"/>
      <c r="AZ79" s="57"/>
      <c r="BA79" s="57"/>
      <c r="BB79" s="57"/>
      <c r="BC79" s="57"/>
      <c r="BD79" s="57"/>
      <c r="BE79" s="57"/>
      <c r="BF79" s="57"/>
      <c r="BG79" s="57"/>
      <c r="BH79" s="57"/>
    </row>
    <row r="80" spans="1:60" x14ac:dyDescent="0.25">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c r="BC80" s="57"/>
      <c r="BD80" s="57"/>
      <c r="BE80" s="57"/>
      <c r="BF80" s="57"/>
      <c r="BG80" s="57"/>
      <c r="BH80" s="57"/>
    </row>
    <row r="81" spans="1:60" x14ac:dyDescent="0.25">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c r="AN81" s="57"/>
      <c r="AO81" s="57"/>
      <c r="AP81" s="57"/>
      <c r="AQ81" s="57"/>
      <c r="AR81" s="57"/>
      <c r="AS81" s="57"/>
      <c r="AT81" s="57"/>
      <c r="AU81" s="57"/>
      <c r="AV81" s="57"/>
      <c r="AW81" s="57"/>
      <c r="AX81" s="57"/>
      <c r="AY81" s="57"/>
      <c r="AZ81" s="57"/>
      <c r="BA81" s="57"/>
      <c r="BB81" s="57"/>
      <c r="BC81" s="57"/>
      <c r="BD81" s="57"/>
      <c r="BE81" s="57"/>
      <c r="BF81" s="57"/>
      <c r="BG81" s="57"/>
      <c r="BH81" s="57"/>
    </row>
    <row r="82" spans="1:60" x14ac:dyDescent="0.25">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row>
    <row r="83" spans="1:60" x14ac:dyDescent="0.25">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7"/>
      <c r="AS83" s="57"/>
      <c r="AT83" s="57"/>
      <c r="AU83" s="57"/>
      <c r="AV83" s="57"/>
      <c r="AW83" s="57"/>
      <c r="AX83" s="57"/>
      <c r="AY83" s="57"/>
      <c r="AZ83" s="57"/>
      <c r="BA83" s="57"/>
      <c r="BB83" s="57"/>
      <c r="BC83" s="57"/>
      <c r="BD83" s="57"/>
      <c r="BE83" s="57"/>
      <c r="BF83" s="57"/>
      <c r="BG83" s="57"/>
      <c r="BH83" s="57"/>
    </row>
    <row r="84" spans="1:60" x14ac:dyDescent="0.25">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c r="AN84" s="57"/>
      <c r="AO84" s="57"/>
      <c r="AP84" s="57"/>
      <c r="AQ84" s="57"/>
      <c r="AR84" s="57"/>
      <c r="AS84" s="57"/>
      <c r="AT84" s="57"/>
      <c r="AU84" s="57"/>
      <c r="AV84" s="57"/>
      <c r="AW84" s="57"/>
      <c r="AX84" s="57"/>
      <c r="AY84" s="57"/>
      <c r="AZ84" s="57"/>
      <c r="BA84" s="57"/>
      <c r="BB84" s="57"/>
      <c r="BC84" s="57"/>
      <c r="BD84" s="57"/>
      <c r="BE84" s="57"/>
      <c r="BF84" s="57"/>
      <c r="BG84" s="57"/>
      <c r="BH84" s="57"/>
    </row>
    <row r="85" spans="1:60" x14ac:dyDescent="0.25">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c r="AN85" s="57"/>
      <c r="AO85" s="57"/>
      <c r="AP85" s="57"/>
      <c r="AQ85" s="57"/>
      <c r="AR85" s="57"/>
      <c r="AS85" s="57"/>
      <c r="AT85" s="57"/>
      <c r="AU85" s="57"/>
      <c r="AV85" s="57"/>
      <c r="AW85" s="57"/>
      <c r="AX85" s="57"/>
      <c r="AY85" s="57"/>
      <c r="AZ85" s="57"/>
      <c r="BA85" s="57"/>
      <c r="BB85" s="57"/>
      <c r="BC85" s="57"/>
      <c r="BD85" s="57"/>
      <c r="BE85" s="57"/>
      <c r="BF85" s="57"/>
      <c r="BG85" s="57"/>
      <c r="BH85" s="57"/>
    </row>
    <row r="86" spans="1:60" x14ac:dyDescent="0.25">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row>
    <row r="87" spans="1:60" x14ac:dyDescent="0.25">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c r="AN87" s="57"/>
      <c r="AO87" s="57"/>
      <c r="AP87" s="57"/>
      <c r="AQ87" s="57"/>
      <c r="AR87" s="57"/>
      <c r="AS87" s="57"/>
      <c r="AT87" s="57"/>
      <c r="AU87" s="57"/>
      <c r="AV87" s="57"/>
      <c r="AW87" s="57"/>
      <c r="AX87" s="57"/>
      <c r="AY87" s="57"/>
      <c r="AZ87" s="57"/>
      <c r="BA87" s="57"/>
      <c r="BB87" s="57"/>
      <c r="BC87" s="57"/>
      <c r="BD87" s="57"/>
      <c r="BE87" s="57"/>
      <c r="BF87" s="57"/>
      <c r="BG87" s="57"/>
      <c r="BH87" s="57"/>
    </row>
    <row r="88" spans="1:60" x14ac:dyDescent="0.25">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c r="BD88" s="57"/>
      <c r="BE88" s="57"/>
      <c r="BF88" s="57"/>
      <c r="BG88" s="57"/>
      <c r="BH88" s="57"/>
    </row>
    <row r="89" spans="1:60" x14ac:dyDescent="0.25">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c r="AN89" s="57"/>
      <c r="AO89" s="57"/>
      <c r="AP89" s="57"/>
      <c r="AQ89" s="57"/>
      <c r="AR89" s="57"/>
      <c r="AS89" s="57"/>
      <c r="AT89" s="57"/>
      <c r="AU89" s="57"/>
      <c r="AV89" s="57"/>
      <c r="AW89" s="57"/>
      <c r="AX89" s="57"/>
      <c r="AY89" s="57"/>
      <c r="AZ89" s="57"/>
      <c r="BA89" s="57"/>
      <c r="BB89" s="57"/>
      <c r="BC89" s="57"/>
      <c r="BD89" s="57"/>
      <c r="BE89" s="57"/>
      <c r="BF89" s="57"/>
      <c r="BG89" s="57"/>
      <c r="BH89" s="57"/>
    </row>
    <row r="90" spans="1:60" x14ac:dyDescent="0.25">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7"/>
      <c r="AO90" s="57"/>
      <c r="AP90" s="57"/>
      <c r="AQ90" s="57"/>
      <c r="AR90" s="57"/>
      <c r="AS90" s="57"/>
      <c r="AT90" s="57"/>
      <c r="AU90" s="57"/>
      <c r="AV90" s="57"/>
      <c r="AW90" s="57"/>
      <c r="AX90" s="57"/>
      <c r="AY90" s="57"/>
      <c r="AZ90" s="57"/>
      <c r="BA90" s="57"/>
      <c r="BB90" s="57"/>
      <c r="BC90" s="57"/>
      <c r="BD90" s="57"/>
      <c r="BE90" s="57"/>
      <c r="BF90" s="57"/>
      <c r="BG90" s="57"/>
      <c r="BH90" s="57"/>
    </row>
    <row r="91" spans="1:60" x14ac:dyDescent="0.25">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row>
    <row r="92" spans="1:60" x14ac:dyDescent="0.25">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c r="AN92" s="57"/>
      <c r="AO92" s="57"/>
      <c r="AP92" s="57"/>
      <c r="AQ92" s="57"/>
      <c r="AR92" s="57"/>
      <c r="AS92" s="57"/>
      <c r="AT92" s="57"/>
      <c r="AU92" s="57"/>
      <c r="AV92" s="57"/>
      <c r="AW92" s="57"/>
      <c r="AX92" s="57"/>
      <c r="AY92" s="57"/>
      <c r="AZ92" s="57"/>
      <c r="BA92" s="57"/>
      <c r="BB92" s="57"/>
      <c r="BC92" s="57"/>
      <c r="BD92" s="57"/>
      <c r="BE92" s="57"/>
      <c r="BF92" s="57"/>
      <c r="BG92" s="57"/>
      <c r="BH92" s="57"/>
    </row>
    <row r="93" spans="1:60" x14ac:dyDescent="0.25">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c r="AV93" s="57"/>
      <c r="AW93" s="57"/>
      <c r="AX93" s="57"/>
      <c r="AY93" s="57"/>
      <c r="AZ93" s="57"/>
      <c r="BA93" s="57"/>
      <c r="BB93" s="57"/>
      <c r="BC93" s="57"/>
      <c r="BD93" s="57"/>
      <c r="BE93" s="57"/>
      <c r="BF93" s="57"/>
      <c r="BG93" s="57"/>
      <c r="BH93" s="57"/>
    </row>
    <row r="94" spans="1:60" x14ac:dyDescent="0.25">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row>
    <row r="95" spans="1:60" x14ac:dyDescent="0.25">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row>
    <row r="96" spans="1:60" x14ac:dyDescent="0.25">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row>
    <row r="97" spans="1:60" x14ac:dyDescent="0.25">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row>
    <row r="98" spans="1:60" x14ac:dyDescent="0.25">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row>
    <row r="99" spans="1:60" x14ac:dyDescent="0.25">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row>
    <row r="100" spans="1:60" x14ac:dyDescent="0.25">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row>
    <row r="101" spans="1:60" x14ac:dyDescent="0.25">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row>
    <row r="102" spans="1:60" x14ac:dyDescent="0.25">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row>
    <row r="103" spans="1:60" x14ac:dyDescent="0.25">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row>
    <row r="104" spans="1:60" x14ac:dyDescent="0.25">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row>
    <row r="105" spans="1:60" x14ac:dyDescent="0.25">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row>
    <row r="106" spans="1:60" x14ac:dyDescent="0.25">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row>
    <row r="107" spans="1:60" x14ac:dyDescent="0.25">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row>
    <row r="108" spans="1:60" x14ac:dyDescent="0.25">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row>
    <row r="109" spans="1:60" x14ac:dyDescent="0.25">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row>
    <row r="110" spans="1:60" x14ac:dyDescent="0.25">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row>
    <row r="111" spans="1:60" x14ac:dyDescent="0.25">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row>
    <row r="112" spans="1:60" x14ac:dyDescent="0.25">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row>
    <row r="113" spans="1:60" x14ac:dyDescent="0.25">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row>
    <row r="114" spans="1:60"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row>
    <row r="115" spans="1:60" x14ac:dyDescent="0.25">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row>
    <row r="116" spans="1:60" x14ac:dyDescent="0.25">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row>
    <row r="117" spans="1:60" x14ac:dyDescent="0.25">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row>
    <row r="118" spans="1:60" x14ac:dyDescent="0.25">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row>
    <row r="119" spans="1:60" x14ac:dyDescent="0.25">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row>
    <row r="120" spans="1:60" x14ac:dyDescent="0.25">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row>
    <row r="121" spans="1:60" x14ac:dyDescent="0.25">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row>
    <row r="122" spans="1:60" x14ac:dyDescent="0.25">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row>
    <row r="123" spans="1:60" x14ac:dyDescent="0.25">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row>
    <row r="124" spans="1:60" x14ac:dyDescent="0.25">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row>
    <row r="125" spans="1:60" x14ac:dyDescent="0.25">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row>
    <row r="126" spans="1:60" x14ac:dyDescent="0.25">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row>
    <row r="127" spans="1:60" x14ac:dyDescent="0.25">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row>
    <row r="128" spans="1:60" x14ac:dyDescent="0.25">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row>
    <row r="129" spans="1:60" x14ac:dyDescent="0.25">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row>
    <row r="130" spans="1:60" x14ac:dyDescent="0.25">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row>
    <row r="131" spans="1:60" x14ac:dyDescent="0.25">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row>
    <row r="132" spans="1:60" x14ac:dyDescent="0.25">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row>
    <row r="133" spans="1:60" x14ac:dyDescent="0.25">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row>
    <row r="134" spans="1:60" x14ac:dyDescent="0.25">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row>
    <row r="135" spans="1:60" x14ac:dyDescent="0.25">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row>
    <row r="136" spans="1:60" x14ac:dyDescent="0.25">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row>
    <row r="137" spans="1:60" x14ac:dyDescent="0.25">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row>
    <row r="138" spans="1:60" x14ac:dyDescent="0.25">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row>
    <row r="139" spans="1:60" x14ac:dyDescent="0.25">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row>
    <row r="140" spans="1:60" x14ac:dyDescent="0.25">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row>
    <row r="141" spans="1:60" x14ac:dyDescent="0.25">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row>
    <row r="142" spans="1:60" x14ac:dyDescent="0.25">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row>
    <row r="143" spans="1:60" x14ac:dyDescent="0.25">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row>
    <row r="144" spans="1:60" x14ac:dyDescent="0.25">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row>
    <row r="145" spans="1:60" x14ac:dyDescent="0.25">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row>
    <row r="146" spans="1:60" x14ac:dyDescent="0.25">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c r="AT146" s="57"/>
      <c r="AU146" s="57"/>
      <c r="AV146" s="57"/>
      <c r="AW146" s="57"/>
      <c r="AX146" s="57"/>
      <c r="AY146" s="57"/>
      <c r="AZ146" s="57"/>
      <c r="BA146" s="57"/>
      <c r="BB146" s="57"/>
      <c r="BC146" s="57"/>
      <c r="BD146" s="57"/>
      <c r="BE146" s="57"/>
      <c r="BF146" s="57"/>
      <c r="BG146" s="57"/>
      <c r="BH146" s="57"/>
    </row>
    <row r="147" spans="1:60" x14ac:dyDescent="0.25">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c r="AT147" s="57"/>
      <c r="AU147" s="57"/>
      <c r="AV147" s="57"/>
      <c r="AW147" s="57"/>
      <c r="AX147" s="57"/>
      <c r="AY147" s="57"/>
      <c r="AZ147" s="57"/>
      <c r="BA147" s="57"/>
      <c r="BB147" s="57"/>
      <c r="BC147" s="57"/>
      <c r="BD147" s="57"/>
      <c r="BE147" s="57"/>
      <c r="BF147" s="57"/>
      <c r="BG147" s="57"/>
      <c r="BH147" s="57"/>
    </row>
    <row r="148" spans="1:60" x14ac:dyDescent="0.25">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c r="AN148" s="57"/>
      <c r="AO148" s="57"/>
      <c r="AP148" s="57"/>
      <c r="AQ148" s="57"/>
      <c r="AR148" s="57"/>
      <c r="AS148" s="57"/>
      <c r="AT148" s="57"/>
      <c r="AU148" s="57"/>
      <c r="AV148" s="57"/>
      <c r="AW148" s="57"/>
      <c r="AX148" s="57"/>
      <c r="AY148" s="57"/>
      <c r="AZ148" s="57"/>
      <c r="BA148" s="57"/>
      <c r="BB148" s="57"/>
      <c r="BC148" s="57"/>
      <c r="BD148" s="57"/>
      <c r="BE148" s="57"/>
      <c r="BF148" s="57"/>
      <c r="BG148" s="57"/>
      <c r="BH148" s="57"/>
    </row>
    <row r="149" spans="1:60" x14ac:dyDescent="0.25">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row>
    <row r="150" spans="1:60" x14ac:dyDescent="0.25">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c r="AN150" s="57"/>
      <c r="AO150" s="57"/>
      <c r="AP150" s="57"/>
      <c r="AQ150" s="57"/>
      <c r="AR150" s="57"/>
      <c r="AS150" s="57"/>
      <c r="AT150" s="57"/>
      <c r="AU150" s="57"/>
      <c r="AV150" s="57"/>
      <c r="AW150" s="57"/>
      <c r="AX150" s="57"/>
      <c r="AY150" s="57"/>
      <c r="AZ150" s="57"/>
      <c r="BA150" s="57"/>
      <c r="BB150" s="57"/>
      <c r="BC150" s="57"/>
      <c r="BD150" s="57"/>
      <c r="BE150" s="57"/>
      <c r="BF150" s="57"/>
      <c r="BG150" s="57"/>
      <c r="BH150" s="57"/>
    </row>
    <row r="151" spans="1:60" x14ac:dyDescent="0.25">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c r="AN151" s="57"/>
      <c r="AO151" s="57"/>
      <c r="AP151" s="57"/>
      <c r="AQ151" s="57"/>
      <c r="AR151" s="57"/>
      <c r="AS151" s="57"/>
      <c r="AT151" s="57"/>
      <c r="AU151" s="57"/>
      <c r="AV151" s="57"/>
      <c r="AW151" s="57"/>
      <c r="AX151" s="57"/>
      <c r="AY151" s="57"/>
      <c r="AZ151" s="57"/>
      <c r="BA151" s="57"/>
      <c r="BB151" s="57"/>
      <c r="BC151" s="57"/>
      <c r="BD151" s="57"/>
      <c r="BE151" s="57"/>
      <c r="BF151" s="57"/>
      <c r="BG151" s="57"/>
      <c r="BH151" s="57"/>
    </row>
    <row r="152" spans="1:60" x14ac:dyDescent="0.25">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row>
    <row r="153" spans="1:60" x14ac:dyDescent="0.25">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c r="AN153" s="57"/>
      <c r="AO153" s="57"/>
      <c r="AP153" s="57"/>
      <c r="AQ153" s="57"/>
      <c r="AR153" s="57"/>
      <c r="AS153" s="57"/>
      <c r="AT153" s="57"/>
      <c r="AU153" s="57"/>
      <c r="AV153" s="57"/>
      <c r="AW153" s="57"/>
      <c r="AX153" s="57"/>
      <c r="AY153" s="57"/>
      <c r="AZ153" s="57"/>
      <c r="BA153" s="57"/>
      <c r="BB153" s="57"/>
      <c r="BC153" s="57"/>
      <c r="BD153" s="57"/>
      <c r="BE153" s="57"/>
      <c r="BF153" s="57"/>
      <c r="BG153" s="57"/>
      <c r="BH153" s="57"/>
    </row>
    <row r="154" spans="1:60" x14ac:dyDescent="0.25">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c r="AN154" s="57"/>
      <c r="AO154" s="57"/>
      <c r="AP154" s="57"/>
      <c r="AQ154" s="57"/>
      <c r="AR154" s="57"/>
      <c r="AS154" s="57"/>
      <c r="AT154" s="57"/>
      <c r="AU154" s="57"/>
      <c r="AV154" s="57"/>
      <c r="AW154" s="57"/>
      <c r="AX154" s="57"/>
      <c r="AY154" s="57"/>
      <c r="AZ154" s="57"/>
      <c r="BA154" s="57"/>
      <c r="BB154" s="57"/>
      <c r="BC154" s="57"/>
      <c r="BD154" s="57"/>
      <c r="BE154" s="57"/>
      <c r="BF154" s="57"/>
      <c r="BG154" s="57"/>
      <c r="BH154" s="57"/>
    </row>
    <row r="155" spans="1:60" x14ac:dyDescent="0.25">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c r="AP155" s="57"/>
      <c r="AQ155" s="57"/>
      <c r="AR155" s="57"/>
      <c r="AS155" s="57"/>
      <c r="AT155" s="57"/>
      <c r="AU155" s="57"/>
      <c r="AV155" s="57"/>
      <c r="AW155" s="57"/>
      <c r="AX155" s="57"/>
      <c r="AY155" s="57"/>
      <c r="AZ155" s="57"/>
      <c r="BA155" s="57"/>
      <c r="BB155" s="57"/>
      <c r="BC155" s="57"/>
      <c r="BD155" s="57"/>
      <c r="BE155" s="57"/>
      <c r="BF155" s="57"/>
      <c r="BG155" s="57"/>
      <c r="BH155" s="57"/>
    </row>
    <row r="156" spans="1:60" x14ac:dyDescent="0.25">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c r="AN156" s="57"/>
      <c r="AO156" s="57"/>
      <c r="AP156" s="57"/>
      <c r="AQ156" s="57"/>
      <c r="AR156" s="57"/>
      <c r="AS156" s="57"/>
      <c r="AT156" s="57"/>
      <c r="AU156" s="57"/>
      <c r="AV156" s="57"/>
      <c r="AW156" s="57"/>
      <c r="AX156" s="57"/>
      <c r="AY156" s="57"/>
      <c r="AZ156" s="57"/>
      <c r="BA156" s="57"/>
      <c r="BB156" s="57"/>
      <c r="BC156" s="57"/>
      <c r="BD156" s="57"/>
      <c r="BE156" s="57"/>
      <c r="BF156" s="57"/>
      <c r="BG156" s="57"/>
      <c r="BH156" s="57"/>
    </row>
    <row r="157" spans="1:60" x14ac:dyDescent="0.25">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c r="AN157" s="57"/>
      <c r="AO157" s="57"/>
      <c r="AP157" s="57"/>
      <c r="AQ157" s="57"/>
      <c r="AR157" s="57"/>
      <c r="AS157" s="57"/>
      <c r="AT157" s="57"/>
      <c r="AU157" s="57"/>
      <c r="AV157" s="57"/>
      <c r="AW157" s="57"/>
      <c r="AX157" s="57"/>
      <c r="AY157" s="57"/>
      <c r="AZ157" s="57"/>
      <c r="BA157" s="57"/>
      <c r="BB157" s="57"/>
      <c r="BC157" s="57"/>
      <c r="BD157" s="57"/>
      <c r="BE157" s="57"/>
      <c r="BF157" s="57"/>
      <c r="BG157" s="57"/>
      <c r="BH157" s="57"/>
    </row>
    <row r="158" spans="1:60" x14ac:dyDescent="0.25">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c r="AN158" s="57"/>
      <c r="AO158" s="57"/>
      <c r="AP158" s="57"/>
      <c r="AQ158" s="57"/>
      <c r="AR158" s="57"/>
      <c r="AS158" s="57"/>
      <c r="AT158" s="57"/>
      <c r="AU158" s="57"/>
      <c r="AV158" s="57"/>
      <c r="AW158" s="57"/>
      <c r="AX158" s="57"/>
      <c r="AY158" s="57"/>
      <c r="AZ158" s="57"/>
      <c r="BA158" s="57"/>
      <c r="BB158" s="57"/>
      <c r="BC158" s="57"/>
      <c r="BD158" s="57"/>
      <c r="BE158" s="57"/>
      <c r="BF158" s="57"/>
      <c r="BG158" s="57"/>
      <c r="BH158" s="57"/>
    </row>
    <row r="159" spans="1:60" x14ac:dyDescent="0.25">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c r="AN159" s="57"/>
      <c r="AO159" s="57"/>
      <c r="AP159" s="57"/>
      <c r="AQ159" s="57"/>
      <c r="AR159" s="57"/>
      <c r="AS159" s="57"/>
      <c r="AT159" s="57"/>
      <c r="AU159" s="57"/>
      <c r="AV159" s="57"/>
      <c r="AW159" s="57"/>
      <c r="AX159" s="57"/>
      <c r="AY159" s="57"/>
      <c r="AZ159" s="57"/>
      <c r="BA159" s="57"/>
      <c r="BB159" s="57"/>
      <c r="BC159" s="57"/>
      <c r="BD159" s="57"/>
      <c r="BE159" s="57"/>
      <c r="BF159" s="57"/>
      <c r="BG159" s="57"/>
      <c r="BH159" s="57"/>
    </row>
    <row r="160" spans="1:60" x14ac:dyDescent="0.25">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c r="AN160" s="57"/>
      <c r="AO160" s="57"/>
      <c r="AP160" s="57"/>
      <c r="AQ160" s="57"/>
      <c r="AR160" s="57"/>
      <c r="AS160" s="57"/>
      <c r="AT160" s="57"/>
      <c r="AU160" s="57"/>
      <c r="AV160" s="57"/>
      <c r="AW160" s="57"/>
      <c r="AX160" s="57"/>
      <c r="AY160" s="57"/>
      <c r="AZ160" s="57"/>
      <c r="BA160" s="57"/>
      <c r="BB160" s="57"/>
      <c r="BC160" s="57"/>
      <c r="BD160" s="57"/>
      <c r="BE160" s="57"/>
      <c r="BF160" s="57"/>
      <c r="BG160" s="57"/>
      <c r="BH160" s="57"/>
    </row>
    <row r="161" spans="1:60" x14ac:dyDescent="0.25">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row>
    <row r="162" spans="1:60" x14ac:dyDescent="0.25">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row>
    <row r="163" spans="1:60" x14ac:dyDescent="0.25">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row>
    <row r="164" spans="1:60" x14ac:dyDescent="0.25">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row>
    <row r="165" spans="1:60" x14ac:dyDescent="0.25">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row>
    <row r="166" spans="1:60" x14ac:dyDescent="0.25">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row>
    <row r="167" spans="1:60" x14ac:dyDescent="0.25">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row>
    <row r="168" spans="1:60" x14ac:dyDescent="0.25">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row>
    <row r="169" spans="1:60" x14ac:dyDescent="0.25">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row>
    <row r="170" spans="1:60" x14ac:dyDescent="0.25">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row>
    <row r="171" spans="1:60" x14ac:dyDescent="0.25">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row>
    <row r="172" spans="1:60" x14ac:dyDescent="0.25">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row>
    <row r="173" spans="1:60" x14ac:dyDescent="0.25">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row>
    <row r="174" spans="1:60" x14ac:dyDescent="0.25">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row>
    <row r="175" spans="1:60" x14ac:dyDescent="0.25">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row>
    <row r="176" spans="1:60" x14ac:dyDescent="0.25">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row>
    <row r="177" spans="1:60" x14ac:dyDescent="0.25">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row>
    <row r="178" spans="1:60" x14ac:dyDescent="0.25">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row>
    <row r="179" spans="1:60" x14ac:dyDescent="0.25">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row>
    <row r="180" spans="1:60" x14ac:dyDescent="0.25">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row>
    <row r="181" spans="1:60" x14ac:dyDescent="0.25">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row>
    <row r="182" spans="1:60" x14ac:dyDescent="0.25">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row>
    <row r="183" spans="1:60" x14ac:dyDescent="0.25">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row>
    <row r="184" spans="1:60" x14ac:dyDescent="0.25">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row>
    <row r="185" spans="1:60" x14ac:dyDescent="0.25">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row>
    <row r="186" spans="1:60" x14ac:dyDescent="0.25">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row>
    <row r="187" spans="1:60" x14ac:dyDescent="0.25">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row>
    <row r="188" spans="1:60" x14ac:dyDescent="0.25">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row>
    <row r="189" spans="1:60" x14ac:dyDescent="0.25">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row>
    <row r="190" spans="1:60" x14ac:dyDescent="0.25">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row>
    <row r="191" spans="1:60" x14ac:dyDescent="0.25">
      <c r="A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row>
    <row r="192" spans="1:60" x14ac:dyDescent="0.25">
      <c r="A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row>
    <row r="193" spans="1:60" x14ac:dyDescent="0.25">
      <c r="A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row>
    <row r="194" spans="1:60" x14ac:dyDescent="0.25">
      <c r="A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row>
    <row r="195" spans="1:60" x14ac:dyDescent="0.25">
      <c r="A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row>
    <row r="196" spans="1:60" x14ac:dyDescent="0.25">
      <c r="A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row>
    <row r="197" spans="1:60" x14ac:dyDescent="0.25">
      <c r="A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row>
    <row r="198" spans="1:60" x14ac:dyDescent="0.25">
      <c r="A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row>
    <row r="199" spans="1:60" x14ac:dyDescent="0.25">
      <c r="A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row>
    <row r="200" spans="1:60" x14ac:dyDescent="0.25">
      <c r="A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row>
    <row r="201" spans="1:60" x14ac:dyDescent="0.25">
      <c r="A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row>
    <row r="202" spans="1:60" x14ac:dyDescent="0.25">
      <c r="A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row>
    <row r="203" spans="1:60" x14ac:dyDescent="0.25">
      <c r="A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row>
    <row r="204" spans="1:60" x14ac:dyDescent="0.25">
      <c r="A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row>
    <row r="205" spans="1:60" x14ac:dyDescent="0.25">
      <c r="A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row>
    <row r="206" spans="1:60" x14ac:dyDescent="0.25">
      <c r="A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row>
    <row r="207" spans="1:60" x14ac:dyDescent="0.25">
      <c r="A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row>
    <row r="208" spans="1:60" x14ac:dyDescent="0.25">
      <c r="A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row>
    <row r="209" spans="1:60" x14ac:dyDescent="0.25">
      <c r="A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row>
    <row r="210" spans="1:60" x14ac:dyDescent="0.25">
      <c r="A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row>
    <row r="211" spans="1:60" x14ac:dyDescent="0.25">
      <c r="A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row>
    <row r="212" spans="1:60" x14ac:dyDescent="0.25">
      <c r="A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row>
    <row r="213" spans="1:60" x14ac:dyDescent="0.25">
      <c r="A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c r="AN213" s="57"/>
      <c r="AO213" s="57"/>
      <c r="AP213" s="57"/>
      <c r="AQ213" s="57"/>
      <c r="AR213" s="57"/>
      <c r="AS213" s="57"/>
      <c r="AT213" s="57"/>
      <c r="AU213" s="57"/>
      <c r="AV213" s="57"/>
      <c r="AW213" s="57"/>
      <c r="AX213" s="57"/>
      <c r="AY213" s="57"/>
      <c r="AZ213" s="57"/>
      <c r="BA213" s="57"/>
      <c r="BB213" s="57"/>
      <c r="BC213" s="57"/>
      <c r="BD213" s="57"/>
      <c r="BE213" s="57"/>
      <c r="BF213" s="57"/>
      <c r="BG213" s="57"/>
      <c r="BH213" s="57"/>
    </row>
    <row r="214" spans="1:60" x14ac:dyDescent="0.25">
      <c r="A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c r="AN214" s="57"/>
      <c r="AO214" s="57"/>
      <c r="AP214" s="57"/>
      <c r="AQ214" s="57"/>
      <c r="AR214" s="57"/>
      <c r="AS214" s="57"/>
      <c r="AT214" s="57"/>
      <c r="AU214" s="57"/>
      <c r="AV214" s="57"/>
      <c r="AW214" s="57"/>
      <c r="AX214" s="57"/>
      <c r="AY214" s="57"/>
      <c r="AZ214" s="57"/>
      <c r="BA214" s="57"/>
      <c r="BB214" s="57"/>
      <c r="BC214" s="57"/>
      <c r="BD214" s="57"/>
      <c r="BE214" s="57"/>
      <c r="BF214" s="57"/>
      <c r="BG214" s="57"/>
      <c r="BH214" s="57"/>
    </row>
    <row r="215" spans="1:60" x14ac:dyDescent="0.25">
      <c r="A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c r="AT215" s="57"/>
      <c r="AU215" s="57"/>
      <c r="AV215" s="57"/>
      <c r="AW215" s="57"/>
      <c r="AX215" s="57"/>
      <c r="AY215" s="57"/>
      <c r="AZ215" s="57"/>
      <c r="BA215" s="57"/>
      <c r="BB215" s="57"/>
      <c r="BC215" s="57"/>
      <c r="BD215" s="57"/>
      <c r="BE215" s="57"/>
      <c r="BF215" s="57"/>
      <c r="BG215" s="57"/>
      <c r="BH215" s="57"/>
    </row>
    <row r="216" spans="1:60" x14ac:dyDescent="0.25">
      <c r="A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c r="AN216" s="57"/>
      <c r="AO216" s="57"/>
      <c r="AP216" s="57"/>
      <c r="AQ216" s="57"/>
      <c r="AR216" s="57"/>
      <c r="AS216" s="57"/>
      <c r="AT216" s="57"/>
      <c r="AU216" s="57"/>
      <c r="AV216" s="57"/>
      <c r="AW216" s="57"/>
      <c r="AX216" s="57"/>
      <c r="AY216" s="57"/>
      <c r="AZ216" s="57"/>
      <c r="BA216" s="57"/>
      <c r="BB216" s="57"/>
      <c r="BC216" s="57"/>
      <c r="BD216" s="57"/>
      <c r="BE216" s="57"/>
      <c r="BF216" s="57"/>
      <c r="BG216" s="57"/>
      <c r="BH216" s="57"/>
    </row>
    <row r="217" spans="1:60" x14ac:dyDescent="0.25">
      <c r="A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c r="AN217" s="57"/>
      <c r="AO217" s="57"/>
      <c r="AP217" s="57"/>
      <c r="AQ217" s="57"/>
      <c r="AR217" s="57"/>
      <c r="AS217" s="57"/>
      <c r="AT217" s="57"/>
      <c r="AU217" s="57"/>
      <c r="AV217" s="57"/>
      <c r="AW217" s="57"/>
      <c r="AX217" s="57"/>
      <c r="AY217" s="57"/>
      <c r="AZ217" s="57"/>
      <c r="BA217" s="57"/>
      <c r="BB217" s="57"/>
      <c r="BC217" s="57"/>
      <c r="BD217" s="57"/>
      <c r="BE217" s="57"/>
      <c r="BF217" s="57"/>
      <c r="BG217" s="57"/>
      <c r="BH217" s="57"/>
    </row>
    <row r="218" spans="1:60" x14ac:dyDescent="0.25">
      <c r="A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7"/>
      <c r="BG218" s="57"/>
      <c r="BH218" s="57"/>
    </row>
    <row r="219" spans="1:60" x14ac:dyDescent="0.25">
      <c r="A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c r="AN219" s="57"/>
      <c r="AO219" s="57"/>
      <c r="AP219" s="57"/>
      <c r="AQ219" s="57"/>
      <c r="AR219" s="57"/>
      <c r="AS219" s="57"/>
      <c r="AT219" s="57"/>
      <c r="AU219" s="57"/>
      <c r="AV219" s="57"/>
      <c r="AW219" s="57"/>
      <c r="AX219" s="57"/>
      <c r="AY219" s="57"/>
      <c r="AZ219" s="57"/>
      <c r="BA219" s="57"/>
      <c r="BB219" s="57"/>
      <c r="BC219" s="57"/>
      <c r="BD219" s="57"/>
      <c r="BE219" s="57"/>
      <c r="BF219" s="57"/>
      <c r="BG219" s="57"/>
      <c r="BH219" s="57"/>
    </row>
    <row r="220" spans="1:60" x14ac:dyDescent="0.25">
      <c r="A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c r="AT220" s="57"/>
      <c r="AU220" s="57"/>
      <c r="AV220" s="57"/>
      <c r="AW220" s="57"/>
      <c r="AX220" s="57"/>
      <c r="AY220" s="57"/>
      <c r="AZ220" s="57"/>
      <c r="BA220" s="57"/>
      <c r="BB220" s="57"/>
      <c r="BC220" s="57"/>
      <c r="BD220" s="57"/>
      <c r="BE220" s="57"/>
      <c r="BF220" s="57"/>
      <c r="BG220" s="57"/>
      <c r="BH220" s="57"/>
    </row>
    <row r="221" spans="1:60" x14ac:dyDescent="0.25">
      <c r="A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row>
    <row r="222" spans="1:60" x14ac:dyDescent="0.25">
      <c r="A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c r="AN222" s="57"/>
      <c r="AO222" s="57"/>
      <c r="AP222" s="57"/>
      <c r="AQ222" s="57"/>
      <c r="AR222" s="57"/>
      <c r="AS222" s="57"/>
      <c r="AT222" s="57"/>
      <c r="AU222" s="57"/>
      <c r="AV222" s="57"/>
      <c r="AW222" s="57"/>
      <c r="AX222" s="57"/>
      <c r="AY222" s="57"/>
      <c r="AZ222" s="57"/>
      <c r="BA222" s="57"/>
      <c r="BB222" s="57"/>
      <c r="BC222" s="57"/>
      <c r="BD222" s="57"/>
      <c r="BE222" s="57"/>
      <c r="BF222" s="57"/>
      <c r="BG222" s="57"/>
      <c r="BH222" s="57"/>
    </row>
    <row r="223" spans="1:60" x14ac:dyDescent="0.25">
      <c r="A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c r="AN223" s="57"/>
      <c r="AO223" s="57"/>
      <c r="AP223" s="57"/>
      <c r="AQ223" s="57"/>
      <c r="AR223" s="57"/>
      <c r="AS223" s="57"/>
      <c r="AT223" s="57"/>
      <c r="AU223" s="57"/>
      <c r="AV223" s="57"/>
      <c r="AW223" s="57"/>
      <c r="AX223" s="57"/>
      <c r="AY223" s="57"/>
      <c r="AZ223" s="57"/>
      <c r="BA223" s="57"/>
      <c r="BB223" s="57"/>
      <c r="BC223" s="57"/>
      <c r="BD223" s="57"/>
      <c r="BE223" s="57"/>
      <c r="BF223" s="57"/>
      <c r="BG223" s="57"/>
      <c r="BH223" s="57"/>
    </row>
    <row r="224" spans="1:60" x14ac:dyDescent="0.25">
      <c r="A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c r="AN224" s="57"/>
      <c r="AO224" s="57"/>
      <c r="AP224" s="57"/>
      <c r="AQ224" s="57"/>
      <c r="AR224" s="57"/>
      <c r="AS224" s="57"/>
      <c r="AT224" s="57"/>
      <c r="AU224" s="57"/>
      <c r="AV224" s="57"/>
      <c r="AW224" s="57"/>
      <c r="AX224" s="57"/>
      <c r="AY224" s="57"/>
      <c r="AZ224" s="57"/>
      <c r="BA224" s="57"/>
      <c r="BB224" s="57"/>
      <c r="BC224" s="57"/>
      <c r="BD224" s="57"/>
      <c r="BE224" s="57"/>
      <c r="BF224" s="57"/>
      <c r="BG224" s="57"/>
      <c r="BH224" s="57"/>
    </row>
    <row r="225" spans="1:60" x14ac:dyDescent="0.25">
      <c r="A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c r="AN225" s="57"/>
      <c r="AO225" s="57"/>
      <c r="AP225" s="57"/>
      <c r="AQ225" s="57"/>
      <c r="AR225" s="57"/>
      <c r="AS225" s="57"/>
      <c r="AT225" s="57"/>
      <c r="AU225" s="57"/>
      <c r="AV225" s="57"/>
      <c r="AW225" s="57"/>
      <c r="AX225" s="57"/>
      <c r="AY225" s="57"/>
      <c r="AZ225" s="57"/>
      <c r="BA225" s="57"/>
      <c r="BB225" s="57"/>
      <c r="BC225" s="57"/>
      <c r="BD225" s="57"/>
      <c r="BE225" s="57"/>
      <c r="BF225" s="57"/>
      <c r="BG225" s="57"/>
      <c r="BH225" s="57"/>
    </row>
    <row r="226" spans="1:60" x14ac:dyDescent="0.25">
      <c r="A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c r="AP226" s="57"/>
      <c r="AQ226" s="57"/>
      <c r="AR226" s="57"/>
      <c r="AS226" s="57"/>
      <c r="AT226" s="57"/>
      <c r="AU226" s="57"/>
      <c r="AV226" s="57"/>
      <c r="AW226" s="57"/>
      <c r="AX226" s="57"/>
      <c r="AY226" s="57"/>
      <c r="AZ226" s="57"/>
      <c r="BA226" s="57"/>
      <c r="BB226" s="57"/>
      <c r="BC226" s="57"/>
      <c r="BD226" s="57"/>
      <c r="BE226" s="57"/>
      <c r="BF226" s="57"/>
      <c r="BG226" s="57"/>
      <c r="BH226" s="57"/>
    </row>
    <row r="227" spans="1:60" x14ac:dyDescent="0.25">
      <c r="A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c r="AN227" s="57"/>
      <c r="AO227" s="57"/>
      <c r="AP227" s="57"/>
      <c r="AQ227" s="57"/>
      <c r="AR227" s="57"/>
      <c r="AS227" s="57"/>
      <c r="AT227" s="57"/>
      <c r="AU227" s="57"/>
      <c r="AV227" s="57"/>
      <c r="AW227" s="57"/>
      <c r="AX227" s="57"/>
      <c r="AY227" s="57"/>
      <c r="AZ227" s="57"/>
      <c r="BA227" s="57"/>
      <c r="BB227" s="57"/>
      <c r="BC227" s="57"/>
      <c r="BD227" s="57"/>
      <c r="BE227" s="57"/>
      <c r="BF227" s="57"/>
      <c r="BG227" s="57"/>
      <c r="BH227" s="57"/>
    </row>
    <row r="228" spans="1:60" x14ac:dyDescent="0.25">
      <c r="A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row>
    <row r="229" spans="1:60" x14ac:dyDescent="0.25">
      <c r="A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row>
    <row r="230" spans="1:60" x14ac:dyDescent="0.25">
      <c r="A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row>
    <row r="231" spans="1:60" x14ac:dyDescent="0.25">
      <c r="A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row>
    <row r="232" spans="1:60" x14ac:dyDescent="0.25">
      <c r="A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row>
    <row r="233" spans="1:60" x14ac:dyDescent="0.25">
      <c r="A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row>
    <row r="234" spans="1:60" x14ac:dyDescent="0.25">
      <c r="A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row>
    <row r="235" spans="1:60" x14ac:dyDescent="0.25">
      <c r="A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row>
    <row r="236" spans="1:60" x14ac:dyDescent="0.25">
      <c r="A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row>
    <row r="237" spans="1:60" x14ac:dyDescent="0.25">
      <c r="A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row>
    <row r="238" spans="1:60" x14ac:dyDescent="0.25">
      <c r="A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row>
    <row r="239" spans="1:60" x14ac:dyDescent="0.25">
      <c r="A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row>
    <row r="240" spans="1:60" x14ac:dyDescent="0.25">
      <c r="A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row>
    <row r="241" spans="1:60" x14ac:dyDescent="0.25">
      <c r="A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row>
    <row r="242" spans="1:60" x14ac:dyDescent="0.25">
      <c r="A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row>
    <row r="243" spans="1:60" x14ac:dyDescent="0.25">
      <c r="A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row>
    <row r="244" spans="1:60" x14ac:dyDescent="0.25">
      <c r="A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row>
    <row r="245" spans="1:60" x14ac:dyDescent="0.25">
      <c r="A245" s="57"/>
    </row>
    <row r="246" spans="1:60" x14ac:dyDescent="0.25">
      <c r="A246" s="57"/>
    </row>
    <row r="247" spans="1:60" x14ac:dyDescent="0.25">
      <c r="A247" s="57"/>
    </row>
    <row r="248" spans="1:60" x14ac:dyDescent="0.25">
      <c r="A248" s="57"/>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57"/>
      <c r="B1" s="682" t="s">
        <v>586</v>
      </c>
      <c r="C1" s="682"/>
      <c r="D1" s="682"/>
      <c r="E1" s="57"/>
      <c r="F1" s="57"/>
      <c r="G1" s="57"/>
      <c r="H1" s="57"/>
      <c r="I1" s="57"/>
      <c r="J1" s="57"/>
      <c r="K1" s="57"/>
      <c r="L1" s="57"/>
      <c r="M1" s="57"/>
      <c r="N1" s="57"/>
      <c r="O1" s="57"/>
      <c r="P1" s="57"/>
      <c r="Q1" s="57"/>
      <c r="R1" s="57"/>
      <c r="S1" s="57"/>
      <c r="T1" s="57"/>
      <c r="U1" s="57"/>
      <c r="V1" s="57"/>
      <c r="W1" s="57"/>
      <c r="X1" s="57"/>
      <c r="Y1" s="57"/>
      <c r="Z1" s="57"/>
      <c r="AA1" s="57"/>
      <c r="AB1" s="57"/>
      <c r="AC1" s="57"/>
      <c r="AD1" s="57"/>
      <c r="AE1" s="57"/>
    </row>
    <row r="2" spans="1:37" x14ac:dyDescent="0.25">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row>
    <row r="3" spans="1:37" ht="25.5" x14ac:dyDescent="0.25">
      <c r="A3" s="57"/>
      <c r="B3" s="6"/>
      <c r="C3" s="7" t="s">
        <v>587</v>
      </c>
      <c r="D3" s="7" t="s">
        <v>347</v>
      </c>
      <c r="E3" s="57"/>
      <c r="F3" s="57"/>
      <c r="G3" s="57"/>
      <c r="H3" s="57"/>
      <c r="I3" s="57"/>
      <c r="J3" s="57"/>
      <c r="K3" s="57"/>
      <c r="L3" s="57"/>
      <c r="M3" s="57"/>
      <c r="N3" s="57"/>
      <c r="O3" s="57"/>
      <c r="P3" s="57"/>
      <c r="Q3" s="57"/>
      <c r="R3" s="57"/>
      <c r="S3" s="57"/>
      <c r="T3" s="57"/>
      <c r="U3" s="57"/>
      <c r="V3" s="57"/>
      <c r="W3" s="57"/>
      <c r="X3" s="57"/>
      <c r="Y3" s="57"/>
      <c r="Z3" s="57"/>
      <c r="AA3" s="57"/>
      <c r="AB3" s="57"/>
      <c r="AC3" s="57"/>
      <c r="AD3" s="57"/>
      <c r="AE3" s="57"/>
    </row>
    <row r="4" spans="1:37" ht="51" x14ac:dyDescent="0.25">
      <c r="A4" s="57"/>
      <c r="B4" s="8" t="s">
        <v>588</v>
      </c>
      <c r="C4" s="9" t="s">
        <v>589</v>
      </c>
      <c r="D4" s="10">
        <v>0.2</v>
      </c>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7" ht="51" x14ac:dyDescent="0.25">
      <c r="A5" s="57"/>
      <c r="B5" s="11" t="s">
        <v>590</v>
      </c>
      <c r="C5" s="12" t="s">
        <v>591</v>
      </c>
      <c r="D5" s="13">
        <v>0.4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row>
    <row r="6" spans="1:37" ht="51" x14ac:dyDescent="0.25">
      <c r="A6" s="57"/>
      <c r="B6" s="14" t="s">
        <v>592</v>
      </c>
      <c r="C6" s="12" t="s">
        <v>593</v>
      </c>
      <c r="D6" s="13">
        <v>0.6</v>
      </c>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7" ht="76.5" x14ac:dyDescent="0.25">
      <c r="A7" s="57"/>
      <c r="B7" s="15" t="s">
        <v>594</v>
      </c>
      <c r="C7" s="12" t="s">
        <v>595</v>
      </c>
      <c r="D7" s="13">
        <v>0.8</v>
      </c>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7" ht="51" x14ac:dyDescent="0.25">
      <c r="A8" s="57"/>
      <c r="B8" s="16" t="s">
        <v>596</v>
      </c>
      <c r="C8" s="12" t="s">
        <v>597</v>
      </c>
      <c r="D8" s="13">
        <v>1</v>
      </c>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7" x14ac:dyDescent="0.25">
      <c r="A9" s="57"/>
      <c r="B9" s="77"/>
      <c r="C9" s="77"/>
      <c r="D9" s="7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1:37" ht="16.5" x14ac:dyDescent="0.25">
      <c r="A10" s="57"/>
      <c r="B10" s="78"/>
      <c r="C10" s="77"/>
      <c r="D10" s="7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37" x14ac:dyDescent="0.25">
      <c r="A11" s="57"/>
      <c r="B11" s="77"/>
      <c r="C11" s="77"/>
      <c r="D11" s="7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1:37" x14ac:dyDescent="0.25">
      <c r="A12" s="57"/>
      <c r="B12" s="77"/>
      <c r="C12" s="77"/>
      <c r="D12" s="7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1:37" x14ac:dyDescent="0.25">
      <c r="A13" s="57"/>
      <c r="B13" s="77"/>
      <c r="C13" s="77"/>
      <c r="D13" s="7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1:37" x14ac:dyDescent="0.25">
      <c r="A14" s="57"/>
      <c r="B14" s="77"/>
      <c r="C14" s="77"/>
      <c r="D14" s="7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1:37" x14ac:dyDescent="0.25">
      <c r="A15" s="57"/>
      <c r="B15" s="77"/>
      <c r="C15" s="77"/>
      <c r="D15" s="7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1:37" x14ac:dyDescent="0.25">
      <c r="A16" s="57"/>
      <c r="B16" s="77"/>
      <c r="C16" s="77"/>
      <c r="D16" s="7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1:37" x14ac:dyDescent="0.25">
      <c r="A17" s="57"/>
      <c r="B17" s="77"/>
      <c r="C17" s="77"/>
      <c r="D17" s="7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1:37" x14ac:dyDescent="0.25">
      <c r="A18" s="57"/>
      <c r="B18" s="77"/>
      <c r="C18" s="77"/>
      <c r="D18" s="7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1:37" x14ac:dyDescent="0.25">
      <c r="A19" s="57"/>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1:37" x14ac:dyDescent="0.25">
      <c r="A20" s="57"/>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1:37" x14ac:dyDescent="0.25">
      <c r="A21" s="57"/>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1:37" x14ac:dyDescent="0.25">
      <c r="A22" s="57"/>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1:37" x14ac:dyDescent="0.25">
      <c r="A23" s="57"/>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1:37" x14ac:dyDescent="0.25">
      <c r="A24" s="57"/>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1:37" x14ac:dyDescent="0.25">
      <c r="A25" s="57"/>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1:37" x14ac:dyDescent="0.25">
      <c r="A26" s="57"/>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1:37" x14ac:dyDescent="0.2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1:37" x14ac:dyDescent="0.25">
      <c r="A28" s="57"/>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1:37" x14ac:dyDescent="0.25">
      <c r="A29" s="57"/>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1:37" x14ac:dyDescent="0.25">
      <c r="A30" s="57"/>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1:37" x14ac:dyDescent="0.25">
      <c r="A31" s="57"/>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1:37" x14ac:dyDescent="0.25">
      <c r="A32" s="57"/>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1:31" x14ac:dyDescent="0.25">
      <c r="A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row>
    <row r="34" spans="1:31" x14ac:dyDescent="0.25">
      <c r="A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row>
    <row r="35" spans="1:31" x14ac:dyDescent="0.25">
      <c r="A35" s="57"/>
    </row>
    <row r="36" spans="1:31" x14ac:dyDescent="0.25">
      <c r="A36" s="57"/>
    </row>
    <row r="37" spans="1:31" x14ac:dyDescent="0.25">
      <c r="A37" s="57"/>
    </row>
    <row r="38" spans="1:31" x14ac:dyDescent="0.25">
      <c r="A38" s="57"/>
    </row>
    <row r="39" spans="1:31" x14ac:dyDescent="0.25">
      <c r="A39" s="57"/>
    </row>
    <row r="40" spans="1:31" x14ac:dyDescent="0.25">
      <c r="A40" s="57"/>
    </row>
    <row r="41" spans="1:31" x14ac:dyDescent="0.25">
      <c r="A41" s="57"/>
    </row>
    <row r="42" spans="1:31" x14ac:dyDescent="0.25">
      <c r="A42" s="57"/>
    </row>
    <row r="43" spans="1:31" x14ac:dyDescent="0.25">
      <c r="A43" s="57"/>
    </row>
    <row r="44" spans="1:31" x14ac:dyDescent="0.25">
      <c r="A44" s="57"/>
    </row>
    <row r="45" spans="1:31" x14ac:dyDescent="0.25">
      <c r="A45" s="57"/>
    </row>
    <row r="46" spans="1:31" x14ac:dyDescent="0.25">
      <c r="A46" s="57"/>
    </row>
    <row r="47" spans="1:31" x14ac:dyDescent="0.25">
      <c r="A47" s="57"/>
    </row>
    <row r="48" spans="1:31" x14ac:dyDescent="0.25">
      <c r="A48" s="57"/>
    </row>
    <row r="49" spans="1:1" x14ac:dyDescent="0.25">
      <c r="A49" s="57"/>
    </row>
    <row r="50" spans="1:1" x14ac:dyDescent="0.25">
      <c r="A50" s="57"/>
    </row>
    <row r="51" spans="1:1" x14ac:dyDescent="0.25">
      <c r="A51" s="57"/>
    </row>
    <row r="52" spans="1:1" x14ac:dyDescent="0.25">
      <c r="A52" s="57"/>
    </row>
    <row r="53" spans="1:1" x14ac:dyDescent="0.25">
      <c r="A53" s="57"/>
    </row>
    <row r="54" spans="1:1" x14ac:dyDescent="0.25">
      <c r="A54" s="57"/>
    </row>
    <row r="55" spans="1:1" x14ac:dyDescent="0.25">
      <c r="A55" s="57"/>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148"/>
      <c r="B1" s="683" t="s">
        <v>598</v>
      </c>
      <c r="C1" s="684"/>
      <c r="D1" s="684"/>
      <c r="E1" s="148"/>
      <c r="F1" s="148"/>
      <c r="G1" s="148"/>
      <c r="H1" s="148"/>
      <c r="I1" s="148"/>
      <c r="J1" s="148"/>
      <c r="K1" s="148"/>
      <c r="L1" s="148"/>
      <c r="M1" s="148"/>
      <c r="N1" s="148"/>
      <c r="O1" s="148"/>
      <c r="P1" s="148"/>
      <c r="Q1" s="148"/>
      <c r="R1" s="148"/>
      <c r="S1" s="148"/>
      <c r="T1" s="148"/>
      <c r="U1" s="148"/>
    </row>
    <row r="2" spans="1:21" x14ac:dyDescent="0.25">
      <c r="A2" s="148"/>
      <c r="B2" s="148"/>
      <c r="C2" s="148"/>
      <c r="D2" s="148"/>
      <c r="E2" s="148"/>
      <c r="F2" s="148"/>
      <c r="G2" s="148"/>
      <c r="H2" s="148"/>
      <c r="I2" s="148"/>
      <c r="J2" s="148"/>
      <c r="K2" s="148"/>
      <c r="L2" s="148"/>
      <c r="M2" s="148"/>
      <c r="N2" s="148"/>
      <c r="O2" s="148"/>
      <c r="P2" s="148"/>
      <c r="Q2" s="148"/>
      <c r="R2" s="148"/>
      <c r="S2" s="148"/>
      <c r="T2" s="148"/>
      <c r="U2" s="148"/>
    </row>
    <row r="3" spans="1:21" ht="30" x14ac:dyDescent="0.25">
      <c r="A3" s="148"/>
      <c r="B3" s="149"/>
      <c r="C3" s="150" t="s">
        <v>599</v>
      </c>
      <c r="D3" s="150" t="s">
        <v>600</v>
      </c>
      <c r="E3" s="148"/>
      <c r="F3" s="148"/>
      <c r="G3" s="148"/>
      <c r="H3" s="148"/>
      <c r="I3" s="148"/>
      <c r="J3" s="148"/>
      <c r="K3" s="148"/>
      <c r="L3" s="148"/>
      <c r="M3" s="148"/>
      <c r="N3" s="148"/>
      <c r="O3" s="148"/>
      <c r="P3" s="148"/>
      <c r="Q3" s="148"/>
      <c r="R3" s="148"/>
      <c r="S3" s="148"/>
      <c r="T3" s="148"/>
      <c r="U3" s="148"/>
    </row>
    <row r="4" spans="1:21" ht="33.75" x14ac:dyDescent="0.25">
      <c r="A4" s="148" t="s">
        <v>601</v>
      </c>
      <c r="B4" s="151" t="s">
        <v>602</v>
      </c>
      <c r="C4" s="18" t="s">
        <v>603</v>
      </c>
      <c r="D4" s="152" t="s">
        <v>604</v>
      </c>
      <c r="E4" s="148"/>
      <c r="F4" s="148"/>
      <c r="G4" s="148"/>
      <c r="H4" s="148"/>
      <c r="I4" s="148"/>
      <c r="J4" s="148"/>
      <c r="K4" s="148"/>
      <c r="L4" s="148"/>
      <c r="M4" s="148"/>
      <c r="N4" s="148"/>
      <c r="O4" s="148"/>
      <c r="P4" s="148"/>
      <c r="Q4" s="148"/>
      <c r="R4" s="148"/>
      <c r="S4" s="148"/>
      <c r="T4" s="148"/>
      <c r="U4" s="148"/>
    </row>
    <row r="5" spans="1:21" ht="67.5" x14ac:dyDescent="0.25">
      <c r="A5" s="148" t="s">
        <v>605</v>
      </c>
      <c r="B5" s="153" t="s">
        <v>606</v>
      </c>
      <c r="C5" s="19" t="s">
        <v>607</v>
      </c>
      <c r="D5" s="154" t="s">
        <v>608</v>
      </c>
      <c r="E5" s="148"/>
      <c r="F5" s="148"/>
      <c r="G5" s="148"/>
      <c r="H5" s="148"/>
      <c r="I5" s="148"/>
      <c r="J5" s="148"/>
      <c r="K5" s="148"/>
      <c r="L5" s="148"/>
      <c r="M5" s="148"/>
      <c r="N5" s="148"/>
      <c r="O5" s="148"/>
      <c r="P5" s="148"/>
      <c r="Q5" s="148"/>
      <c r="R5" s="148"/>
      <c r="S5" s="148"/>
      <c r="T5" s="148"/>
      <c r="U5" s="148"/>
    </row>
    <row r="6" spans="1:21" ht="67.5" x14ac:dyDescent="0.25">
      <c r="A6" s="148" t="s">
        <v>576</v>
      </c>
      <c r="B6" s="155" t="s">
        <v>609</v>
      </c>
      <c r="C6" s="19" t="s">
        <v>610</v>
      </c>
      <c r="D6" s="154" t="s">
        <v>611</v>
      </c>
      <c r="E6" s="148"/>
      <c r="F6" s="148"/>
      <c r="G6" s="148"/>
      <c r="H6" s="148"/>
      <c r="I6" s="148"/>
      <c r="J6" s="148"/>
      <c r="K6" s="148"/>
      <c r="L6" s="148"/>
      <c r="M6" s="148"/>
      <c r="N6" s="148"/>
      <c r="O6" s="148"/>
      <c r="P6" s="148"/>
      <c r="Q6" s="148"/>
      <c r="R6" s="148"/>
      <c r="S6" s="148"/>
      <c r="T6" s="148"/>
      <c r="U6" s="148"/>
    </row>
    <row r="7" spans="1:21" ht="67.5" x14ac:dyDescent="0.25">
      <c r="A7" s="148" t="s">
        <v>612</v>
      </c>
      <c r="B7" s="156" t="s">
        <v>613</v>
      </c>
      <c r="C7" s="19" t="s">
        <v>614</v>
      </c>
      <c r="D7" s="154" t="s">
        <v>615</v>
      </c>
      <c r="E7" s="148"/>
      <c r="F7" s="148"/>
      <c r="G7" s="148"/>
      <c r="H7" s="148"/>
      <c r="I7" s="148"/>
      <c r="J7" s="148"/>
      <c r="K7" s="148"/>
      <c r="L7" s="148"/>
      <c r="M7" s="148"/>
      <c r="N7" s="148"/>
      <c r="O7" s="148"/>
      <c r="P7" s="148"/>
      <c r="Q7" s="148"/>
      <c r="R7" s="148"/>
      <c r="S7" s="148"/>
      <c r="T7" s="148"/>
      <c r="U7" s="148"/>
    </row>
    <row r="8" spans="1:21" ht="67.5" x14ac:dyDescent="0.25">
      <c r="A8" s="148" t="s">
        <v>616</v>
      </c>
      <c r="B8" s="157" t="s">
        <v>617</v>
      </c>
      <c r="C8" s="19" t="s">
        <v>618</v>
      </c>
      <c r="D8" s="154" t="s">
        <v>619</v>
      </c>
      <c r="E8" s="148"/>
      <c r="F8" s="148"/>
      <c r="G8" s="148"/>
      <c r="H8" s="148"/>
      <c r="I8" s="148"/>
      <c r="J8" s="148"/>
      <c r="K8" s="148"/>
      <c r="L8" s="148"/>
      <c r="M8" s="148"/>
      <c r="N8" s="148"/>
      <c r="O8" s="148"/>
      <c r="P8" s="148"/>
      <c r="Q8" s="148"/>
      <c r="R8" s="148"/>
      <c r="S8" s="148"/>
      <c r="T8" s="148"/>
      <c r="U8" s="148"/>
    </row>
    <row r="9" spans="1:21" ht="20.25" x14ac:dyDescent="0.25">
      <c r="A9" s="148"/>
      <c r="B9" s="148"/>
      <c r="C9" s="158"/>
      <c r="D9" s="158"/>
      <c r="E9" s="148"/>
      <c r="F9" s="148"/>
      <c r="G9" s="148"/>
      <c r="H9" s="148"/>
      <c r="I9" s="148"/>
      <c r="J9" s="148"/>
      <c r="K9" s="148"/>
      <c r="L9" s="148"/>
      <c r="M9" s="148"/>
      <c r="N9" s="148"/>
      <c r="O9" s="148"/>
      <c r="P9" s="148"/>
      <c r="Q9" s="148"/>
      <c r="R9" s="148"/>
      <c r="S9" s="148"/>
      <c r="T9" s="148"/>
      <c r="U9" s="148"/>
    </row>
    <row r="10" spans="1:21" ht="16.5" x14ac:dyDescent="0.25">
      <c r="A10" s="148"/>
      <c r="B10" s="159"/>
      <c r="C10" s="159"/>
      <c r="D10" s="159"/>
      <c r="E10" s="148"/>
      <c r="F10" s="148"/>
      <c r="G10" s="148"/>
      <c r="H10" s="148"/>
      <c r="I10" s="148"/>
      <c r="J10" s="148"/>
      <c r="K10" s="148"/>
      <c r="L10" s="148"/>
      <c r="M10" s="148"/>
      <c r="N10" s="148"/>
      <c r="O10" s="148"/>
      <c r="P10" s="148"/>
      <c r="Q10" s="148"/>
      <c r="R10" s="148"/>
      <c r="S10" s="148"/>
      <c r="T10" s="148"/>
      <c r="U10" s="148"/>
    </row>
    <row r="11" spans="1:21" x14ac:dyDescent="0.25">
      <c r="A11" s="148"/>
      <c r="B11" s="148" t="s">
        <v>620</v>
      </c>
      <c r="C11" s="148" t="s">
        <v>621</v>
      </c>
      <c r="D11" s="148" t="s">
        <v>622</v>
      </c>
      <c r="E11" s="148"/>
      <c r="F11" s="148"/>
      <c r="G11" s="148"/>
      <c r="H11" s="148"/>
      <c r="I11" s="148"/>
      <c r="J11" s="148"/>
      <c r="K11" s="148"/>
      <c r="L11" s="148"/>
      <c r="M11" s="148"/>
      <c r="N11" s="148"/>
      <c r="O11" s="148"/>
      <c r="P11" s="148"/>
      <c r="Q11" s="148"/>
      <c r="R11" s="148"/>
      <c r="S11" s="148"/>
      <c r="T11" s="148"/>
      <c r="U11" s="148"/>
    </row>
    <row r="12" spans="1:21" x14ac:dyDescent="0.25">
      <c r="A12" s="148"/>
      <c r="B12" s="148" t="s">
        <v>623</v>
      </c>
      <c r="C12" s="148" t="s">
        <v>624</v>
      </c>
      <c r="D12" s="148" t="s">
        <v>625</v>
      </c>
      <c r="E12" s="148"/>
      <c r="F12" s="148"/>
      <c r="G12" s="148"/>
      <c r="H12" s="148"/>
      <c r="I12" s="148"/>
      <c r="J12" s="148"/>
      <c r="K12" s="148"/>
      <c r="L12" s="148"/>
      <c r="M12" s="148"/>
      <c r="N12" s="148"/>
      <c r="O12" s="148"/>
      <c r="P12" s="148"/>
      <c r="Q12" s="148"/>
      <c r="R12" s="148"/>
      <c r="S12" s="148"/>
      <c r="T12" s="148"/>
      <c r="U12" s="148"/>
    </row>
    <row r="13" spans="1:21" x14ac:dyDescent="0.25">
      <c r="A13" s="148"/>
      <c r="B13" s="148"/>
      <c r="C13" s="148" t="s">
        <v>626</v>
      </c>
      <c r="D13" s="148" t="s">
        <v>293</v>
      </c>
      <c r="E13" s="148"/>
      <c r="F13" s="148"/>
      <c r="G13" s="148"/>
      <c r="H13" s="148"/>
      <c r="I13" s="148"/>
      <c r="J13" s="148"/>
      <c r="K13" s="148"/>
      <c r="L13" s="148"/>
      <c r="M13" s="148"/>
      <c r="N13" s="148"/>
      <c r="O13" s="148"/>
      <c r="P13" s="148"/>
      <c r="Q13" s="148"/>
      <c r="R13" s="148"/>
      <c r="S13" s="148"/>
      <c r="T13" s="148"/>
      <c r="U13" s="148"/>
    </row>
    <row r="14" spans="1:21" x14ac:dyDescent="0.25">
      <c r="A14" s="148"/>
      <c r="B14" s="148"/>
      <c r="C14" s="148" t="s">
        <v>627</v>
      </c>
      <c r="D14" s="148" t="s">
        <v>200</v>
      </c>
      <c r="E14" s="148"/>
      <c r="F14" s="148"/>
      <c r="G14" s="148"/>
      <c r="H14" s="148"/>
      <c r="I14" s="148"/>
      <c r="J14" s="148"/>
      <c r="K14" s="148"/>
      <c r="L14" s="148"/>
      <c r="M14" s="148"/>
      <c r="N14" s="148"/>
      <c r="O14" s="148"/>
      <c r="P14" s="148"/>
      <c r="Q14" s="148"/>
      <c r="R14" s="148"/>
      <c r="S14" s="148"/>
      <c r="T14" s="148"/>
      <c r="U14" s="148"/>
    </row>
    <row r="15" spans="1:21" x14ac:dyDescent="0.25">
      <c r="A15" s="148"/>
      <c r="B15" s="148"/>
      <c r="C15" s="148" t="s">
        <v>628</v>
      </c>
      <c r="D15" s="148" t="s">
        <v>629</v>
      </c>
      <c r="E15" s="148"/>
      <c r="F15" s="148"/>
      <c r="G15" s="148"/>
      <c r="H15" s="148"/>
      <c r="I15" s="148"/>
      <c r="J15" s="148"/>
      <c r="K15" s="148"/>
      <c r="L15" s="148"/>
      <c r="M15" s="148"/>
      <c r="N15" s="148"/>
      <c r="O15" s="148"/>
      <c r="P15" s="148"/>
      <c r="Q15" s="148"/>
      <c r="R15" s="148"/>
      <c r="S15" s="148"/>
      <c r="T15" s="148"/>
      <c r="U15" s="148"/>
    </row>
    <row r="16" spans="1:21" x14ac:dyDescent="0.25">
      <c r="A16" s="148"/>
      <c r="B16" s="148"/>
      <c r="C16" s="148"/>
      <c r="D16" s="148"/>
      <c r="E16" s="148"/>
      <c r="F16" s="148"/>
      <c r="G16" s="148"/>
      <c r="H16" s="148"/>
      <c r="I16" s="148"/>
      <c r="J16" s="148"/>
      <c r="K16" s="148"/>
      <c r="L16" s="148"/>
      <c r="M16" s="148"/>
      <c r="N16" s="148"/>
      <c r="O16" s="148"/>
    </row>
    <row r="17" spans="1:15" x14ac:dyDescent="0.25">
      <c r="A17" s="148"/>
      <c r="B17" s="148"/>
      <c r="C17" s="148"/>
      <c r="D17" s="148"/>
      <c r="E17" s="148"/>
      <c r="F17" s="148"/>
      <c r="G17" s="148"/>
      <c r="H17" s="148"/>
      <c r="I17" s="148"/>
      <c r="J17" s="148"/>
      <c r="K17" s="148"/>
      <c r="L17" s="148"/>
      <c r="M17" s="148"/>
      <c r="N17" s="148"/>
      <c r="O17" s="148"/>
    </row>
    <row r="18" spans="1:15" x14ac:dyDescent="0.25">
      <c r="A18" s="148"/>
      <c r="B18" s="148"/>
      <c r="C18" s="148"/>
      <c r="D18" s="148"/>
      <c r="E18" s="148"/>
      <c r="F18" s="148"/>
      <c r="G18" s="148"/>
      <c r="H18" s="148"/>
      <c r="I18" s="148"/>
      <c r="J18" s="148"/>
      <c r="K18" s="148"/>
      <c r="L18" s="148"/>
      <c r="M18" s="148"/>
      <c r="N18" s="148"/>
      <c r="O18" s="148"/>
    </row>
    <row r="19" spans="1:15" x14ac:dyDescent="0.25">
      <c r="A19" s="148"/>
      <c r="B19" s="148"/>
      <c r="C19" s="148"/>
      <c r="D19" s="148"/>
      <c r="E19" s="148"/>
      <c r="F19" s="148"/>
      <c r="G19" s="148"/>
      <c r="H19" s="148"/>
      <c r="I19" s="148"/>
      <c r="J19" s="148"/>
      <c r="K19" s="148"/>
      <c r="L19" s="148"/>
      <c r="M19" s="148"/>
      <c r="N19" s="148"/>
      <c r="O19" s="148"/>
    </row>
    <row r="20" spans="1:15" x14ac:dyDescent="0.25">
      <c r="A20" s="148"/>
      <c r="B20" s="148"/>
      <c r="C20" s="148"/>
      <c r="D20" s="148"/>
      <c r="E20" s="148"/>
      <c r="F20" s="148"/>
      <c r="G20" s="148"/>
      <c r="H20" s="148"/>
      <c r="I20" s="148"/>
      <c r="J20" s="148"/>
      <c r="K20" s="148"/>
      <c r="L20" s="148"/>
      <c r="M20" s="148"/>
      <c r="N20" s="148"/>
      <c r="O20" s="148"/>
    </row>
    <row r="21" spans="1:15" ht="15.75" customHeight="1" x14ac:dyDescent="0.25">
      <c r="A21" s="148"/>
      <c r="B21" s="148"/>
      <c r="C21" s="148"/>
      <c r="D21" s="148"/>
      <c r="E21" s="148"/>
      <c r="F21" s="148"/>
      <c r="G21" s="148"/>
      <c r="H21" s="148"/>
      <c r="I21" s="148"/>
      <c r="J21" s="148"/>
      <c r="K21" s="148"/>
      <c r="L21" s="148"/>
      <c r="M21" s="148"/>
      <c r="N21" s="148"/>
      <c r="O21" s="148"/>
    </row>
    <row r="22" spans="1:15" ht="15.75" customHeight="1" x14ac:dyDescent="0.25">
      <c r="A22" s="148"/>
      <c r="B22" s="148"/>
      <c r="C22" s="158"/>
      <c r="D22" s="158"/>
      <c r="E22" s="148"/>
      <c r="F22" s="148"/>
      <c r="G22" s="148"/>
      <c r="H22" s="148"/>
      <c r="I22" s="148"/>
      <c r="J22" s="148"/>
      <c r="K22" s="148"/>
      <c r="L22" s="148"/>
      <c r="M22" s="148"/>
      <c r="N22" s="148"/>
      <c r="O22" s="148"/>
    </row>
    <row r="23" spans="1:15" ht="15.75" customHeight="1" x14ac:dyDescent="0.25">
      <c r="A23" s="148"/>
      <c r="B23" s="148"/>
      <c r="C23" s="158"/>
      <c r="D23" s="158"/>
      <c r="E23" s="148"/>
      <c r="F23" s="148"/>
      <c r="G23" s="148"/>
      <c r="H23" s="148"/>
      <c r="I23" s="148"/>
      <c r="J23" s="148"/>
      <c r="K23" s="148"/>
      <c r="L23" s="148"/>
      <c r="M23" s="148"/>
      <c r="N23" s="148"/>
      <c r="O23" s="148"/>
    </row>
    <row r="24" spans="1:15" ht="15.75" customHeight="1" x14ac:dyDescent="0.25">
      <c r="A24" s="148"/>
      <c r="B24" s="148"/>
      <c r="C24" s="158"/>
      <c r="D24" s="158"/>
      <c r="E24" s="148"/>
      <c r="F24" s="148"/>
      <c r="G24" s="148"/>
      <c r="H24" s="148"/>
      <c r="I24" s="148"/>
      <c r="J24" s="148"/>
      <c r="K24" s="148"/>
      <c r="L24" s="148"/>
      <c r="M24" s="148"/>
      <c r="N24" s="148"/>
      <c r="O24" s="148"/>
    </row>
    <row r="25" spans="1:15" ht="15.75" customHeight="1" x14ac:dyDescent="0.25">
      <c r="A25" s="148"/>
      <c r="B25" s="148"/>
      <c r="C25" s="158"/>
      <c r="D25" s="158"/>
      <c r="E25" s="148"/>
      <c r="F25" s="148"/>
      <c r="G25" s="148"/>
      <c r="H25" s="148"/>
      <c r="I25" s="148"/>
      <c r="J25" s="148"/>
      <c r="K25" s="148"/>
      <c r="L25" s="148"/>
      <c r="M25" s="148"/>
      <c r="N25" s="148"/>
      <c r="O25" s="148"/>
    </row>
    <row r="26" spans="1:15" ht="15.75" customHeight="1" x14ac:dyDescent="0.25">
      <c r="A26" s="148"/>
      <c r="B26" s="148"/>
      <c r="C26" s="158"/>
      <c r="D26" s="158"/>
      <c r="E26" s="148"/>
      <c r="F26" s="148"/>
      <c r="G26" s="148"/>
      <c r="H26" s="148"/>
      <c r="I26" s="148"/>
      <c r="J26" s="148"/>
      <c r="K26" s="148"/>
      <c r="L26" s="148"/>
      <c r="M26" s="148"/>
      <c r="N26" s="148"/>
      <c r="O26" s="148"/>
    </row>
    <row r="27" spans="1:15" ht="15.75" customHeight="1" x14ac:dyDescent="0.25">
      <c r="A27" s="148"/>
      <c r="B27" s="148"/>
      <c r="C27" s="158"/>
      <c r="D27" s="158"/>
      <c r="E27" s="148"/>
      <c r="F27" s="148"/>
      <c r="G27" s="148"/>
      <c r="H27" s="148"/>
      <c r="I27" s="148"/>
      <c r="J27" s="148"/>
      <c r="K27" s="148"/>
      <c r="L27" s="148"/>
      <c r="M27" s="148"/>
      <c r="N27" s="148"/>
      <c r="O27" s="148"/>
    </row>
    <row r="28" spans="1:15" ht="15.75" customHeight="1" x14ac:dyDescent="0.25">
      <c r="A28" s="148"/>
      <c r="B28" s="148"/>
      <c r="C28" s="158"/>
      <c r="D28" s="158"/>
      <c r="E28" s="148"/>
      <c r="F28" s="148"/>
      <c r="G28" s="148"/>
      <c r="H28" s="148"/>
      <c r="I28" s="148"/>
      <c r="J28" s="148"/>
      <c r="K28" s="148"/>
      <c r="L28" s="148"/>
      <c r="M28" s="148"/>
      <c r="N28" s="148"/>
      <c r="O28" s="148"/>
    </row>
    <row r="29" spans="1:15" ht="15.75" customHeight="1" x14ac:dyDescent="0.25">
      <c r="A29" s="148"/>
      <c r="B29" s="148"/>
      <c r="C29" s="158"/>
      <c r="D29" s="158"/>
      <c r="E29" s="148"/>
      <c r="F29" s="148"/>
      <c r="G29" s="148"/>
      <c r="H29" s="148"/>
      <c r="I29" s="148"/>
      <c r="J29" s="148"/>
      <c r="K29" s="148"/>
      <c r="L29" s="148"/>
      <c r="M29" s="148"/>
      <c r="N29" s="148"/>
      <c r="O29" s="148"/>
    </row>
    <row r="30" spans="1:15" ht="15.75" customHeight="1" x14ac:dyDescent="0.25">
      <c r="A30" s="148"/>
      <c r="B30" s="148"/>
      <c r="C30" s="158"/>
      <c r="D30" s="158"/>
      <c r="E30" s="148"/>
      <c r="F30" s="148"/>
      <c r="G30" s="148"/>
      <c r="H30" s="148"/>
      <c r="I30" s="148"/>
      <c r="J30" s="148"/>
      <c r="K30" s="148"/>
      <c r="L30" s="148"/>
      <c r="M30" s="148"/>
      <c r="N30" s="148"/>
      <c r="O30" s="148"/>
    </row>
    <row r="31" spans="1:15" ht="15.75" customHeight="1" x14ac:dyDescent="0.25">
      <c r="A31" s="148"/>
      <c r="B31" s="148"/>
      <c r="C31" s="158"/>
      <c r="D31" s="158"/>
      <c r="E31" s="148"/>
      <c r="F31" s="148"/>
      <c r="G31" s="148"/>
      <c r="H31" s="148"/>
      <c r="I31" s="148"/>
      <c r="J31" s="148"/>
      <c r="K31" s="148"/>
      <c r="L31" s="148"/>
      <c r="M31" s="148"/>
      <c r="N31" s="148"/>
      <c r="O31" s="148"/>
    </row>
    <row r="32" spans="1:15" ht="15.75" customHeight="1" x14ac:dyDescent="0.25">
      <c r="A32" s="148"/>
      <c r="B32" s="148"/>
      <c r="C32" s="158"/>
      <c r="D32" s="158"/>
      <c r="E32" s="148"/>
      <c r="F32" s="148"/>
      <c r="G32" s="148"/>
      <c r="H32" s="148"/>
      <c r="I32" s="148"/>
      <c r="J32" s="148"/>
      <c r="K32" s="148"/>
      <c r="L32" s="148"/>
      <c r="M32" s="148"/>
      <c r="N32" s="148"/>
      <c r="O32" s="148"/>
    </row>
    <row r="33" spans="1:15" ht="15.75" customHeight="1" x14ac:dyDescent="0.25">
      <c r="A33" s="148"/>
      <c r="B33" s="148"/>
      <c r="C33" s="158"/>
      <c r="D33" s="158"/>
      <c r="E33" s="148"/>
      <c r="F33" s="148"/>
      <c r="G33" s="148"/>
      <c r="H33" s="148"/>
      <c r="I33" s="148"/>
      <c r="J33" s="148"/>
      <c r="K33" s="148"/>
      <c r="L33" s="148"/>
      <c r="M33" s="148"/>
      <c r="N33" s="148"/>
      <c r="O33" s="148"/>
    </row>
    <row r="34" spans="1:15" ht="15.75" customHeight="1" x14ac:dyDescent="0.25">
      <c r="A34" s="148"/>
      <c r="B34" s="148"/>
      <c r="C34" s="158"/>
      <c r="D34" s="158"/>
      <c r="E34" s="148"/>
      <c r="F34" s="148"/>
      <c r="G34" s="148"/>
      <c r="H34" s="148"/>
      <c r="I34" s="148"/>
      <c r="J34" s="148"/>
      <c r="K34" s="148"/>
      <c r="L34" s="148"/>
      <c r="M34" s="148"/>
      <c r="N34" s="148"/>
      <c r="O34" s="148"/>
    </row>
    <row r="35" spans="1:15" ht="15.75" customHeight="1" x14ac:dyDescent="0.25">
      <c r="A35" s="148"/>
      <c r="B35" s="148"/>
      <c r="C35" s="158"/>
      <c r="D35" s="158"/>
      <c r="E35" s="148"/>
      <c r="F35" s="148"/>
      <c r="G35" s="148"/>
      <c r="H35" s="148"/>
      <c r="I35" s="148"/>
      <c r="J35" s="148"/>
      <c r="K35" s="148"/>
      <c r="L35" s="148"/>
      <c r="M35" s="148"/>
      <c r="N35" s="148"/>
      <c r="O35" s="148"/>
    </row>
    <row r="36" spans="1:15" ht="15.75" customHeight="1" x14ac:dyDescent="0.25">
      <c r="A36" s="148"/>
      <c r="B36" s="148"/>
      <c r="C36" s="158"/>
      <c r="D36" s="158"/>
      <c r="E36" s="148"/>
      <c r="F36" s="148"/>
      <c r="G36" s="148"/>
      <c r="H36" s="148"/>
      <c r="I36" s="148"/>
      <c r="J36" s="148"/>
      <c r="K36" s="148"/>
      <c r="L36" s="148"/>
      <c r="M36" s="148"/>
      <c r="N36" s="148"/>
      <c r="O36" s="148"/>
    </row>
    <row r="37" spans="1:15" ht="15.75" customHeight="1" x14ac:dyDescent="0.25">
      <c r="A37" s="148"/>
      <c r="B37" s="148"/>
      <c r="C37" s="158"/>
      <c r="D37" s="158"/>
      <c r="E37" s="148"/>
      <c r="F37" s="148"/>
      <c r="G37" s="148"/>
      <c r="H37" s="148"/>
      <c r="I37" s="148"/>
      <c r="J37" s="148"/>
      <c r="K37" s="148"/>
      <c r="L37" s="148"/>
      <c r="M37" s="148"/>
      <c r="N37" s="148"/>
      <c r="O37" s="148"/>
    </row>
    <row r="38" spans="1:15" ht="15.75" customHeight="1" x14ac:dyDescent="0.25">
      <c r="A38" s="148"/>
      <c r="B38" s="148"/>
      <c r="C38" s="158"/>
      <c r="D38" s="158"/>
      <c r="E38" s="148"/>
      <c r="F38" s="148"/>
      <c r="G38" s="148"/>
      <c r="H38" s="148"/>
      <c r="I38" s="148"/>
      <c r="J38" s="148"/>
      <c r="K38" s="148"/>
      <c r="L38" s="148"/>
      <c r="M38" s="148"/>
      <c r="N38" s="148"/>
      <c r="O38" s="148"/>
    </row>
    <row r="39" spans="1:15" ht="15.75" customHeight="1" x14ac:dyDescent="0.25">
      <c r="A39" s="148"/>
      <c r="B39" s="148"/>
      <c r="C39" s="158"/>
      <c r="D39" s="158"/>
      <c r="E39" s="148"/>
      <c r="F39" s="148"/>
      <c r="G39" s="148"/>
      <c r="H39" s="148"/>
      <c r="I39" s="148"/>
      <c r="J39" s="148"/>
      <c r="K39" s="148"/>
      <c r="L39" s="148"/>
      <c r="M39" s="148"/>
      <c r="N39" s="148"/>
      <c r="O39" s="148"/>
    </row>
    <row r="40" spans="1:15" ht="15.75" customHeight="1" x14ac:dyDescent="0.25">
      <c r="A40" s="148"/>
      <c r="B40" s="148"/>
      <c r="C40" s="158"/>
      <c r="D40" s="158"/>
      <c r="E40" s="148"/>
      <c r="F40" s="148"/>
      <c r="G40" s="148"/>
      <c r="H40" s="148"/>
      <c r="I40" s="148"/>
      <c r="J40" s="148"/>
      <c r="K40" s="148"/>
      <c r="L40" s="148"/>
      <c r="M40" s="148"/>
      <c r="N40" s="148"/>
      <c r="O40" s="148"/>
    </row>
    <row r="41" spans="1:15" ht="15.75" customHeight="1" x14ac:dyDescent="0.25">
      <c r="A41" s="148"/>
      <c r="B41" s="148"/>
      <c r="C41" s="158"/>
      <c r="D41" s="158"/>
      <c r="E41" s="148"/>
      <c r="F41" s="148"/>
      <c r="G41" s="148"/>
      <c r="H41" s="148"/>
      <c r="I41" s="148"/>
      <c r="J41" s="148"/>
      <c r="K41" s="148"/>
      <c r="L41" s="148"/>
      <c r="M41" s="148"/>
      <c r="N41" s="148"/>
      <c r="O41" s="148"/>
    </row>
    <row r="42" spans="1:15" ht="15.75" customHeight="1" x14ac:dyDescent="0.25">
      <c r="A42" s="148"/>
      <c r="B42" s="148"/>
      <c r="C42" s="158"/>
      <c r="D42" s="158"/>
      <c r="E42" s="148"/>
      <c r="F42" s="148"/>
      <c r="G42" s="148"/>
      <c r="H42" s="148"/>
      <c r="I42" s="148"/>
      <c r="J42" s="148"/>
      <c r="K42" s="148"/>
      <c r="L42" s="148"/>
      <c r="M42" s="148"/>
      <c r="N42" s="148"/>
      <c r="O42" s="148"/>
    </row>
    <row r="43" spans="1:15" ht="15.75" customHeight="1" x14ac:dyDescent="0.25">
      <c r="A43" s="148"/>
      <c r="B43" s="148"/>
      <c r="C43" s="158"/>
      <c r="D43" s="158"/>
      <c r="E43" s="148"/>
      <c r="F43" s="148"/>
      <c r="G43" s="148"/>
      <c r="H43" s="148"/>
      <c r="I43" s="148"/>
      <c r="J43" s="148"/>
      <c r="K43" s="148"/>
      <c r="L43" s="148"/>
      <c r="M43" s="148"/>
      <c r="N43" s="148"/>
      <c r="O43" s="148"/>
    </row>
    <row r="44" spans="1:15" ht="15.75" customHeight="1" x14ac:dyDescent="0.25">
      <c r="A44" s="148"/>
      <c r="B44" s="148"/>
      <c r="C44" s="158"/>
      <c r="D44" s="158"/>
      <c r="E44" s="148"/>
      <c r="F44" s="148"/>
      <c r="G44" s="148"/>
      <c r="H44" s="148"/>
      <c r="I44" s="148"/>
      <c r="J44" s="148"/>
      <c r="K44" s="148"/>
      <c r="L44" s="148"/>
      <c r="M44" s="148"/>
      <c r="N44" s="148"/>
      <c r="O44" s="148"/>
    </row>
    <row r="45" spans="1:15" ht="15.75" customHeight="1" x14ac:dyDescent="0.25">
      <c r="A45" s="148"/>
      <c r="B45" s="148"/>
      <c r="C45" s="158"/>
      <c r="D45" s="158"/>
      <c r="E45" s="148"/>
      <c r="F45" s="148"/>
      <c r="G45" s="148"/>
      <c r="H45" s="148"/>
      <c r="I45" s="148"/>
      <c r="J45" s="148"/>
      <c r="K45" s="148"/>
      <c r="L45" s="148"/>
      <c r="M45" s="148"/>
      <c r="N45" s="148"/>
      <c r="O45" s="148"/>
    </row>
    <row r="46" spans="1:15" ht="15.75" customHeight="1" x14ac:dyDescent="0.25">
      <c r="A46" s="148"/>
      <c r="B46" s="148"/>
      <c r="C46" s="158"/>
      <c r="D46" s="158"/>
      <c r="E46" s="148"/>
      <c r="F46" s="148"/>
      <c r="G46" s="148"/>
      <c r="H46" s="148"/>
      <c r="I46" s="148"/>
      <c r="J46" s="148"/>
      <c r="K46" s="148"/>
      <c r="L46" s="148"/>
      <c r="M46" s="148"/>
      <c r="N46" s="148"/>
      <c r="O46" s="148"/>
    </row>
    <row r="47" spans="1:15" ht="15.75" customHeight="1" x14ac:dyDescent="0.25">
      <c r="A47" s="148"/>
      <c r="B47" s="148"/>
      <c r="C47" s="158"/>
      <c r="D47" s="158"/>
      <c r="E47" s="148"/>
      <c r="F47" s="148"/>
      <c r="G47" s="148"/>
      <c r="H47" s="148"/>
      <c r="I47" s="148"/>
      <c r="J47" s="148"/>
      <c r="K47" s="148"/>
      <c r="L47" s="148"/>
      <c r="M47" s="148"/>
      <c r="N47" s="148"/>
      <c r="O47" s="148"/>
    </row>
    <row r="48" spans="1:15" ht="15.75" customHeight="1" x14ac:dyDescent="0.25">
      <c r="A48" s="148"/>
      <c r="B48" s="148"/>
      <c r="C48" s="158"/>
      <c r="D48" s="158"/>
      <c r="E48" s="148"/>
      <c r="F48" s="148"/>
      <c r="G48" s="148"/>
      <c r="H48" s="148"/>
      <c r="I48" s="148"/>
      <c r="J48" s="148"/>
      <c r="K48" s="148"/>
      <c r="L48" s="148"/>
      <c r="M48" s="148"/>
      <c r="N48" s="148"/>
      <c r="O48" s="148"/>
    </row>
    <row r="49" spans="1:15" ht="15.75" customHeight="1" x14ac:dyDescent="0.25">
      <c r="A49" s="148"/>
      <c r="B49" s="148"/>
      <c r="C49" s="158"/>
      <c r="D49" s="158"/>
      <c r="E49" s="148"/>
      <c r="F49" s="148"/>
      <c r="G49" s="148"/>
      <c r="H49" s="148"/>
      <c r="I49" s="148"/>
      <c r="J49" s="148"/>
      <c r="K49" s="148"/>
      <c r="L49" s="148"/>
      <c r="M49" s="148"/>
      <c r="N49" s="148"/>
      <c r="O49" s="148"/>
    </row>
    <row r="50" spans="1:15" ht="15.75" customHeight="1" x14ac:dyDescent="0.25">
      <c r="A50" s="148"/>
      <c r="B50" s="148"/>
      <c r="C50" s="158"/>
      <c r="D50" s="158"/>
      <c r="E50" s="148"/>
      <c r="F50" s="148"/>
      <c r="G50" s="148"/>
      <c r="H50" s="148"/>
      <c r="I50" s="148"/>
      <c r="J50" s="148"/>
      <c r="K50" s="148"/>
      <c r="L50" s="148"/>
      <c r="M50" s="148"/>
      <c r="N50" s="148"/>
      <c r="O50" s="148"/>
    </row>
    <row r="51" spans="1:15" ht="15.75" customHeight="1" x14ac:dyDescent="0.25">
      <c r="A51" s="148"/>
      <c r="B51" s="148"/>
      <c r="C51" s="158"/>
      <c r="D51" s="158"/>
      <c r="E51" s="148"/>
      <c r="F51" s="148"/>
      <c r="G51" s="148"/>
      <c r="H51" s="148"/>
      <c r="I51" s="148"/>
      <c r="J51" s="148"/>
      <c r="K51" s="148"/>
      <c r="L51" s="148"/>
      <c r="M51" s="148"/>
      <c r="N51" s="148"/>
      <c r="O51" s="148"/>
    </row>
    <row r="52" spans="1:15" ht="15.75" customHeight="1" x14ac:dyDescent="0.25">
      <c r="A52" s="148"/>
      <c r="B52" s="148"/>
      <c r="C52" s="158"/>
      <c r="D52" s="158"/>
    </row>
    <row r="53" spans="1:15" ht="15.75" customHeight="1" x14ac:dyDescent="0.25">
      <c r="A53" s="148"/>
      <c r="B53" s="148"/>
      <c r="C53" s="158"/>
      <c r="D53" s="158"/>
    </row>
    <row r="54" spans="1:15" ht="15.75" customHeight="1" x14ac:dyDescent="0.25">
      <c r="A54" s="148"/>
      <c r="B54" s="148"/>
      <c r="C54" s="158"/>
      <c r="D54" s="158"/>
    </row>
    <row r="55" spans="1:15" ht="15.75" customHeight="1" x14ac:dyDescent="0.25">
      <c r="A55" s="148"/>
      <c r="B55" s="148"/>
      <c r="C55" s="158"/>
      <c r="D55" s="158"/>
    </row>
    <row r="56" spans="1:15" ht="15.75" customHeight="1" x14ac:dyDescent="0.25">
      <c r="A56" s="148"/>
      <c r="B56" s="148"/>
      <c r="C56" s="158"/>
      <c r="D56" s="158"/>
    </row>
    <row r="57" spans="1:15" ht="15.75" customHeight="1" x14ac:dyDescent="0.25">
      <c r="A57" s="148"/>
      <c r="B57" s="148"/>
      <c r="C57" s="158"/>
      <c r="D57" s="158"/>
    </row>
    <row r="58" spans="1:15" ht="15.75" customHeight="1" x14ac:dyDescent="0.25">
      <c r="A58" s="148"/>
      <c r="B58" s="148"/>
      <c r="C58" s="158"/>
      <c r="D58" s="158"/>
    </row>
    <row r="59" spans="1:15" ht="15.75" customHeight="1" x14ac:dyDescent="0.25">
      <c r="A59" s="148"/>
      <c r="B59" s="148"/>
      <c r="C59" s="158"/>
      <c r="D59" s="158"/>
    </row>
    <row r="60" spans="1:15" ht="15.75" customHeight="1" x14ac:dyDescent="0.25">
      <c r="A60" s="148"/>
      <c r="B60" s="148"/>
      <c r="C60" s="158"/>
      <c r="D60" s="158"/>
    </row>
    <row r="61" spans="1:15" ht="15.75" customHeight="1" x14ac:dyDescent="0.25">
      <c r="A61" s="148"/>
      <c r="B61" s="148"/>
      <c r="C61" s="158"/>
      <c r="D61" s="158"/>
    </row>
    <row r="62" spans="1:15" ht="15.75" customHeight="1" x14ac:dyDescent="0.25">
      <c r="A62" s="148"/>
      <c r="B62" s="148"/>
      <c r="C62" s="158"/>
      <c r="D62" s="158"/>
    </row>
    <row r="63" spans="1:15" ht="15.75" customHeight="1" x14ac:dyDescent="0.25">
      <c r="A63" s="148"/>
      <c r="B63" s="148"/>
      <c r="C63" s="158"/>
      <c r="D63" s="158"/>
    </row>
    <row r="64" spans="1:15" ht="15.75" customHeight="1" x14ac:dyDescent="0.25">
      <c r="A64" s="148"/>
      <c r="B64" s="148"/>
      <c r="C64" s="158"/>
      <c r="D64" s="158"/>
    </row>
    <row r="65" spans="1:4" ht="15.75" customHeight="1" x14ac:dyDescent="0.25">
      <c r="A65" s="148"/>
      <c r="B65" s="148"/>
      <c r="C65" s="158"/>
      <c r="D65" s="158"/>
    </row>
    <row r="66" spans="1:4" ht="15.75" customHeight="1" x14ac:dyDescent="0.25">
      <c r="A66" s="148"/>
      <c r="B66" s="148"/>
      <c r="C66" s="158"/>
      <c r="D66" s="158"/>
    </row>
    <row r="67" spans="1:4" ht="15.75" customHeight="1" x14ac:dyDescent="0.25">
      <c r="A67" s="148"/>
      <c r="B67" s="148"/>
      <c r="C67" s="158"/>
      <c r="D67" s="158"/>
    </row>
    <row r="68" spans="1:4" ht="15.75" customHeight="1" x14ac:dyDescent="0.25">
      <c r="A68" s="148"/>
      <c r="B68" s="148"/>
      <c r="C68" s="158"/>
      <c r="D68" s="158"/>
    </row>
    <row r="69" spans="1:4" ht="15.75" customHeight="1" x14ac:dyDescent="0.25">
      <c r="A69" s="148"/>
      <c r="B69" s="148"/>
      <c r="C69" s="158"/>
      <c r="D69" s="158"/>
    </row>
    <row r="70" spans="1:4" ht="15.75" customHeight="1" x14ac:dyDescent="0.25">
      <c r="A70" s="148"/>
      <c r="B70" s="148"/>
      <c r="C70" s="158"/>
      <c r="D70" s="158"/>
    </row>
    <row r="71" spans="1:4" ht="15.75" customHeight="1" x14ac:dyDescent="0.25">
      <c r="A71" s="148"/>
      <c r="B71" s="148"/>
      <c r="C71" s="158"/>
      <c r="D71" s="158"/>
    </row>
    <row r="72" spans="1:4" ht="15.75" customHeight="1" x14ac:dyDescent="0.25">
      <c r="A72" s="148"/>
      <c r="B72" s="148"/>
      <c r="C72" s="158"/>
      <c r="D72" s="158"/>
    </row>
    <row r="73" spans="1:4" ht="15.75" customHeight="1" x14ac:dyDescent="0.25">
      <c r="A73" s="148"/>
      <c r="B73" s="148"/>
      <c r="C73" s="158"/>
      <c r="D73" s="158"/>
    </row>
    <row r="74" spans="1:4" ht="15.75" customHeight="1" x14ac:dyDescent="0.25">
      <c r="A74" s="148"/>
      <c r="B74" s="148"/>
      <c r="C74" s="158"/>
      <c r="D74" s="158"/>
    </row>
    <row r="75" spans="1:4" ht="15.75" customHeight="1" x14ac:dyDescent="0.25">
      <c r="A75" s="148"/>
      <c r="B75" s="148"/>
      <c r="C75" s="158"/>
      <c r="D75" s="158"/>
    </row>
    <row r="76" spans="1:4" ht="15.75" customHeight="1" x14ac:dyDescent="0.25">
      <c r="A76" s="148"/>
      <c r="B76" s="148"/>
      <c r="C76" s="158"/>
      <c r="D76" s="158"/>
    </row>
    <row r="77" spans="1:4" ht="15.75" customHeight="1" x14ac:dyDescent="0.25">
      <c r="A77" s="148"/>
      <c r="B77" s="148"/>
      <c r="C77" s="158"/>
      <c r="D77" s="158"/>
    </row>
    <row r="78" spans="1:4" ht="15.75" customHeight="1" x14ac:dyDescent="0.25">
      <c r="A78" s="148"/>
      <c r="B78" s="148"/>
      <c r="C78" s="158"/>
      <c r="D78" s="158"/>
    </row>
    <row r="79" spans="1:4" ht="15.75" customHeight="1" x14ac:dyDescent="0.25">
      <c r="A79" s="148"/>
      <c r="B79" s="148"/>
      <c r="C79" s="158"/>
      <c r="D79" s="158"/>
    </row>
    <row r="80" spans="1:4" ht="15.75" customHeight="1" x14ac:dyDescent="0.25">
      <c r="A80" s="148"/>
      <c r="B80" s="148"/>
      <c r="C80" s="158"/>
      <c r="D80" s="158"/>
    </row>
    <row r="81" spans="1:4" ht="15.75" customHeight="1" x14ac:dyDescent="0.25">
      <c r="A81" s="148"/>
      <c r="B81" s="148"/>
      <c r="C81" s="158"/>
      <c r="D81" s="158"/>
    </row>
    <row r="82" spans="1:4" ht="15.75" customHeight="1" x14ac:dyDescent="0.25">
      <c r="A82" s="148"/>
      <c r="B82" s="148"/>
      <c r="C82" s="158"/>
      <c r="D82" s="158"/>
    </row>
    <row r="83" spans="1:4" ht="15.75" customHeight="1" x14ac:dyDescent="0.25">
      <c r="A83" s="148"/>
      <c r="B83" s="148"/>
      <c r="C83" s="158"/>
      <c r="D83" s="158"/>
    </row>
    <row r="84" spans="1:4" ht="15.75" customHeight="1" x14ac:dyDescent="0.25">
      <c r="A84" s="148"/>
      <c r="B84" s="148"/>
      <c r="C84" s="158"/>
      <c r="D84" s="158"/>
    </row>
    <row r="85" spans="1:4" ht="15.75" customHeight="1" x14ac:dyDescent="0.25">
      <c r="A85" s="148"/>
      <c r="B85" s="148"/>
      <c r="C85" s="158"/>
      <c r="D85" s="158"/>
    </row>
    <row r="86" spans="1:4" ht="15.75" customHeight="1" x14ac:dyDescent="0.25">
      <c r="A86" s="148"/>
      <c r="B86" s="148"/>
      <c r="C86" s="158"/>
      <c r="D86" s="158"/>
    </row>
    <row r="87" spans="1:4" ht="15.75" customHeight="1" x14ac:dyDescent="0.25">
      <c r="A87" s="148"/>
      <c r="B87" s="148"/>
      <c r="C87" s="158"/>
      <c r="D87" s="158"/>
    </row>
    <row r="88" spans="1:4" ht="15.75" customHeight="1" x14ac:dyDescent="0.25">
      <c r="A88" s="148"/>
      <c r="B88" s="148"/>
      <c r="C88" s="158"/>
      <c r="D88" s="158"/>
    </row>
    <row r="89" spans="1:4" ht="15.75" customHeight="1" x14ac:dyDescent="0.25">
      <c r="A89" s="148"/>
      <c r="B89" s="148"/>
      <c r="C89" s="158"/>
      <c r="D89" s="158"/>
    </row>
    <row r="90" spans="1:4" ht="15.75" customHeight="1" x14ac:dyDescent="0.25">
      <c r="A90" s="148"/>
      <c r="B90" s="148"/>
      <c r="C90" s="158"/>
      <c r="D90" s="158"/>
    </row>
    <row r="91" spans="1:4" ht="15.75" customHeight="1" x14ac:dyDescent="0.25">
      <c r="A91" s="148"/>
      <c r="B91" s="148"/>
      <c r="C91" s="158"/>
      <c r="D91" s="158"/>
    </row>
    <row r="92" spans="1:4" ht="15.75" customHeight="1" x14ac:dyDescent="0.25">
      <c r="A92" s="148"/>
      <c r="B92" s="148"/>
      <c r="C92" s="158"/>
      <c r="D92" s="158"/>
    </row>
    <row r="93" spans="1:4" ht="15.75" customHeight="1" x14ac:dyDescent="0.25">
      <c r="A93" s="148"/>
      <c r="B93" s="148"/>
      <c r="C93" s="158"/>
      <c r="D93" s="158"/>
    </row>
    <row r="94" spans="1:4" ht="15.75" customHeight="1" x14ac:dyDescent="0.25">
      <c r="A94" s="148"/>
      <c r="B94" s="148"/>
      <c r="C94" s="158"/>
      <c r="D94" s="158"/>
    </row>
    <row r="95" spans="1:4" ht="15.75" customHeight="1" x14ac:dyDescent="0.25">
      <c r="A95" s="148"/>
      <c r="B95" s="148"/>
      <c r="C95" s="158"/>
      <c r="D95" s="158"/>
    </row>
    <row r="96" spans="1:4" ht="15.75" customHeight="1" x14ac:dyDescent="0.25">
      <c r="A96" s="148"/>
      <c r="B96" s="148"/>
      <c r="C96" s="158"/>
      <c r="D96" s="158"/>
    </row>
    <row r="97" spans="1:4" ht="15.75" customHeight="1" x14ac:dyDescent="0.25">
      <c r="A97" s="148"/>
      <c r="B97" s="148"/>
      <c r="C97" s="158"/>
      <c r="D97" s="158"/>
    </row>
    <row r="98" spans="1:4" ht="15.75" customHeight="1" x14ac:dyDescent="0.25">
      <c r="A98" s="148"/>
      <c r="B98" s="148"/>
      <c r="C98" s="158"/>
      <c r="D98" s="158"/>
    </row>
    <row r="99" spans="1:4" ht="15.75" customHeight="1" x14ac:dyDescent="0.25">
      <c r="A99" s="148"/>
      <c r="B99" s="148"/>
      <c r="C99" s="158"/>
      <c r="D99" s="158"/>
    </row>
    <row r="100" spans="1:4" ht="15.75" customHeight="1" x14ac:dyDescent="0.25">
      <c r="A100" s="148"/>
      <c r="B100" s="148"/>
      <c r="C100" s="158"/>
      <c r="D100" s="158"/>
    </row>
    <row r="101" spans="1:4" ht="15.75" customHeight="1" x14ac:dyDescent="0.25">
      <c r="A101" s="148"/>
      <c r="B101" s="148"/>
      <c r="C101" s="158"/>
      <c r="D101" s="158"/>
    </row>
    <row r="102" spans="1:4" ht="15.75" customHeight="1" x14ac:dyDescent="0.25">
      <c r="A102" s="148"/>
      <c r="B102" s="148"/>
      <c r="C102" s="158"/>
      <c r="D102" s="158"/>
    </row>
    <row r="103" spans="1:4" ht="15.75" customHeight="1" x14ac:dyDescent="0.25">
      <c r="A103" s="148"/>
      <c r="B103" s="148"/>
      <c r="C103" s="158"/>
      <c r="D103" s="158"/>
    </row>
    <row r="104" spans="1:4" ht="15.75" customHeight="1" x14ac:dyDescent="0.25">
      <c r="A104" s="148"/>
      <c r="B104" s="148"/>
      <c r="C104" s="158"/>
      <c r="D104" s="158"/>
    </row>
    <row r="105" spans="1:4" ht="15.75" customHeight="1" x14ac:dyDescent="0.25">
      <c r="A105" s="148"/>
      <c r="B105" s="148"/>
      <c r="C105" s="158"/>
      <c r="D105" s="158"/>
    </row>
    <row r="106" spans="1:4" ht="15.75" customHeight="1" x14ac:dyDescent="0.25">
      <c r="A106" s="148"/>
      <c r="B106" s="148"/>
      <c r="C106" s="158"/>
      <c r="D106" s="158"/>
    </row>
    <row r="107" spans="1:4" ht="15.75" customHeight="1" x14ac:dyDescent="0.25">
      <c r="A107" s="148"/>
      <c r="B107" s="148"/>
      <c r="C107" s="158"/>
      <c r="D107" s="158"/>
    </row>
    <row r="108" spans="1:4" ht="15.75" customHeight="1" x14ac:dyDescent="0.25">
      <c r="A108" s="148"/>
      <c r="B108" s="148"/>
      <c r="C108" s="158"/>
      <c r="D108" s="158"/>
    </row>
    <row r="109" spans="1:4" ht="15.75" customHeight="1" x14ac:dyDescent="0.25">
      <c r="A109" s="148"/>
      <c r="B109" s="148"/>
      <c r="C109" s="158"/>
      <c r="D109" s="158"/>
    </row>
    <row r="110" spans="1:4" ht="15.75" customHeight="1" x14ac:dyDescent="0.25">
      <c r="A110" s="148"/>
      <c r="B110" s="148"/>
      <c r="C110" s="158"/>
      <c r="D110" s="158"/>
    </row>
    <row r="111" spans="1:4" ht="15.75" customHeight="1" x14ac:dyDescent="0.25">
      <c r="A111" s="148"/>
      <c r="B111" s="148"/>
      <c r="C111" s="158"/>
      <c r="D111" s="158"/>
    </row>
    <row r="112" spans="1:4" ht="15.75" customHeight="1" x14ac:dyDescent="0.25">
      <c r="A112" s="148"/>
      <c r="B112" s="148"/>
      <c r="C112" s="158"/>
      <c r="D112" s="158"/>
    </row>
    <row r="113" spans="1:4" ht="15.75" customHeight="1" x14ac:dyDescent="0.25">
      <c r="A113" s="148"/>
      <c r="B113" s="148"/>
      <c r="C113" s="158"/>
      <c r="D113" s="158"/>
    </row>
    <row r="114" spans="1:4" ht="15.75" customHeight="1" x14ac:dyDescent="0.25">
      <c r="A114" s="148"/>
      <c r="B114" s="148"/>
      <c r="C114" s="158"/>
      <c r="D114" s="158"/>
    </row>
    <row r="115" spans="1:4" ht="15.75" customHeight="1" x14ac:dyDescent="0.25">
      <c r="A115" s="148"/>
      <c r="B115" s="148"/>
      <c r="C115" s="158"/>
      <c r="D115" s="158"/>
    </row>
    <row r="116" spans="1:4" ht="15.75" customHeight="1" x14ac:dyDescent="0.25">
      <c r="A116" s="148"/>
      <c r="B116" s="148"/>
      <c r="C116" s="158"/>
      <c r="D116" s="158"/>
    </row>
    <row r="117" spans="1:4" ht="15.75" customHeight="1" x14ac:dyDescent="0.25">
      <c r="A117" s="148"/>
      <c r="B117" s="148"/>
      <c r="C117" s="158"/>
      <c r="D117" s="158"/>
    </row>
    <row r="118" spans="1:4" ht="15.75" customHeight="1" x14ac:dyDescent="0.25">
      <c r="A118" s="148"/>
      <c r="B118" s="148"/>
      <c r="C118" s="158"/>
      <c r="D118" s="158"/>
    </row>
    <row r="119" spans="1:4" ht="15.75" customHeight="1" x14ac:dyDescent="0.25">
      <c r="A119" s="148"/>
      <c r="B119" s="148"/>
      <c r="C119" s="158"/>
      <c r="D119" s="158"/>
    </row>
    <row r="120" spans="1:4" ht="15.75" customHeight="1" x14ac:dyDescent="0.25">
      <c r="A120" s="148"/>
      <c r="B120" s="148"/>
      <c r="C120" s="158"/>
      <c r="D120" s="158"/>
    </row>
    <row r="121" spans="1:4" ht="15.75" customHeight="1" x14ac:dyDescent="0.25">
      <c r="A121" s="148"/>
      <c r="B121" s="148"/>
      <c r="C121" s="158"/>
      <c r="D121" s="158"/>
    </row>
    <row r="122" spans="1:4" ht="15.75" customHeight="1" x14ac:dyDescent="0.25">
      <c r="A122" s="148"/>
      <c r="B122" s="148"/>
      <c r="C122" s="158"/>
      <c r="D122" s="158"/>
    </row>
    <row r="123" spans="1:4" ht="15.75" customHeight="1" x14ac:dyDescent="0.25">
      <c r="A123" s="148"/>
      <c r="B123" s="148"/>
      <c r="C123" s="158"/>
      <c r="D123" s="158"/>
    </row>
    <row r="124" spans="1:4" ht="15.75" customHeight="1" x14ac:dyDescent="0.25">
      <c r="A124" s="148"/>
      <c r="B124" s="148"/>
      <c r="C124" s="158"/>
      <c r="D124" s="158"/>
    </row>
    <row r="125" spans="1:4" ht="15.75" customHeight="1" x14ac:dyDescent="0.25">
      <c r="A125" s="148"/>
      <c r="B125" s="148"/>
      <c r="C125" s="158"/>
      <c r="D125" s="158"/>
    </row>
    <row r="126" spans="1:4" ht="15.75" customHeight="1" x14ac:dyDescent="0.25">
      <c r="A126" s="148"/>
      <c r="B126" s="148"/>
      <c r="C126" s="158"/>
      <c r="D126" s="158"/>
    </row>
    <row r="127" spans="1:4" ht="15.75" customHeight="1" x14ac:dyDescent="0.25">
      <c r="A127" s="148"/>
      <c r="B127" s="148"/>
      <c r="C127" s="158"/>
      <c r="D127" s="158"/>
    </row>
    <row r="128" spans="1:4" ht="15.75" customHeight="1" x14ac:dyDescent="0.25">
      <c r="A128" s="148"/>
      <c r="B128" s="148"/>
      <c r="C128" s="158"/>
      <c r="D128" s="158"/>
    </row>
    <row r="129" spans="1:4" ht="15.75" customHeight="1" x14ac:dyDescent="0.25">
      <c r="A129" s="148"/>
      <c r="B129" s="148"/>
      <c r="C129" s="158"/>
      <c r="D129" s="158"/>
    </row>
    <row r="130" spans="1:4" ht="15.75" customHeight="1" x14ac:dyDescent="0.25">
      <c r="A130" s="148"/>
      <c r="B130" s="148"/>
      <c r="C130" s="158"/>
      <c r="D130" s="158"/>
    </row>
    <row r="131" spans="1:4" ht="15.75" customHeight="1" x14ac:dyDescent="0.25">
      <c r="A131" s="148"/>
      <c r="B131" s="148"/>
      <c r="C131" s="158"/>
      <c r="D131" s="158"/>
    </row>
    <row r="132" spans="1:4" ht="15.75" customHeight="1" x14ac:dyDescent="0.25">
      <c r="A132" s="148"/>
      <c r="B132" s="148"/>
      <c r="C132" s="158"/>
      <c r="D132" s="158"/>
    </row>
    <row r="133" spans="1:4" ht="15.75" customHeight="1" x14ac:dyDescent="0.25">
      <c r="A133" s="148"/>
      <c r="B133" s="148"/>
      <c r="C133" s="158"/>
      <c r="D133" s="158"/>
    </row>
    <row r="134" spans="1:4" ht="15.75" customHeight="1" x14ac:dyDescent="0.25">
      <c r="A134" s="148"/>
      <c r="B134" s="148"/>
      <c r="C134" s="158"/>
      <c r="D134" s="158"/>
    </row>
    <row r="135" spans="1:4" ht="15.75" customHeight="1" x14ac:dyDescent="0.25">
      <c r="A135" s="148"/>
      <c r="B135" s="148"/>
      <c r="C135" s="158"/>
      <c r="D135" s="158"/>
    </row>
    <row r="136" spans="1:4" ht="15.75" customHeight="1" x14ac:dyDescent="0.25">
      <c r="A136" s="148"/>
      <c r="B136" s="148"/>
      <c r="C136" s="158"/>
      <c r="D136" s="158"/>
    </row>
    <row r="137" spans="1:4" ht="15.75" customHeight="1" x14ac:dyDescent="0.25">
      <c r="A137" s="148"/>
      <c r="B137" s="148"/>
      <c r="C137" s="158"/>
      <c r="D137" s="158"/>
    </row>
    <row r="138" spans="1:4" ht="15.75" customHeight="1" x14ac:dyDescent="0.25">
      <c r="A138" s="148"/>
      <c r="B138" s="148"/>
      <c r="C138" s="158"/>
      <c r="D138" s="158"/>
    </row>
    <row r="139" spans="1:4" ht="15.75" customHeight="1" x14ac:dyDescent="0.25">
      <c r="A139" s="148"/>
      <c r="B139" s="148"/>
      <c r="C139" s="158"/>
      <c r="D139" s="158"/>
    </row>
    <row r="140" spans="1:4" ht="15.75" customHeight="1" x14ac:dyDescent="0.25">
      <c r="A140" s="148"/>
      <c r="B140" s="148"/>
      <c r="C140" s="158"/>
      <c r="D140" s="158"/>
    </row>
    <row r="141" spans="1:4" ht="15.75" customHeight="1" x14ac:dyDescent="0.25">
      <c r="A141" s="148"/>
      <c r="B141" s="148"/>
      <c r="C141" s="158"/>
      <c r="D141" s="158"/>
    </row>
    <row r="142" spans="1:4" ht="15.75" customHeight="1" x14ac:dyDescent="0.25">
      <c r="A142" s="148"/>
      <c r="B142" s="148"/>
      <c r="C142" s="158"/>
      <c r="D142" s="158"/>
    </row>
    <row r="143" spans="1:4" ht="15.75" customHeight="1" x14ac:dyDescent="0.25">
      <c r="A143" s="148"/>
      <c r="B143" s="148"/>
      <c r="C143" s="158"/>
      <c r="D143" s="158"/>
    </row>
    <row r="144" spans="1:4" ht="15.75" customHeight="1" x14ac:dyDescent="0.25">
      <c r="A144" s="148"/>
      <c r="B144" s="148"/>
      <c r="C144" s="158"/>
      <c r="D144" s="158"/>
    </row>
    <row r="145" spans="1:4" ht="15.75" customHeight="1" x14ac:dyDescent="0.25">
      <c r="A145" s="148"/>
      <c r="B145" s="148"/>
      <c r="C145" s="158"/>
      <c r="D145" s="158"/>
    </row>
    <row r="146" spans="1:4" ht="15.75" customHeight="1" x14ac:dyDescent="0.25">
      <c r="A146" s="148"/>
      <c r="B146" s="148"/>
      <c r="C146" s="158"/>
      <c r="D146" s="158"/>
    </row>
    <row r="147" spans="1:4" ht="15.75" customHeight="1" x14ac:dyDescent="0.25">
      <c r="A147" s="148"/>
      <c r="B147" s="148"/>
      <c r="C147" s="158"/>
      <c r="D147" s="158"/>
    </row>
    <row r="148" spans="1:4" ht="15.75" customHeight="1" x14ac:dyDescent="0.25">
      <c r="A148" s="148"/>
      <c r="B148" s="148"/>
      <c r="C148" s="158"/>
      <c r="D148" s="158"/>
    </row>
    <row r="149" spans="1:4" ht="15.75" customHeight="1" x14ac:dyDescent="0.25">
      <c r="A149" s="148"/>
      <c r="B149" s="148"/>
      <c r="C149" s="158"/>
      <c r="D149" s="158"/>
    </row>
    <row r="150" spans="1:4" ht="15.75" customHeight="1" x14ac:dyDescent="0.25">
      <c r="A150" s="148"/>
      <c r="B150" s="148"/>
      <c r="C150" s="158"/>
      <c r="D150" s="158"/>
    </row>
    <row r="151" spans="1:4" ht="15.75" customHeight="1" x14ac:dyDescent="0.25">
      <c r="A151" s="148"/>
      <c r="B151" s="148"/>
      <c r="C151" s="158"/>
      <c r="D151" s="158"/>
    </row>
    <row r="152" spans="1:4" ht="15.75" customHeight="1" x14ac:dyDescent="0.25">
      <c r="A152" s="148"/>
      <c r="B152" s="148"/>
      <c r="C152" s="158"/>
      <c r="D152" s="158"/>
    </row>
    <row r="153" spans="1:4" ht="15.75" customHeight="1" x14ac:dyDescent="0.25">
      <c r="A153" s="148"/>
      <c r="B153" s="148"/>
      <c r="C153" s="158"/>
      <c r="D153" s="158"/>
    </row>
    <row r="154" spans="1:4" ht="15.75" customHeight="1" x14ac:dyDescent="0.25">
      <c r="A154" s="148"/>
      <c r="B154" s="148"/>
      <c r="C154" s="158"/>
      <c r="D154" s="158"/>
    </row>
    <row r="155" spans="1:4" ht="15.75" customHeight="1" x14ac:dyDescent="0.25">
      <c r="A155" s="148"/>
      <c r="B155" s="148"/>
      <c r="C155" s="158"/>
      <c r="D155" s="158"/>
    </row>
    <row r="156" spans="1:4" ht="15.75" customHeight="1" x14ac:dyDescent="0.25">
      <c r="A156" s="148"/>
      <c r="B156" s="148"/>
      <c r="C156" s="158"/>
      <c r="D156" s="158"/>
    </row>
    <row r="157" spans="1:4" ht="15.75" customHeight="1" x14ac:dyDescent="0.25">
      <c r="A157" s="148"/>
      <c r="B157" s="148"/>
      <c r="C157" s="158"/>
      <c r="D157" s="158"/>
    </row>
    <row r="158" spans="1:4" ht="15.75" customHeight="1" x14ac:dyDescent="0.25">
      <c r="A158" s="148"/>
      <c r="B158" s="148"/>
      <c r="C158" s="158"/>
      <c r="D158" s="158"/>
    </row>
    <row r="159" spans="1:4" ht="15.75" customHeight="1" x14ac:dyDescent="0.25">
      <c r="A159" s="148"/>
      <c r="B159" s="148"/>
      <c r="C159" s="158"/>
      <c r="D159" s="158"/>
    </row>
    <row r="160" spans="1:4" ht="15.75" customHeight="1" x14ac:dyDescent="0.25">
      <c r="A160" s="148"/>
      <c r="B160" s="148"/>
      <c r="C160" s="158"/>
      <c r="D160" s="158"/>
    </row>
    <row r="161" spans="1:4" ht="15.75" customHeight="1" x14ac:dyDescent="0.25">
      <c r="A161" s="148"/>
      <c r="B161" s="148"/>
      <c r="C161" s="158"/>
      <c r="D161" s="158"/>
    </row>
    <row r="162" spans="1:4" ht="15.75" customHeight="1" x14ac:dyDescent="0.25">
      <c r="A162" s="148"/>
      <c r="B162" s="148"/>
      <c r="C162" s="158"/>
      <c r="D162" s="158"/>
    </row>
    <row r="163" spans="1:4" ht="15.75" customHeight="1" x14ac:dyDescent="0.25">
      <c r="A163" s="148"/>
      <c r="B163" s="148"/>
      <c r="C163" s="158"/>
      <c r="D163" s="158"/>
    </row>
    <row r="164" spans="1:4" ht="15.75" customHeight="1" x14ac:dyDescent="0.25">
      <c r="A164" s="148"/>
      <c r="B164" s="148"/>
      <c r="C164" s="158"/>
      <c r="D164" s="158"/>
    </row>
    <row r="165" spans="1:4" ht="15.75" customHeight="1" x14ac:dyDescent="0.25">
      <c r="A165" s="148"/>
      <c r="B165" s="148"/>
      <c r="C165" s="158"/>
      <c r="D165" s="158"/>
    </row>
    <row r="166" spans="1:4" ht="15.75" customHeight="1" x14ac:dyDescent="0.25">
      <c r="A166" s="148"/>
      <c r="B166" s="148"/>
      <c r="C166" s="158"/>
      <c r="D166" s="158"/>
    </row>
    <row r="167" spans="1:4" ht="15.75" customHeight="1" x14ac:dyDescent="0.25">
      <c r="A167" s="148"/>
      <c r="B167" s="148"/>
      <c r="C167" s="158"/>
      <c r="D167" s="158"/>
    </row>
    <row r="168" spans="1:4" ht="15.75" customHeight="1" x14ac:dyDescent="0.25">
      <c r="A168" s="148"/>
      <c r="B168" s="148"/>
      <c r="C168" s="158"/>
      <c r="D168" s="158"/>
    </row>
    <row r="169" spans="1:4" ht="15.75" customHeight="1" x14ac:dyDescent="0.25">
      <c r="A169" s="148"/>
      <c r="B169" s="148"/>
      <c r="C169" s="158"/>
      <c r="D169" s="158"/>
    </row>
    <row r="170" spans="1:4" ht="15.75" customHeight="1" x14ac:dyDescent="0.25">
      <c r="A170" s="148"/>
      <c r="B170" s="148"/>
      <c r="C170" s="158"/>
      <c r="D170" s="158"/>
    </row>
    <row r="171" spans="1:4" ht="15.75" customHeight="1" x14ac:dyDescent="0.25">
      <c r="A171" s="148"/>
      <c r="B171" s="148"/>
      <c r="C171" s="158"/>
      <c r="D171" s="158"/>
    </row>
    <row r="172" spans="1:4" ht="15.75" customHeight="1" x14ac:dyDescent="0.25">
      <c r="A172" s="148"/>
      <c r="B172" s="148"/>
      <c r="C172" s="158"/>
      <c r="D172" s="158"/>
    </row>
    <row r="173" spans="1:4" ht="15.75" customHeight="1" x14ac:dyDescent="0.25">
      <c r="A173" s="148"/>
      <c r="B173" s="148"/>
      <c r="C173" s="158"/>
      <c r="D173" s="158"/>
    </row>
    <row r="174" spans="1:4" ht="15.75" customHeight="1" x14ac:dyDescent="0.25">
      <c r="A174" s="148"/>
      <c r="B174" s="148"/>
      <c r="C174" s="158"/>
      <c r="D174" s="158"/>
    </row>
    <row r="175" spans="1:4" ht="15.75" customHeight="1" x14ac:dyDescent="0.25">
      <c r="A175" s="148"/>
      <c r="B175" s="148"/>
      <c r="C175" s="158"/>
      <c r="D175" s="158"/>
    </row>
    <row r="176" spans="1:4" ht="15.75" customHeight="1" x14ac:dyDescent="0.25">
      <c r="A176" s="148"/>
      <c r="B176" s="148"/>
      <c r="C176" s="158"/>
      <c r="D176" s="158"/>
    </row>
    <row r="177" spans="1:4" ht="15.75" customHeight="1" x14ac:dyDescent="0.25">
      <c r="A177" s="148"/>
      <c r="B177" s="148"/>
      <c r="C177" s="158"/>
      <c r="D177" s="158"/>
    </row>
    <row r="178" spans="1:4" ht="15.75" customHeight="1" x14ac:dyDescent="0.25">
      <c r="A178" s="148"/>
      <c r="B178" s="148"/>
      <c r="C178" s="158"/>
      <c r="D178" s="158"/>
    </row>
    <row r="179" spans="1:4" ht="15.75" customHeight="1" x14ac:dyDescent="0.25">
      <c r="A179" s="148"/>
      <c r="B179" s="148"/>
      <c r="C179" s="158"/>
      <c r="D179" s="158"/>
    </row>
    <row r="180" spans="1:4" ht="20.25" x14ac:dyDescent="0.25">
      <c r="A180" s="148"/>
      <c r="B180" s="148"/>
      <c r="C180" s="158"/>
      <c r="D180" s="158"/>
    </row>
    <row r="181" spans="1:4" ht="20.25" x14ac:dyDescent="0.25">
      <c r="A181" s="148"/>
      <c r="B181" s="148"/>
      <c r="C181" s="158"/>
      <c r="D181" s="158"/>
    </row>
    <row r="182" spans="1:4" ht="20.25" x14ac:dyDescent="0.25">
      <c r="A182" s="148"/>
      <c r="B182" s="148"/>
      <c r="C182" s="158"/>
      <c r="D182" s="158"/>
    </row>
    <row r="183" spans="1:4" ht="20.25" x14ac:dyDescent="0.25">
      <c r="A183" s="148"/>
      <c r="B183" s="148"/>
      <c r="C183" s="158"/>
      <c r="D183" s="158"/>
    </row>
    <row r="184" spans="1:4" ht="20.25" x14ac:dyDescent="0.25">
      <c r="A184" s="148"/>
      <c r="B184" s="148"/>
      <c r="C184" s="158"/>
      <c r="D184" s="158"/>
    </row>
    <row r="185" spans="1:4" ht="20.25" x14ac:dyDescent="0.25">
      <c r="A185" s="148"/>
      <c r="B185" s="148"/>
      <c r="C185" s="158"/>
      <c r="D185" s="158"/>
    </row>
    <row r="186" spans="1:4" ht="20.25" x14ac:dyDescent="0.25">
      <c r="A186" s="148"/>
      <c r="B186" s="148"/>
      <c r="C186" s="158"/>
      <c r="D186" s="158"/>
    </row>
    <row r="187" spans="1:4" ht="20.25" x14ac:dyDescent="0.25">
      <c r="A187" s="148"/>
      <c r="B187" s="148"/>
      <c r="C187" s="158"/>
      <c r="D187" s="158"/>
    </row>
    <row r="188" spans="1:4" ht="20.25" x14ac:dyDescent="0.25">
      <c r="A188" s="148"/>
      <c r="B188" s="148"/>
      <c r="C188" s="158"/>
      <c r="D188" s="158"/>
    </row>
    <row r="189" spans="1:4" ht="20.25" x14ac:dyDescent="0.25">
      <c r="A189" s="148"/>
      <c r="B189" s="148"/>
      <c r="C189" s="158"/>
      <c r="D189" s="158"/>
    </row>
    <row r="190" spans="1:4" ht="20.25" x14ac:dyDescent="0.25">
      <c r="A190" s="148"/>
      <c r="B190" s="148"/>
      <c r="C190" s="158"/>
      <c r="D190" s="158"/>
    </row>
    <row r="191" spans="1:4" ht="20.25" x14ac:dyDescent="0.25">
      <c r="A191" s="148"/>
      <c r="B191" s="148"/>
      <c r="C191" s="158"/>
      <c r="D191" s="158"/>
    </row>
    <row r="192" spans="1:4" ht="20.25" x14ac:dyDescent="0.25">
      <c r="A192" s="148"/>
      <c r="B192" s="148"/>
      <c r="C192" s="158"/>
      <c r="D192" s="158"/>
    </row>
    <row r="193" spans="1:4" ht="20.25" x14ac:dyDescent="0.25">
      <c r="A193" s="148"/>
      <c r="B193" s="148"/>
      <c r="C193" s="158"/>
      <c r="D193" s="158"/>
    </row>
    <row r="194" spans="1:4" ht="20.25" x14ac:dyDescent="0.25">
      <c r="A194" s="148"/>
      <c r="B194" s="148"/>
      <c r="C194" s="158"/>
      <c r="D194" s="158"/>
    </row>
    <row r="195" spans="1:4" ht="20.25" x14ac:dyDescent="0.25">
      <c r="A195" s="148"/>
      <c r="B195" s="148"/>
      <c r="C195" s="158"/>
      <c r="D195" s="158"/>
    </row>
    <row r="196" spans="1:4" ht="20.25" x14ac:dyDescent="0.25">
      <c r="A196" s="148"/>
      <c r="B196" s="148"/>
      <c r="C196" s="158"/>
      <c r="D196" s="158"/>
    </row>
    <row r="197" spans="1:4" ht="20.25" x14ac:dyDescent="0.25">
      <c r="A197" s="148"/>
      <c r="B197" s="148"/>
      <c r="C197" s="158"/>
      <c r="D197" s="158"/>
    </row>
    <row r="198" spans="1:4" ht="20.25" x14ac:dyDescent="0.25">
      <c r="A198" s="148"/>
      <c r="B198" s="148"/>
      <c r="C198" s="158"/>
      <c r="D198" s="158"/>
    </row>
    <row r="199" spans="1:4" ht="20.25" x14ac:dyDescent="0.25">
      <c r="A199" s="148"/>
      <c r="B199" s="148"/>
      <c r="C199" s="158"/>
      <c r="D199" s="158"/>
    </row>
    <row r="200" spans="1:4" ht="20.25" x14ac:dyDescent="0.25">
      <c r="A200" s="148"/>
      <c r="B200" s="148"/>
      <c r="C200" s="158"/>
      <c r="D200" s="158"/>
    </row>
    <row r="201" spans="1:4" ht="20.25" x14ac:dyDescent="0.25">
      <c r="A201" s="148"/>
      <c r="B201" s="148"/>
      <c r="C201" s="158"/>
      <c r="D201" s="158"/>
    </row>
    <row r="202" spans="1:4" ht="20.25" x14ac:dyDescent="0.25">
      <c r="A202" s="148"/>
      <c r="B202" s="148"/>
      <c r="C202" s="158"/>
      <c r="D202" s="158"/>
    </row>
    <row r="203" spans="1:4" ht="20.25" x14ac:dyDescent="0.25">
      <c r="A203" s="148"/>
      <c r="B203" s="148"/>
      <c r="C203" s="158"/>
      <c r="D203" s="158"/>
    </row>
    <row r="204" spans="1:4" ht="20.25" x14ac:dyDescent="0.25">
      <c r="A204" s="148"/>
      <c r="B204" s="148"/>
      <c r="C204" s="158"/>
      <c r="D204" s="158"/>
    </row>
    <row r="205" spans="1:4" ht="20.25" x14ac:dyDescent="0.25">
      <c r="A205" s="148"/>
      <c r="B205" s="148"/>
      <c r="C205" s="158"/>
      <c r="D205" s="158"/>
    </row>
    <row r="206" spans="1:4" ht="20.25" x14ac:dyDescent="0.25">
      <c r="A206" s="148"/>
      <c r="B206" s="148"/>
      <c r="C206" s="158"/>
      <c r="D206" s="158"/>
    </row>
    <row r="207" spans="1:4" ht="20.25" x14ac:dyDescent="0.25">
      <c r="A207" s="148"/>
      <c r="B207" s="148"/>
      <c r="C207" s="158"/>
      <c r="D207" s="158"/>
    </row>
    <row r="208" spans="1:4" x14ac:dyDescent="0.25">
      <c r="A208" s="148"/>
      <c r="B208" s="148"/>
      <c r="C208" s="148"/>
      <c r="D208" s="148"/>
    </row>
    <row r="209" spans="1:8" ht="20.25" x14ac:dyDescent="0.25">
      <c r="A209" s="148"/>
      <c r="B209" s="160" t="s">
        <v>630</v>
      </c>
      <c r="C209" s="160" t="s">
        <v>631</v>
      </c>
      <c r="D209" s="148" t="s">
        <v>630</v>
      </c>
      <c r="E209" s="148" t="s">
        <v>631</v>
      </c>
    </row>
    <row r="210" spans="1:8" ht="20.25" x14ac:dyDescent="0.3">
      <c r="A210" s="148"/>
      <c r="B210" s="161" t="s">
        <v>632</v>
      </c>
      <c r="C210" s="161" t="s">
        <v>633</v>
      </c>
      <c r="D210" t="s">
        <v>632</v>
      </c>
      <c r="F210" t="str">
        <f t="shared" ref="F210:F221" si="0">IF(NOT(ISBLANK(D210)),D210,IF(NOT(ISBLANK(E210)),"     "&amp;E210,FALSE))</f>
        <v>Afectación Económica o presupuestal</v>
      </c>
      <c r="G210" t="s">
        <v>632</v>
      </c>
      <c r="H210" t="str">
        <f ca="1">IF(NOT(ISERROR(MATCH(G210,ANCHORARRAY(B221),0))),F223&amp;"Por favor no seleccionar los criterios de impacto",G210)</f>
        <v>Afectación Económica o presupuestal</v>
      </c>
    </row>
    <row r="211" spans="1:8" ht="20.25" x14ac:dyDescent="0.3">
      <c r="A211" s="148"/>
      <c r="B211" s="161" t="s">
        <v>632</v>
      </c>
      <c r="C211" s="161" t="s">
        <v>607</v>
      </c>
      <c r="E211" t="s">
        <v>633</v>
      </c>
      <c r="F211" t="str">
        <f t="shared" si="0"/>
        <v xml:space="preserve">     Afectación menor a 10 SMLMV .</v>
      </c>
    </row>
    <row r="212" spans="1:8" ht="20.25" x14ac:dyDescent="0.3">
      <c r="A212" s="148"/>
      <c r="B212" s="161" t="s">
        <v>632</v>
      </c>
      <c r="C212" s="161" t="s">
        <v>610</v>
      </c>
      <c r="E212" t="s">
        <v>607</v>
      </c>
      <c r="F212" t="str">
        <f t="shared" si="0"/>
        <v xml:space="preserve">     Entre 10 y 50 SMLMV </v>
      </c>
    </row>
    <row r="213" spans="1:8" ht="20.25" x14ac:dyDescent="0.3">
      <c r="A213" s="148"/>
      <c r="B213" s="161" t="s">
        <v>632</v>
      </c>
      <c r="C213" s="161" t="s">
        <v>614</v>
      </c>
      <c r="E213" t="s">
        <v>610</v>
      </c>
      <c r="F213" t="str">
        <f t="shared" si="0"/>
        <v xml:space="preserve">     Entre 50 y 100 SMLMV </v>
      </c>
    </row>
    <row r="214" spans="1:8" ht="20.25" x14ac:dyDescent="0.3">
      <c r="A214" s="148"/>
      <c r="B214" s="161" t="s">
        <v>632</v>
      </c>
      <c r="C214" s="161" t="s">
        <v>618</v>
      </c>
      <c r="E214" t="s">
        <v>614</v>
      </c>
      <c r="F214" t="str">
        <f t="shared" si="0"/>
        <v xml:space="preserve">     Entre 100 y 500 SMLMV </v>
      </c>
    </row>
    <row r="215" spans="1:8" ht="20.25" x14ac:dyDescent="0.3">
      <c r="A215" s="148"/>
      <c r="B215" s="161" t="s">
        <v>600</v>
      </c>
      <c r="C215" s="161" t="s">
        <v>604</v>
      </c>
      <c r="E215" t="s">
        <v>618</v>
      </c>
      <c r="F215" t="str">
        <f t="shared" si="0"/>
        <v xml:space="preserve">     Mayor a 500 SMLMV </v>
      </c>
    </row>
    <row r="216" spans="1:8" ht="20.25" x14ac:dyDescent="0.3">
      <c r="A216" s="148"/>
      <c r="B216" s="161" t="s">
        <v>600</v>
      </c>
      <c r="C216" s="161" t="s">
        <v>608</v>
      </c>
      <c r="D216" t="s">
        <v>600</v>
      </c>
      <c r="F216" t="str">
        <f t="shared" si="0"/>
        <v>Pérdida Reputacional</v>
      </c>
    </row>
    <row r="217" spans="1:8" ht="20.25" x14ac:dyDescent="0.3">
      <c r="A217" s="148"/>
      <c r="B217" s="161" t="s">
        <v>600</v>
      </c>
      <c r="C217" s="161" t="s">
        <v>611</v>
      </c>
      <c r="E217" t="s">
        <v>604</v>
      </c>
      <c r="F217" t="str">
        <f t="shared" si="0"/>
        <v xml:space="preserve">     El riesgo afecta la imagen de alguna área de la organización</v>
      </c>
    </row>
    <row r="218" spans="1:8" ht="20.25" x14ac:dyDescent="0.3">
      <c r="A218" s="148"/>
      <c r="B218" s="161" t="s">
        <v>600</v>
      </c>
      <c r="C218" s="161" t="s">
        <v>615</v>
      </c>
      <c r="E218" t="s">
        <v>608</v>
      </c>
      <c r="F218" t="str">
        <f t="shared" si="0"/>
        <v xml:space="preserve">     El riesgo afecta la imagen de la entidad internamente, de conocimiento general, nivel interno, de junta dircetiva y accionistas y/o de provedores</v>
      </c>
    </row>
    <row r="219" spans="1:8" ht="20.25" x14ac:dyDescent="0.3">
      <c r="A219" s="148"/>
      <c r="B219" s="161" t="s">
        <v>600</v>
      </c>
      <c r="C219" s="161" t="s">
        <v>619</v>
      </c>
      <c r="E219" t="s">
        <v>611</v>
      </c>
      <c r="F219" t="str">
        <f t="shared" si="0"/>
        <v xml:space="preserve">     El riesgo afecta la imagen de la entidad con algunos usuarios de relevancia frente al logro de los objetivos</v>
      </c>
    </row>
    <row r="220" spans="1:8" x14ac:dyDescent="0.25">
      <c r="A220" s="148"/>
      <c r="B220" s="162"/>
      <c r="C220" s="162"/>
      <c r="E220" t="s">
        <v>634</v>
      </c>
      <c r="F220" t="str">
        <f t="shared" si="0"/>
        <v xml:space="preserve">     El riesgo afecta la imagen de la entidad con efecto publicitario sostenido a nivel de sector administrativo, nivel departamental o municipal</v>
      </c>
    </row>
    <row r="221" spans="1:8" x14ac:dyDescent="0.25">
      <c r="A221" s="148"/>
      <c r="B221" s="162" t="str">
        <f ca="1">IFERROR(__xludf.DUMMYFUNCTION("ARRAY_CONSTRAIN(ARRAYFORMULA(UNIQUE('Tabla Impacto'!$B$209:$B$219)), 3, 1)"),"Criterios")</f>
        <v>Criterios</v>
      </c>
      <c r="C221" s="162"/>
      <c r="E221" t="s">
        <v>619</v>
      </c>
      <c r="F221" t="str">
        <f t="shared" si="0"/>
        <v xml:space="preserve">     El riesgo afecta la imagen de la entidad a nivel nacional, con efecto publicitarios sostenible a nivel país</v>
      </c>
    </row>
    <row r="222" spans="1:8" x14ac:dyDescent="0.25">
      <c r="A222" s="148"/>
      <c r="B222" s="162" t="str">
        <f ca="1">IFERROR(__xludf.DUMMYFUNCTION("""COMPUTED_VALUE"""),"Afectación Económica o presupuestal")</f>
        <v>Afectación Económica o presupuestal</v>
      </c>
      <c r="C222" s="162"/>
    </row>
    <row r="223" spans="1:8" x14ac:dyDescent="0.25">
      <c r="B223" s="162" t="str">
        <f ca="1">IFERROR(__xludf.DUMMYFUNCTION("""COMPUTED_VALUE"""),"Pérdida Reputacional")</f>
        <v>Pérdida Reputacional</v>
      </c>
      <c r="C223" s="162"/>
      <c r="F223" s="17" t="s">
        <v>635</v>
      </c>
    </row>
    <row r="224" spans="1:8" x14ac:dyDescent="0.25">
      <c r="B224" s="148"/>
      <c r="C224" s="148"/>
      <c r="F224" s="17" t="s">
        <v>636</v>
      </c>
    </row>
    <row r="225" spans="2:4" x14ac:dyDescent="0.25">
      <c r="B225" s="148"/>
      <c r="C225" s="148"/>
    </row>
    <row r="226" spans="2:4" x14ac:dyDescent="0.25">
      <c r="B226" s="148"/>
      <c r="C226" s="148"/>
    </row>
    <row r="227" spans="2:4" x14ac:dyDescent="0.25">
      <c r="B227" s="148"/>
      <c r="C227" s="148"/>
      <c r="D227" s="148"/>
    </row>
    <row r="228" spans="2:4" x14ac:dyDescent="0.25">
      <c r="B228" s="148"/>
      <c r="C228" s="148"/>
      <c r="D228" s="148"/>
    </row>
    <row r="229" spans="2:4" x14ac:dyDescent="0.25">
      <c r="B229" s="148"/>
      <c r="C229" s="148"/>
      <c r="D229" s="148"/>
    </row>
    <row r="230" spans="2:4" x14ac:dyDescent="0.25">
      <c r="B230" s="148"/>
      <c r="C230" s="148"/>
      <c r="D230" s="148"/>
    </row>
    <row r="231" spans="2:4" x14ac:dyDescent="0.25">
      <c r="B231" s="148"/>
      <c r="C231" s="148"/>
      <c r="D231" s="148"/>
    </row>
    <row r="232" spans="2:4" x14ac:dyDescent="0.25">
      <c r="B232" s="148"/>
      <c r="C232" s="148"/>
      <c r="D232" s="148"/>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2"/>
    <col min="3" max="3" width="17" style="62" customWidth="1"/>
    <col min="4" max="4" width="14.28515625" style="62"/>
    <col min="5" max="5" width="46" style="62" customWidth="1"/>
    <col min="6" max="16384" width="14.28515625" style="62"/>
  </cols>
  <sheetData>
    <row r="1" spans="2:6" ht="24" customHeight="1" thickBot="1" x14ac:dyDescent="0.25">
      <c r="B1" s="685" t="s">
        <v>637</v>
      </c>
      <c r="C1" s="686"/>
      <c r="D1" s="686"/>
      <c r="E1" s="686"/>
      <c r="F1" s="687"/>
    </row>
    <row r="2" spans="2:6" ht="16.5" thickBot="1" x14ac:dyDescent="0.3">
      <c r="B2" s="63"/>
      <c r="C2" s="63"/>
      <c r="D2" s="63"/>
      <c r="E2" s="63"/>
      <c r="F2" s="63"/>
    </row>
    <row r="3" spans="2:6" ht="16.5" thickBot="1" x14ac:dyDescent="0.25">
      <c r="B3" s="689" t="s">
        <v>638</v>
      </c>
      <c r="C3" s="690"/>
      <c r="D3" s="690"/>
      <c r="E3" s="75" t="s">
        <v>639</v>
      </c>
      <c r="F3" s="76" t="s">
        <v>640</v>
      </c>
    </row>
    <row r="4" spans="2:6" ht="31.5" x14ac:dyDescent="0.2">
      <c r="B4" s="691" t="s">
        <v>641</v>
      </c>
      <c r="C4" s="693" t="s">
        <v>70</v>
      </c>
      <c r="D4" s="64" t="s">
        <v>203</v>
      </c>
      <c r="E4" s="65" t="s">
        <v>642</v>
      </c>
      <c r="F4" s="66">
        <v>0.25</v>
      </c>
    </row>
    <row r="5" spans="2:6" ht="47.25" x14ac:dyDescent="0.2">
      <c r="B5" s="692"/>
      <c r="C5" s="694"/>
      <c r="D5" s="67" t="s">
        <v>270</v>
      </c>
      <c r="E5" s="68" t="s">
        <v>643</v>
      </c>
      <c r="F5" s="69">
        <v>0.15</v>
      </c>
    </row>
    <row r="6" spans="2:6" ht="47.25" x14ac:dyDescent="0.2">
      <c r="B6" s="692"/>
      <c r="C6" s="694"/>
      <c r="D6" s="67" t="s">
        <v>644</v>
      </c>
      <c r="E6" s="68" t="s">
        <v>645</v>
      </c>
      <c r="F6" s="69">
        <v>0.1</v>
      </c>
    </row>
    <row r="7" spans="2:6" ht="63" x14ac:dyDescent="0.2">
      <c r="B7" s="692"/>
      <c r="C7" s="694" t="s">
        <v>190</v>
      </c>
      <c r="D7" s="67" t="s">
        <v>646</v>
      </c>
      <c r="E7" s="68" t="s">
        <v>647</v>
      </c>
      <c r="F7" s="69">
        <v>0.25</v>
      </c>
    </row>
    <row r="8" spans="2:6" ht="31.5" x14ac:dyDescent="0.2">
      <c r="B8" s="692"/>
      <c r="C8" s="694"/>
      <c r="D8" s="67" t="s">
        <v>204</v>
      </c>
      <c r="E8" s="68" t="s">
        <v>648</v>
      </c>
      <c r="F8" s="69">
        <v>0.15</v>
      </c>
    </row>
    <row r="9" spans="2:6" ht="47.25" x14ac:dyDescent="0.2">
      <c r="B9" s="692" t="s">
        <v>649</v>
      </c>
      <c r="C9" s="694" t="s">
        <v>192</v>
      </c>
      <c r="D9" s="67" t="s">
        <v>205</v>
      </c>
      <c r="E9" s="68" t="s">
        <v>650</v>
      </c>
      <c r="F9" s="70" t="s">
        <v>651</v>
      </c>
    </row>
    <row r="10" spans="2:6" ht="63" x14ac:dyDescent="0.2">
      <c r="B10" s="692"/>
      <c r="C10" s="694"/>
      <c r="D10" s="67" t="s">
        <v>528</v>
      </c>
      <c r="E10" s="68" t="s">
        <v>652</v>
      </c>
      <c r="F10" s="70" t="s">
        <v>651</v>
      </c>
    </row>
    <row r="11" spans="2:6" ht="47.25" x14ac:dyDescent="0.2">
      <c r="B11" s="692"/>
      <c r="C11" s="694" t="s">
        <v>193</v>
      </c>
      <c r="D11" s="67" t="s">
        <v>206</v>
      </c>
      <c r="E11" s="68" t="s">
        <v>653</v>
      </c>
      <c r="F11" s="70" t="s">
        <v>651</v>
      </c>
    </row>
    <row r="12" spans="2:6" ht="47.25" x14ac:dyDescent="0.2">
      <c r="B12" s="692"/>
      <c r="C12" s="694"/>
      <c r="D12" s="67" t="s">
        <v>654</v>
      </c>
      <c r="E12" s="68" t="s">
        <v>655</v>
      </c>
      <c r="F12" s="70" t="s">
        <v>651</v>
      </c>
    </row>
    <row r="13" spans="2:6" ht="31.5" x14ac:dyDescent="0.2">
      <c r="B13" s="692"/>
      <c r="C13" s="694" t="s">
        <v>175</v>
      </c>
      <c r="D13" s="67" t="s">
        <v>656</v>
      </c>
      <c r="E13" s="68" t="s">
        <v>657</v>
      </c>
      <c r="F13" s="70" t="s">
        <v>651</v>
      </c>
    </row>
    <row r="14" spans="2:6" ht="32.25" thickBot="1" x14ac:dyDescent="0.25">
      <c r="B14" s="695"/>
      <c r="C14" s="696"/>
      <c r="D14" s="71" t="s">
        <v>658</v>
      </c>
      <c r="E14" s="72" t="s">
        <v>659</v>
      </c>
      <c r="F14" s="73" t="s">
        <v>651</v>
      </c>
    </row>
    <row r="15" spans="2:6" ht="49.5" customHeight="1" x14ac:dyDescent="0.2">
      <c r="B15" s="688" t="s">
        <v>660</v>
      </c>
      <c r="C15" s="688"/>
      <c r="D15" s="688"/>
      <c r="E15" s="688"/>
      <c r="F15" s="688"/>
    </row>
    <row r="16" spans="2:6" ht="27" customHeight="1" x14ac:dyDescent="0.25">
      <c r="B16" s="7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06" customWidth="1"/>
    <col min="2" max="2" width="155.5703125" style="106" customWidth="1"/>
    <col min="3" max="16384" width="11.42578125" style="106"/>
  </cols>
  <sheetData>
    <row r="1" spans="1:2" ht="17.25" thickBot="1" x14ac:dyDescent="0.35">
      <c r="A1" s="104" t="s">
        <v>661</v>
      </c>
      <c r="B1" s="105" t="s">
        <v>662</v>
      </c>
    </row>
    <row r="2" spans="1:2" ht="41.25" customHeight="1" x14ac:dyDescent="0.3">
      <c r="A2" s="107" t="s">
        <v>523</v>
      </c>
      <c r="B2" s="108" t="s">
        <v>663</v>
      </c>
    </row>
    <row r="3" spans="1:2" x14ac:dyDescent="0.3">
      <c r="A3" s="109" t="s">
        <v>664</v>
      </c>
      <c r="B3" s="110" t="s">
        <v>665</v>
      </c>
    </row>
    <row r="4" spans="1:2" x14ac:dyDescent="0.3">
      <c r="A4" s="109" t="s">
        <v>666</v>
      </c>
      <c r="B4" s="111" t="s">
        <v>667</v>
      </c>
    </row>
    <row r="5" spans="1:2" ht="31.5" customHeight="1" x14ac:dyDescent="0.3">
      <c r="A5" s="109" t="s">
        <v>668</v>
      </c>
      <c r="B5" s="110" t="s">
        <v>669</v>
      </c>
    </row>
    <row r="6" spans="1:2" ht="25.5" x14ac:dyDescent="0.3">
      <c r="A6" s="109" t="s">
        <v>670</v>
      </c>
      <c r="B6" s="110" t="s">
        <v>671</v>
      </c>
    </row>
    <row r="7" spans="1:2" ht="33.75" customHeight="1" x14ac:dyDescent="0.3">
      <c r="A7" s="109" t="s">
        <v>672</v>
      </c>
      <c r="B7" s="110" t="s">
        <v>673</v>
      </c>
    </row>
    <row r="8" spans="1:2" ht="25.5" x14ac:dyDescent="0.3">
      <c r="A8" s="109" t="s">
        <v>674</v>
      </c>
      <c r="B8" s="110" t="s">
        <v>675</v>
      </c>
    </row>
    <row r="9" spans="1:2" ht="17.25" thickBot="1" x14ac:dyDescent="0.35">
      <c r="A9" s="112" t="s">
        <v>676</v>
      </c>
      <c r="B9" s="113" t="s">
        <v>677</v>
      </c>
    </row>
    <row r="10" spans="1:2" ht="17.25" thickBot="1" x14ac:dyDescent="0.35"/>
    <row r="11" spans="1:2" x14ac:dyDescent="0.3">
      <c r="A11" s="700" t="s">
        <v>678</v>
      </c>
      <c r="B11" s="701"/>
    </row>
    <row r="12" spans="1:2" ht="17.25" thickBot="1" x14ac:dyDescent="0.35">
      <c r="A12" s="114" t="s">
        <v>679</v>
      </c>
      <c r="B12" s="115" t="s">
        <v>680</v>
      </c>
    </row>
    <row r="13" spans="1:2" x14ac:dyDescent="0.3">
      <c r="A13" s="702" t="s">
        <v>681</v>
      </c>
      <c r="B13" s="116" t="s">
        <v>682</v>
      </c>
    </row>
    <row r="14" spans="1:2" ht="17.25" thickBot="1" x14ac:dyDescent="0.35">
      <c r="A14" s="703"/>
      <c r="B14" s="117" t="s">
        <v>683</v>
      </c>
    </row>
    <row r="15" spans="1:2" x14ac:dyDescent="0.3">
      <c r="A15" s="704" t="s">
        <v>684</v>
      </c>
      <c r="B15" s="116" t="s">
        <v>685</v>
      </c>
    </row>
    <row r="16" spans="1:2" ht="17.25" thickBot="1" x14ac:dyDescent="0.35">
      <c r="A16" s="705"/>
      <c r="B16" s="117" t="s">
        <v>686</v>
      </c>
    </row>
    <row r="17" spans="1:2" x14ac:dyDescent="0.3">
      <c r="A17" s="697" t="s">
        <v>687</v>
      </c>
      <c r="B17" s="116" t="s">
        <v>688</v>
      </c>
    </row>
    <row r="18" spans="1:2" x14ac:dyDescent="0.3">
      <c r="A18" s="698"/>
      <c r="B18" s="118" t="s">
        <v>689</v>
      </c>
    </row>
    <row r="19" spans="1:2" ht="17.25" thickBot="1" x14ac:dyDescent="0.35">
      <c r="A19" s="699"/>
      <c r="B19" s="117" t="s">
        <v>690</v>
      </c>
    </row>
    <row r="20" spans="1:2" x14ac:dyDescent="0.3">
      <c r="A20" s="704" t="s">
        <v>691</v>
      </c>
      <c r="B20" s="116" t="s">
        <v>692</v>
      </c>
    </row>
    <row r="21" spans="1:2" x14ac:dyDescent="0.3">
      <c r="A21" s="706"/>
      <c r="B21" s="118" t="s">
        <v>693</v>
      </c>
    </row>
    <row r="22" spans="1:2" x14ac:dyDescent="0.3">
      <c r="A22" s="706"/>
      <c r="B22" s="118" t="s">
        <v>694</v>
      </c>
    </row>
    <row r="23" spans="1:2" x14ac:dyDescent="0.3">
      <c r="A23" s="706"/>
      <c r="B23" s="118" t="s">
        <v>695</v>
      </c>
    </row>
    <row r="24" spans="1:2" x14ac:dyDescent="0.3">
      <c r="A24" s="706"/>
      <c r="B24" s="118" t="s">
        <v>524</v>
      </c>
    </row>
    <row r="25" spans="1:2" x14ac:dyDescent="0.3">
      <c r="A25" s="706"/>
      <c r="B25" s="118" t="s">
        <v>696</v>
      </c>
    </row>
    <row r="26" spans="1:2" x14ac:dyDescent="0.3">
      <c r="A26" s="706"/>
      <c r="B26" s="118" t="s">
        <v>697</v>
      </c>
    </row>
    <row r="27" spans="1:2" x14ac:dyDescent="0.3">
      <c r="A27" s="706"/>
      <c r="B27" s="118" t="s">
        <v>698</v>
      </c>
    </row>
    <row r="28" spans="1:2" x14ac:dyDescent="0.3">
      <c r="A28" s="706"/>
      <c r="B28" s="118" t="s">
        <v>699</v>
      </c>
    </row>
    <row r="29" spans="1:2" x14ac:dyDescent="0.3">
      <c r="A29" s="706"/>
      <c r="B29" s="118" t="s">
        <v>700</v>
      </c>
    </row>
    <row r="30" spans="1:2" ht="17.25" thickBot="1" x14ac:dyDescent="0.35">
      <c r="A30" s="705"/>
      <c r="B30" s="117" t="s">
        <v>701</v>
      </c>
    </row>
    <row r="31" spans="1:2" x14ac:dyDescent="0.3">
      <c r="A31" s="697" t="s">
        <v>702</v>
      </c>
      <c r="B31" s="116" t="s">
        <v>703</v>
      </c>
    </row>
    <row r="32" spans="1:2" x14ac:dyDescent="0.3">
      <c r="A32" s="698"/>
      <c r="B32" s="118" t="s">
        <v>704</v>
      </c>
    </row>
    <row r="33" spans="1:2" x14ac:dyDescent="0.3">
      <c r="A33" s="698"/>
      <c r="B33" s="118" t="s">
        <v>705</v>
      </c>
    </row>
    <row r="34" spans="1:2" x14ac:dyDescent="0.3">
      <c r="A34" s="698"/>
      <c r="B34" s="118" t="s">
        <v>706</v>
      </c>
    </row>
    <row r="35" spans="1:2" x14ac:dyDescent="0.3">
      <c r="A35" s="698"/>
      <c r="B35" s="118" t="s">
        <v>707</v>
      </c>
    </row>
    <row r="36" spans="1:2" x14ac:dyDescent="0.3">
      <c r="A36" s="698"/>
      <c r="B36" s="118" t="s">
        <v>708</v>
      </c>
    </row>
    <row r="37" spans="1:2" x14ac:dyDescent="0.3">
      <c r="A37" s="698"/>
      <c r="B37" s="118" t="s">
        <v>709</v>
      </c>
    </row>
    <row r="38" spans="1:2" x14ac:dyDescent="0.3">
      <c r="A38" s="698"/>
      <c r="B38" s="118" t="s">
        <v>710</v>
      </c>
    </row>
    <row r="39" spans="1:2" x14ac:dyDescent="0.3">
      <c r="A39" s="698"/>
      <c r="B39" s="118" t="s">
        <v>711</v>
      </c>
    </row>
    <row r="40" spans="1:2" x14ac:dyDescent="0.3">
      <c r="A40" s="698"/>
      <c r="B40" s="118" t="s">
        <v>712</v>
      </c>
    </row>
    <row r="41" spans="1:2" x14ac:dyDescent="0.3">
      <c r="A41" s="698"/>
      <c r="B41" s="118" t="s">
        <v>713</v>
      </c>
    </row>
    <row r="42" spans="1:2" x14ac:dyDescent="0.3">
      <c r="A42" s="698"/>
      <c r="B42" s="118" t="s">
        <v>714</v>
      </c>
    </row>
    <row r="43" spans="1:2" x14ac:dyDescent="0.3">
      <c r="A43" s="698"/>
      <c r="B43" s="118" t="s">
        <v>715</v>
      </c>
    </row>
    <row r="44" spans="1:2" x14ac:dyDescent="0.3">
      <c r="A44" s="698"/>
      <c r="B44" s="118" t="s">
        <v>716</v>
      </c>
    </row>
    <row r="45" spans="1:2" ht="17.25" thickBot="1" x14ac:dyDescent="0.35">
      <c r="A45" s="699"/>
      <c r="B45" s="117" t="s">
        <v>717</v>
      </c>
    </row>
    <row r="46" spans="1:2" x14ac:dyDescent="0.3">
      <c r="A46" s="697" t="s">
        <v>718</v>
      </c>
      <c r="B46" s="116" t="s">
        <v>719</v>
      </c>
    </row>
    <row r="47" spans="1:2" ht="17.25" thickBot="1" x14ac:dyDescent="0.35">
      <c r="A47" s="699"/>
      <c r="B47" s="117" t="s">
        <v>720</v>
      </c>
    </row>
    <row r="48" spans="1:2" x14ac:dyDescent="0.3">
      <c r="A48" s="702" t="s">
        <v>721</v>
      </c>
      <c r="B48" s="119" t="s">
        <v>535</v>
      </c>
    </row>
    <row r="49" spans="1:2" ht="17.25" thickBot="1" x14ac:dyDescent="0.35">
      <c r="A49" s="703"/>
      <c r="B49" s="120" t="s">
        <v>722</v>
      </c>
    </row>
    <row r="50" spans="1:2" x14ac:dyDescent="0.3">
      <c r="A50" s="707" t="s">
        <v>723</v>
      </c>
      <c r="B50" s="119" t="s">
        <v>724</v>
      </c>
    </row>
    <row r="51" spans="1:2" ht="17.25" thickBot="1" x14ac:dyDescent="0.35">
      <c r="A51" s="708"/>
      <c r="B51" s="120" t="s">
        <v>725</v>
      </c>
    </row>
    <row r="52" spans="1:2" ht="17.25" thickBot="1" x14ac:dyDescent="0.35"/>
    <row r="53" spans="1:2" x14ac:dyDescent="0.3">
      <c r="A53" s="700" t="s">
        <v>726</v>
      </c>
      <c r="B53" s="701"/>
    </row>
    <row r="54" spans="1:2" ht="17.25" thickBot="1" x14ac:dyDescent="0.35">
      <c r="A54" s="114" t="s">
        <v>679</v>
      </c>
      <c r="B54" s="121" t="s">
        <v>727</v>
      </c>
    </row>
    <row r="55" spans="1:2" x14ac:dyDescent="0.3">
      <c r="A55" s="704" t="s">
        <v>132</v>
      </c>
      <c r="B55" s="119" t="s">
        <v>728</v>
      </c>
    </row>
    <row r="56" spans="1:2" x14ac:dyDescent="0.3">
      <c r="A56" s="706"/>
      <c r="B56" s="122" t="s">
        <v>729</v>
      </c>
    </row>
    <row r="57" spans="1:2" x14ac:dyDescent="0.3">
      <c r="A57" s="706"/>
      <c r="B57" s="122" t="s">
        <v>730</v>
      </c>
    </row>
    <row r="58" spans="1:2" x14ac:dyDescent="0.3">
      <c r="A58" s="706"/>
      <c r="B58" s="122" t="s">
        <v>731</v>
      </c>
    </row>
    <row r="59" spans="1:2" x14ac:dyDescent="0.3">
      <c r="A59" s="706"/>
      <c r="B59" s="122" t="s">
        <v>732</v>
      </c>
    </row>
    <row r="60" spans="1:2" x14ac:dyDescent="0.3">
      <c r="A60" s="706"/>
      <c r="B60" s="122" t="s">
        <v>733</v>
      </c>
    </row>
    <row r="61" spans="1:2" x14ac:dyDescent="0.3">
      <c r="A61" s="706"/>
      <c r="B61" s="122" t="s">
        <v>734</v>
      </c>
    </row>
    <row r="62" spans="1:2" x14ac:dyDescent="0.3">
      <c r="A62" s="706"/>
      <c r="B62" s="122" t="s">
        <v>735</v>
      </c>
    </row>
    <row r="63" spans="1:2" x14ac:dyDescent="0.3">
      <c r="A63" s="706"/>
      <c r="B63" s="122" t="s">
        <v>736</v>
      </c>
    </row>
    <row r="64" spans="1:2" x14ac:dyDescent="0.3">
      <c r="A64" s="706"/>
      <c r="B64" s="122" t="s">
        <v>737</v>
      </c>
    </row>
    <row r="65" spans="1:2" x14ac:dyDescent="0.3">
      <c r="A65" s="706"/>
      <c r="B65" s="122" t="s">
        <v>738</v>
      </c>
    </row>
    <row r="66" spans="1:2" x14ac:dyDescent="0.3">
      <c r="A66" s="706"/>
      <c r="B66" s="122" t="s">
        <v>525</v>
      </c>
    </row>
    <row r="67" spans="1:2" x14ac:dyDescent="0.3">
      <c r="A67" s="706"/>
      <c r="B67" s="122" t="s">
        <v>739</v>
      </c>
    </row>
    <row r="68" spans="1:2" ht="17.25" thickBot="1" x14ac:dyDescent="0.35">
      <c r="A68" s="705"/>
      <c r="B68" s="120" t="s">
        <v>740</v>
      </c>
    </row>
    <row r="69" spans="1:2" x14ac:dyDescent="0.3">
      <c r="A69" s="704" t="s">
        <v>741</v>
      </c>
      <c r="B69" s="119" t="s">
        <v>742</v>
      </c>
    </row>
    <row r="70" spans="1:2" x14ac:dyDescent="0.3">
      <c r="A70" s="706"/>
      <c r="B70" s="122" t="s">
        <v>743</v>
      </c>
    </row>
    <row r="71" spans="1:2" x14ac:dyDescent="0.3">
      <c r="A71" s="706"/>
      <c r="B71" s="122" t="s">
        <v>744</v>
      </c>
    </row>
    <row r="72" spans="1:2" x14ac:dyDescent="0.3">
      <c r="A72" s="706"/>
      <c r="B72" s="122" t="s">
        <v>745</v>
      </c>
    </row>
    <row r="73" spans="1:2" x14ac:dyDescent="0.3">
      <c r="A73" s="706"/>
      <c r="B73" s="122" t="s">
        <v>746</v>
      </c>
    </row>
    <row r="74" spans="1:2" x14ac:dyDescent="0.3">
      <c r="A74" s="706"/>
      <c r="B74" s="122" t="s">
        <v>747</v>
      </c>
    </row>
    <row r="75" spans="1:2" x14ac:dyDescent="0.3">
      <c r="A75" s="706"/>
      <c r="B75" s="122" t="s">
        <v>748</v>
      </c>
    </row>
    <row r="76" spans="1:2" x14ac:dyDescent="0.3">
      <c r="A76" s="706"/>
      <c r="B76" s="122" t="s">
        <v>749</v>
      </c>
    </row>
    <row r="77" spans="1:2" x14ac:dyDescent="0.3">
      <c r="A77" s="706"/>
      <c r="B77" s="122" t="s">
        <v>750</v>
      </c>
    </row>
    <row r="78" spans="1:2" x14ac:dyDescent="0.3">
      <c r="A78" s="706"/>
      <c r="B78" s="122" t="s">
        <v>751</v>
      </c>
    </row>
    <row r="79" spans="1:2" x14ac:dyDescent="0.3">
      <c r="A79" s="706"/>
      <c r="B79" s="122" t="s">
        <v>752</v>
      </c>
    </row>
    <row r="80" spans="1:2" x14ac:dyDescent="0.3">
      <c r="A80" s="706"/>
      <c r="B80" s="122" t="s">
        <v>753</v>
      </c>
    </row>
    <row r="81" spans="1:2" x14ac:dyDescent="0.3">
      <c r="A81" s="706"/>
      <c r="B81" s="122" t="s">
        <v>754</v>
      </c>
    </row>
    <row r="82" spans="1:2" x14ac:dyDescent="0.3">
      <c r="A82" s="706"/>
      <c r="B82" s="122" t="s">
        <v>755</v>
      </c>
    </row>
    <row r="83" spans="1:2" x14ac:dyDescent="0.3">
      <c r="A83" s="706"/>
      <c r="B83" s="122" t="s">
        <v>756</v>
      </c>
    </row>
    <row r="84" spans="1:2" ht="17.25" thickBot="1" x14ac:dyDescent="0.35">
      <c r="A84" s="705"/>
      <c r="B84" s="120" t="s">
        <v>757</v>
      </c>
    </row>
    <row r="85" spans="1:2" x14ac:dyDescent="0.3">
      <c r="A85" s="704" t="s">
        <v>758</v>
      </c>
      <c r="B85" s="119" t="s">
        <v>759</v>
      </c>
    </row>
    <row r="86" spans="1:2" x14ac:dyDescent="0.3">
      <c r="A86" s="706"/>
      <c r="B86" s="122" t="s">
        <v>760</v>
      </c>
    </row>
    <row r="87" spans="1:2" x14ac:dyDescent="0.3">
      <c r="A87" s="706"/>
      <c r="B87" s="122" t="s">
        <v>761</v>
      </c>
    </row>
    <row r="88" spans="1:2" x14ac:dyDescent="0.3">
      <c r="A88" s="706"/>
      <c r="B88" s="122" t="s">
        <v>762</v>
      </c>
    </row>
    <row r="89" spans="1:2" x14ac:dyDescent="0.3">
      <c r="A89" s="706"/>
      <c r="B89" s="122" t="s">
        <v>763</v>
      </c>
    </row>
    <row r="90" spans="1:2" ht="16.5" customHeight="1" x14ac:dyDescent="0.3">
      <c r="A90" s="706"/>
      <c r="B90" s="123" t="s">
        <v>764</v>
      </c>
    </row>
    <row r="91" spans="1:2" ht="17.25" thickBot="1" x14ac:dyDescent="0.35">
      <c r="A91" s="705"/>
      <c r="B91" s="120" t="s">
        <v>765</v>
      </c>
    </row>
    <row r="92" spans="1:2" x14ac:dyDescent="0.3">
      <c r="A92" s="704" t="s">
        <v>83</v>
      </c>
      <c r="B92" s="119" t="s">
        <v>766</v>
      </c>
    </row>
    <row r="93" spans="1:2" ht="15" customHeight="1" x14ac:dyDescent="0.3">
      <c r="A93" s="706"/>
      <c r="B93" s="123" t="s">
        <v>767</v>
      </c>
    </row>
    <row r="94" spans="1:2" ht="16.5" customHeight="1" x14ac:dyDescent="0.3">
      <c r="A94" s="706"/>
      <c r="B94" s="123" t="s">
        <v>768</v>
      </c>
    </row>
    <row r="95" spans="1:2" x14ac:dyDescent="0.3">
      <c r="A95" s="706"/>
      <c r="B95" s="122" t="s">
        <v>769</v>
      </c>
    </row>
    <row r="96" spans="1:2" x14ac:dyDescent="0.3">
      <c r="A96" s="706"/>
      <c r="B96" s="122" t="s">
        <v>770</v>
      </c>
    </row>
    <row r="97" spans="1:2" ht="17.25" thickBot="1" x14ac:dyDescent="0.35">
      <c r="A97" s="705"/>
      <c r="B97" s="120" t="s">
        <v>771</v>
      </c>
    </row>
    <row r="98" spans="1:2" x14ac:dyDescent="0.3">
      <c r="A98" s="704" t="s">
        <v>772</v>
      </c>
      <c r="B98" s="124" t="s">
        <v>773</v>
      </c>
    </row>
    <row r="99" spans="1:2" x14ac:dyDescent="0.3">
      <c r="A99" s="706"/>
      <c r="B99" s="122" t="s">
        <v>774</v>
      </c>
    </row>
    <row r="100" spans="1:2" x14ac:dyDescent="0.3">
      <c r="A100" s="706"/>
      <c r="B100" s="122" t="s">
        <v>775</v>
      </c>
    </row>
    <row r="101" spans="1:2" x14ac:dyDescent="0.3">
      <c r="A101" s="706"/>
      <c r="B101" s="122" t="s">
        <v>776</v>
      </c>
    </row>
    <row r="102" spans="1:2" x14ac:dyDescent="0.3">
      <c r="A102" s="706"/>
      <c r="B102" s="122" t="s">
        <v>777</v>
      </c>
    </row>
    <row r="103" spans="1:2" ht="17.25" thickBot="1" x14ac:dyDescent="0.35">
      <c r="A103" s="705"/>
      <c r="B103" s="125" t="s">
        <v>778</v>
      </c>
    </row>
    <row r="104" spans="1:2" x14ac:dyDescent="0.3">
      <c r="A104" s="704" t="s">
        <v>779</v>
      </c>
      <c r="B104" s="124" t="s">
        <v>780</v>
      </c>
    </row>
    <row r="105" spans="1:2" x14ac:dyDescent="0.3">
      <c r="A105" s="706"/>
      <c r="B105" s="122" t="s">
        <v>536</v>
      </c>
    </row>
    <row r="106" spans="1:2" x14ac:dyDescent="0.3">
      <c r="A106" s="706"/>
      <c r="B106" s="122" t="s">
        <v>781</v>
      </c>
    </row>
    <row r="107" spans="1:2" x14ac:dyDescent="0.3">
      <c r="A107" s="706"/>
      <c r="B107" s="122" t="s">
        <v>782</v>
      </c>
    </row>
    <row r="108" spans="1:2" x14ac:dyDescent="0.3">
      <c r="A108" s="706"/>
      <c r="B108" s="122" t="s">
        <v>783</v>
      </c>
    </row>
    <row r="109" spans="1:2" ht="17.25" thickBot="1" x14ac:dyDescent="0.35">
      <c r="A109" s="705"/>
      <c r="B109" s="125" t="s">
        <v>784</v>
      </c>
    </row>
    <row r="110" spans="1:2" ht="17.25" thickBot="1" x14ac:dyDescent="0.35">
      <c r="A110" s="126" t="s">
        <v>785</v>
      </c>
      <c r="B110" s="127" t="s">
        <v>786</v>
      </c>
    </row>
    <row r="111" spans="1:2" ht="15" customHeight="1" x14ac:dyDescent="0.3"/>
    <row r="112" spans="1:2" x14ac:dyDescent="0.3">
      <c r="A112" s="128" t="s">
        <v>787</v>
      </c>
    </row>
    <row r="113" spans="1:1" x14ac:dyDescent="0.3">
      <c r="A113" s="129" t="s">
        <v>788</v>
      </c>
    </row>
    <row r="114" spans="1:1" x14ac:dyDescent="0.3">
      <c r="A114" s="129" t="s">
        <v>789</v>
      </c>
    </row>
    <row r="115" spans="1:1" x14ac:dyDescent="0.3">
      <c r="A115" s="129" t="s">
        <v>526</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790</v>
      </c>
      <c r="E2" t="s">
        <v>369</v>
      </c>
    </row>
    <row r="3" spans="2:5" x14ac:dyDescent="0.25">
      <c r="B3" t="s">
        <v>791</v>
      </c>
      <c r="E3" t="s">
        <v>792</v>
      </c>
    </row>
    <row r="4" spans="2:5" x14ac:dyDescent="0.25">
      <c r="B4" t="s">
        <v>793</v>
      </c>
      <c r="E4" t="s">
        <v>196</v>
      </c>
    </row>
    <row r="5" spans="2:5" x14ac:dyDescent="0.25">
      <c r="B5" t="s">
        <v>208</v>
      </c>
    </row>
    <row r="8" spans="2:5" x14ac:dyDescent="0.25">
      <c r="B8" t="s">
        <v>794</v>
      </c>
    </row>
    <row r="9" spans="2:5" x14ac:dyDescent="0.25">
      <c r="B9" t="s">
        <v>795</v>
      </c>
    </row>
    <row r="10" spans="2:5" x14ac:dyDescent="0.25">
      <c r="B10" t="s">
        <v>796</v>
      </c>
    </row>
    <row r="13" spans="2:5" x14ac:dyDescent="0.25">
      <c r="B13" t="s">
        <v>797</v>
      </c>
    </row>
    <row r="14" spans="2:5" x14ac:dyDescent="0.25">
      <c r="B14" t="s">
        <v>292</v>
      </c>
    </row>
    <row r="15" spans="2:5" x14ac:dyDescent="0.25">
      <c r="B15" t="s">
        <v>798</v>
      </c>
    </row>
    <row r="16" spans="2:5" x14ac:dyDescent="0.25">
      <c r="B16" t="s">
        <v>799</v>
      </c>
    </row>
    <row r="17" spans="2:2" x14ac:dyDescent="0.25">
      <c r="B17" t="s">
        <v>199</v>
      </c>
    </row>
    <row r="20" spans="2:2" x14ac:dyDescent="0.25">
      <c r="B20" t="s">
        <v>796</v>
      </c>
    </row>
    <row r="21" spans="2:2" x14ac:dyDescent="0.25">
      <c r="B21" t="s">
        <v>484</v>
      </c>
    </row>
    <row r="22" spans="2:2" x14ac:dyDescent="0.25">
      <c r="B22" t="s">
        <v>800</v>
      </c>
    </row>
    <row r="24" spans="2:2" x14ac:dyDescent="0.25">
      <c r="B24" t="s">
        <v>801</v>
      </c>
    </row>
    <row r="25" spans="2:2" x14ac:dyDescent="0.25">
      <c r="B25" t="s">
        <v>372</v>
      </c>
    </row>
    <row r="26" spans="2:2" x14ac:dyDescent="0.25">
      <c r="B26" t="s">
        <v>802</v>
      </c>
    </row>
    <row r="27" spans="2:2" x14ac:dyDescent="0.25">
      <c r="B27" t="s">
        <v>803</v>
      </c>
    </row>
    <row r="28" spans="2:2" x14ac:dyDescent="0.25">
      <c r="B28" t="s">
        <v>202</v>
      </c>
    </row>
    <row r="29" spans="2:2" x14ac:dyDescent="0.25">
      <c r="B29" t="s">
        <v>804</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4" customWidth="1"/>
    <col min="2" max="16384" width="11.42578125" style="4"/>
  </cols>
  <sheetData>
    <row r="3" spans="1:1" x14ac:dyDescent="0.2">
      <c r="A3" s="5" t="s">
        <v>203</v>
      </c>
    </row>
    <row r="4" spans="1:1" x14ac:dyDescent="0.2">
      <c r="A4" s="5" t="s">
        <v>270</v>
      </c>
    </row>
    <row r="5" spans="1:1" x14ac:dyDescent="0.2">
      <c r="A5" s="5" t="s">
        <v>644</v>
      </c>
    </row>
    <row r="6" spans="1:1" x14ac:dyDescent="0.2">
      <c r="A6" s="5" t="s">
        <v>646</v>
      </c>
    </row>
    <row r="7" spans="1:1" x14ac:dyDescent="0.2">
      <c r="A7" s="5" t="s">
        <v>204</v>
      </c>
    </row>
    <row r="8" spans="1:1" x14ac:dyDescent="0.2">
      <c r="A8" s="5" t="s">
        <v>205</v>
      </c>
    </row>
    <row r="9" spans="1:1" x14ac:dyDescent="0.2">
      <c r="A9" s="5" t="s">
        <v>528</v>
      </c>
    </row>
    <row r="10" spans="1:1" x14ac:dyDescent="0.2">
      <c r="A10" s="5" t="s">
        <v>206</v>
      </c>
    </row>
    <row r="11" spans="1:1" x14ac:dyDescent="0.2">
      <c r="A11" s="5" t="s">
        <v>654</v>
      </c>
    </row>
    <row r="12" spans="1:1" x14ac:dyDescent="0.2">
      <c r="A12" s="5" t="s">
        <v>207</v>
      </c>
    </row>
    <row r="13" spans="1:1" x14ac:dyDescent="0.2">
      <c r="A13" s="5" t="s">
        <v>538</v>
      </c>
    </row>
    <row r="14" spans="1:1" x14ac:dyDescent="0.2">
      <c r="A14" s="5"/>
    </row>
    <row r="16" spans="1:1" x14ac:dyDescent="0.2">
      <c r="A16" s="5" t="s">
        <v>378</v>
      </c>
    </row>
    <row r="17" spans="1:2" x14ac:dyDescent="0.2">
      <c r="A17" s="5" t="s">
        <v>790</v>
      </c>
    </row>
    <row r="18" spans="1:2" x14ac:dyDescent="0.2">
      <c r="A18" s="5" t="s">
        <v>791</v>
      </c>
    </row>
    <row r="20" spans="1:2" x14ac:dyDescent="0.2">
      <c r="A20" s="5" t="s">
        <v>795</v>
      </c>
    </row>
    <row r="21" spans="1:2" x14ac:dyDescent="0.2">
      <c r="A21" s="5" t="s">
        <v>796</v>
      </c>
    </row>
    <row r="23" spans="1:2" x14ac:dyDescent="0.2">
      <c r="A23" s="4" t="s">
        <v>223</v>
      </c>
    </row>
    <row r="24" spans="1:2" x14ac:dyDescent="0.2">
      <c r="A24" s="4" t="s">
        <v>805</v>
      </c>
    </row>
    <row r="26" spans="1:2" x14ac:dyDescent="0.2">
      <c r="A26" s="94" t="s">
        <v>806</v>
      </c>
      <c r="B26" s="96" t="s">
        <v>807</v>
      </c>
    </row>
    <row r="27" spans="1:2" x14ac:dyDescent="0.2">
      <c r="A27" s="94" t="s">
        <v>808</v>
      </c>
      <c r="B27" s="96" t="s">
        <v>809</v>
      </c>
    </row>
    <row r="28" spans="1:2" ht="25.5" x14ac:dyDescent="0.2">
      <c r="A28" s="94" t="s">
        <v>810</v>
      </c>
      <c r="B28" s="96" t="s">
        <v>811</v>
      </c>
    </row>
    <row r="29" spans="1:2" x14ac:dyDescent="0.2">
      <c r="A29" s="95" t="s">
        <v>72</v>
      </c>
      <c r="B29" s="96" t="s">
        <v>125</v>
      </c>
    </row>
    <row r="30" spans="1:2" x14ac:dyDescent="0.2">
      <c r="A30" s="94" t="s">
        <v>812</v>
      </c>
      <c r="B30" s="96" t="s">
        <v>813</v>
      </c>
    </row>
    <row r="31" spans="1:2" x14ac:dyDescent="0.2">
      <c r="A31" s="94" t="s">
        <v>814</v>
      </c>
      <c r="B31" s="96" t="s">
        <v>815</v>
      </c>
    </row>
    <row r="32" spans="1:2" x14ac:dyDescent="0.2">
      <c r="A32" s="94" t="s">
        <v>816</v>
      </c>
      <c r="B32" s="96" t="s">
        <v>817</v>
      </c>
    </row>
    <row r="33" spans="1:4" x14ac:dyDescent="0.2">
      <c r="A33" s="94" t="s">
        <v>818</v>
      </c>
      <c r="B33" s="96" t="s">
        <v>819</v>
      </c>
    </row>
    <row r="34" spans="1:4" x14ac:dyDescent="0.2">
      <c r="A34" s="94" t="s">
        <v>820</v>
      </c>
      <c r="B34" s="96" t="s">
        <v>821</v>
      </c>
    </row>
    <row r="35" spans="1:4" x14ac:dyDescent="0.2">
      <c r="A35" s="94" t="s">
        <v>822</v>
      </c>
      <c r="B35" s="96" t="s">
        <v>823</v>
      </c>
    </row>
    <row r="36" spans="1:4" x14ac:dyDescent="0.2">
      <c r="A36" s="94" t="s">
        <v>824</v>
      </c>
      <c r="B36" s="96" t="s">
        <v>825</v>
      </c>
    </row>
    <row r="37" spans="1:4" ht="15.75" customHeight="1" x14ac:dyDescent="0.2">
      <c r="A37" s="94" t="s">
        <v>826</v>
      </c>
      <c r="B37" s="96" t="s">
        <v>827</v>
      </c>
    </row>
    <row r="38" spans="1:4" x14ac:dyDescent="0.2">
      <c r="A38" s="94" t="s">
        <v>828</v>
      </c>
      <c r="B38" s="96" t="s">
        <v>829</v>
      </c>
    </row>
    <row r="39" spans="1:4" x14ac:dyDescent="0.2">
      <c r="A39" s="94" t="s">
        <v>830</v>
      </c>
      <c r="B39" s="96" t="s">
        <v>831</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00" t="s">
        <v>459</v>
      </c>
    </row>
    <row r="57" spans="1:4" x14ac:dyDescent="0.2">
      <c r="A57" s="100" t="s">
        <v>374</v>
      </c>
    </row>
    <row r="58" spans="1:4" x14ac:dyDescent="0.2">
      <c r="A58" s="100" t="s">
        <v>832</v>
      </c>
    </row>
    <row r="60" spans="1:4" x14ac:dyDescent="0.2">
      <c r="A60" s="4" t="s">
        <v>376</v>
      </c>
      <c r="B60" s="4" t="s">
        <v>376</v>
      </c>
    </row>
    <row r="61" spans="1:4" x14ac:dyDescent="0.2">
      <c r="A61" s="4" t="s">
        <v>833</v>
      </c>
      <c r="B61" s="4" t="s">
        <v>377</v>
      </c>
    </row>
    <row r="62" spans="1:4" x14ac:dyDescent="0.2">
      <c r="B62" s="4" t="s">
        <v>833</v>
      </c>
    </row>
    <row r="64" spans="1:4" x14ac:dyDescent="0.2">
      <c r="A64" s="4" t="s">
        <v>378</v>
      </c>
    </row>
    <row r="65" spans="1:1" x14ac:dyDescent="0.2">
      <c r="A65" s="4" t="s">
        <v>791</v>
      </c>
    </row>
    <row r="66" spans="1:1" x14ac:dyDescent="0.2">
      <c r="A66" s="4" t="s">
        <v>834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Props1.xml><?xml version="1.0" encoding="utf-8"?>
<ds:datastoreItem xmlns:ds="http://schemas.openxmlformats.org/officeDocument/2006/customXml" ds:itemID="{1438DAC8-567B-47A7-A9F1-3383A4778C40}">
  <ds:schemaRefs>
    <ds:schemaRef ds:uri="http://schemas.microsoft.com/sharepoint/v3/contenttype/forms"/>
  </ds:schemaRefs>
</ds:datastoreItem>
</file>

<file path=customXml/itemProps2.xml><?xml version="1.0" encoding="utf-8"?>
<ds:datastoreItem xmlns:ds="http://schemas.openxmlformats.org/officeDocument/2006/customXml" ds:itemID="{B596C550-85FD-4742-AA99-3A5E600D1F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9D442B-FE55-497D-81D2-4E9398E8E912}">
  <ds:schemaRefs>
    <ds:schemaRef ds:uri="http://schemas.microsoft.com/office/2006/metadata/properties"/>
    <ds:schemaRef ds:uri="http://schemas.microsoft.com/office/infopath/2007/PartnerControls"/>
    <ds:schemaRef ds:uri="d37b1d50-af9c-447b-b1f1-aa01515899c9"/>
    <ds:schemaRef ds:uri="e65ea7b8-1bb6-4105-84f8-2ca17f7851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Mary Palacios Castillo</cp:lastModifiedBy>
  <cp:revision/>
  <dcterms:created xsi:type="dcterms:W3CDTF">2020-03-24T23:12:47Z</dcterms:created>
  <dcterms:modified xsi:type="dcterms:W3CDTF">2024-01-16T21:52:23Z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2022-12-13T15:12:23Z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717a2486-536b-4320-9fff-03872bc07a4b</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