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0"/>
  <workbookPr hidePivotFieldList="1" defaultThemeVersion="124226"/>
  <mc:AlternateContent xmlns:mc="http://schemas.openxmlformats.org/markup-compatibility/2006">
    <mc:Choice Requires="x15">
      <x15ac:absPath xmlns:x15ac="http://schemas.microsoft.com/office/spreadsheetml/2010/11/ac" url="C:\Users\luzma\OneDrive\Escritorio\"/>
    </mc:Choice>
  </mc:AlternateContent>
  <xr:revisionPtr revIDLastSave="482" documentId="13_ncr:1_{90A33AEF-4AAB-4610-9740-CFC837A5BAF1}" xr6:coauthVersionLast="47" xr6:coauthVersionMax="47" xr10:uidLastSave="{1F57B1D5-597A-4555-A655-26BAD8360C93}"/>
  <bookViews>
    <workbookView xWindow="-120" yWindow="-120" windowWidth="21840" windowHeight="13140" firstSheet="4" activeTab="4"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Matriz Calor Inherente" sheetId="18" state="hidden" r:id="rId6"/>
    <sheet name="Matriz Calor Residual" sheetId="19" state="hidden" r:id="rId7"/>
    <sheet name="Tabla probabilidad" sheetId="12" state="hidden" r:id="rId8"/>
    <sheet name="Tabla Impacto" sheetId="13" state="hidden" r:id="rId9"/>
    <sheet name="Tabla Valoración controles" sheetId="15" state="hidden" r:id="rId10"/>
    <sheet name="seguridad info" sheetId="25" state="hidden" r:id="rId11"/>
    <sheet name="Opciones Tratamiento" sheetId="16" state="hidden" r:id="rId12"/>
    <sheet name="Hoja1" sheetId="11" state="hidden" r:id="rId13"/>
    <sheet name="OPORTUNIDADES" sheetId="26"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pivotCaches>
    <pivotCache cacheId="27673"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24" l="1"/>
  <c r="W7" i="24"/>
  <c r="W8" i="24"/>
  <c r="W9" i="24"/>
  <c r="W10" i="24"/>
  <c r="W11" i="24"/>
  <c r="W12" i="24"/>
  <c r="W13" i="24"/>
  <c r="W14" i="24"/>
  <c r="W15" i="24"/>
  <c r="W16" i="24"/>
  <c r="W17" i="24"/>
  <c r="W18" i="24"/>
  <c r="AH18" i="24" s="1"/>
  <c r="W19" i="24"/>
  <c r="W20" i="24"/>
  <c r="W21" i="24"/>
  <c r="W22" i="24"/>
  <c r="AA6" i="22"/>
  <c r="Z6" i="22"/>
  <c r="X6" i="22"/>
  <c r="W6" i="22"/>
  <c r="T9" i="1"/>
  <c r="T10" i="1"/>
  <c r="T7" i="1"/>
  <c r="L5" i="22"/>
  <c r="Q6" i="24"/>
  <c r="Q7" i="24"/>
  <c r="Q8" i="24"/>
  <c r="Q9" i="24"/>
  <c r="Q10" i="24"/>
  <c r="AD6" i="24" l="1"/>
  <c r="AD9" i="24"/>
  <c r="AD10" i="24"/>
  <c r="AD11" i="24"/>
  <c r="AD12" i="24"/>
  <c r="AD14" i="24"/>
  <c r="AD15" i="24"/>
  <c r="AD16" i="24"/>
  <c r="AD17" i="24"/>
  <c r="AD20" i="24"/>
  <c r="AD21" i="24"/>
  <c r="AD22" i="24"/>
  <c r="AD5" i="24"/>
  <c r="T5" i="1"/>
  <c r="Q12" i="24"/>
  <c r="Q13" i="24"/>
  <c r="Q14" i="24"/>
  <c r="Q15" i="24"/>
  <c r="Q16" i="24"/>
  <c r="Q18" i="24"/>
  <c r="Q19" i="24"/>
  <c r="Q20" i="24"/>
  <c r="Q21" i="24"/>
  <c r="Q22" i="24"/>
  <c r="N17" i="24"/>
  <c r="O17" i="24" s="1"/>
  <c r="AH14" i="24"/>
  <c r="N11" i="24"/>
  <c r="O11" i="24" s="1"/>
  <c r="W5" i="24"/>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AK5" i="22"/>
  <c r="AL5" i="22" s="1"/>
  <c r="W5" i="22"/>
  <c r="X5" i="22" s="1"/>
  <c r="Z5" i="22" s="1"/>
  <c r="AA5" i="22" s="1"/>
  <c r="M5" i="22"/>
  <c r="AA64" i="1"/>
  <c r="T64" i="1"/>
  <c r="AA63" i="1"/>
  <c r="T63" i="1"/>
  <c r="AA62" i="1"/>
  <c r="T62" i="1"/>
  <c r="AE63" i="1" s="1"/>
  <c r="AA61" i="1"/>
  <c r="T61" i="1"/>
  <c r="AA60" i="1"/>
  <c r="T60" i="1"/>
  <c r="AI61" i="1" s="1"/>
  <c r="AH61" i="1" s="1"/>
  <c r="AA59" i="1"/>
  <c r="T59" i="1"/>
  <c r="K59" i="1"/>
  <c r="L59" i="1" s="1"/>
  <c r="AA58" i="1"/>
  <c r="T58" i="1"/>
  <c r="AA57" i="1"/>
  <c r="T57" i="1"/>
  <c r="AI58" i="1" s="1"/>
  <c r="AH58" i="1" s="1"/>
  <c r="AA56" i="1"/>
  <c r="T56" i="1"/>
  <c r="AA55" i="1"/>
  <c r="T55" i="1"/>
  <c r="AI56" i="1" s="1"/>
  <c r="AH56" i="1" s="1"/>
  <c r="AA54" i="1"/>
  <c r="T54" i="1"/>
  <c r="AA53" i="1"/>
  <c r="T53" i="1"/>
  <c r="AI54" i="1" s="1"/>
  <c r="AH54" i="1" s="1"/>
  <c r="K53" i="1"/>
  <c r="AA52" i="1"/>
  <c r="T52" i="1"/>
  <c r="AA51" i="1"/>
  <c r="T51" i="1"/>
  <c r="AA50" i="1"/>
  <c r="T50" i="1"/>
  <c r="AA49" i="1"/>
  <c r="T49" i="1"/>
  <c r="AA48" i="1"/>
  <c r="T48" i="1"/>
  <c r="AA47" i="1"/>
  <c r="T47" i="1"/>
  <c r="AE47" i="1" s="1"/>
  <c r="K47" i="1"/>
  <c r="AA46" i="1"/>
  <c r="T46" i="1"/>
  <c r="AA45" i="1"/>
  <c r="T45" i="1"/>
  <c r="AA44" i="1"/>
  <c r="T44" i="1"/>
  <c r="AI45" i="1" s="1"/>
  <c r="AH45" i="1" s="1"/>
  <c r="AA43" i="1"/>
  <c r="T43" i="1"/>
  <c r="AA42" i="1"/>
  <c r="T42" i="1"/>
  <c r="AI43" i="1" s="1"/>
  <c r="AH43" i="1" s="1"/>
  <c r="AA41" i="1"/>
  <c r="T41" i="1"/>
  <c r="K41" i="1"/>
  <c r="AA40" i="1"/>
  <c r="T40" i="1"/>
  <c r="AA39" i="1"/>
  <c r="T39" i="1"/>
  <c r="AA38" i="1"/>
  <c r="T38" i="1"/>
  <c r="AA37" i="1"/>
  <c r="T37" i="1"/>
  <c r="AA36" i="1"/>
  <c r="T36" i="1"/>
  <c r="AI37" i="1" s="1"/>
  <c r="AH37" i="1" s="1"/>
  <c r="AA35" i="1"/>
  <c r="T35" i="1"/>
  <c r="K35" i="1"/>
  <c r="AA34" i="1"/>
  <c r="T34" i="1"/>
  <c r="AA33" i="1"/>
  <c r="T33" i="1"/>
  <c r="AE34" i="1" s="1"/>
  <c r="AA32" i="1"/>
  <c r="T32" i="1"/>
  <c r="AA31" i="1"/>
  <c r="T31" i="1"/>
  <c r="AI32" i="1" s="1"/>
  <c r="AH32" i="1" s="1"/>
  <c r="AA30" i="1"/>
  <c r="T30" i="1"/>
  <c r="AA29" i="1"/>
  <c r="T29" i="1"/>
  <c r="K29" i="1"/>
  <c r="AA28" i="1"/>
  <c r="T28" i="1"/>
  <c r="AA27" i="1"/>
  <c r="T27" i="1"/>
  <c r="AI28" i="1" s="1"/>
  <c r="AH28" i="1" s="1"/>
  <c r="AA26" i="1"/>
  <c r="T26" i="1"/>
  <c r="AA25" i="1"/>
  <c r="T25" i="1"/>
  <c r="AI26" i="1" s="1"/>
  <c r="AH26" i="1" s="1"/>
  <c r="AA24" i="1"/>
  <c r="T24" i="1"/>
  <c r="AA23" i="1"/>
  <c r="T23" i="1"/>
  <c r="AI23" i="1" s="1"/>
  <c r="AH23" i="1" s="1"/>
  <c r="K23" i="1"/>
  <c r="L23" i="1" s="1"/>
  <c r="AA22" i="1"/>
  <c r="T22" i="1"/>
  <c r="AA21" i="1"/>
  <c r="T21" i="1"/>
  <c r="AA20" i="1"/>
  <c r="T20" i="1"/>
  <c r="AI21" i="1" s="1"/>
  <c r="AH21" i="1" s="1"/>
  <c r="AA19" i="1"/>
  <c r="T19" i="1"/>
  <c r="AA18" i="1"/>
  <c r="T18" i="1"/>
  <c r="AA17" i="1"/>
  <c r="T17" i="1"/>
  <c r="K17" i="1"/>
  <c r="L17" i="1" s="1"/>
  <c r="AA16" i="1"/>
  <c r="T16" i="1"/>
  <c r="AA15" i="1"/>
  <c r="T15" i="1"/>
  <c r="AA14" i="1"/>
  <c r="T14" i="1"/>
  <c r="AA13" i="1"/>
  <c r="T13" i="1"/>
  <c r="AA12" i="1"/>
  <c r="T12" i="1"/>
  <c r="AA11" i="1"/>
  <c r="T11" i="1"/>
  <c r="K11" i="1"/>
  <c r="L11" i="1" s="1"/>
  <c r="AA8" i="1"/>
  <c r="T8" i="1"/>
  <c r="AA7" i="1"/>
  <c r="AA6" i="1"/>
  <c r="T6" i="1"/>
  <c r="AA5" i="1"/>
  <c r="K5" i="1"/>
  <c r="L5" i="1" s="1"/>
  <c r="AL21" i="24" l="1"/>
  <c r="AK21" i="24" s="1"/>
  <c r="AH22" i="24"/>
  <c r="AJ22" i="24" s="1"/>
  <c r="AL15" i="24"/>
  <c r="AK15" i="24" s="1"/>
  <c r="AE13" i="1"/>
  <c r="AF13" i="1" s="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H5" i="24"/>
  <c r="AL10" i="24"/>
  <c r="AK10" i="24" s="1"/>
  <c r="AH15" i="24"/>
  <c r="AJ15" i="24" s="1"/>
  <c r="AL22" i="24"/>
  <c r="AK22" i="24" s="1"/>
  <c r="AH11" i="24"/>
  <c r="AJ11" i="24" s="1"/>
  <c r="AH12" i="24" s="1"/>
  <c r="AL14" i="24"/>
  <c r="AK14" i="24" s="1"/>
  <c r="AL16" i="24"/>
  <c r="AK16" i="24" s="1"/>
  <c r="AH17" i="24"/>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E14" i="1"/>
  <c r="AG14" i="1" s="1"/>
  <c r="AE16" i="1"/>
  <c r="AG16" i="1" s="1"/>
  <c r="AI22" i="1"/>
  <c r="AH22" i="1" s="1"/>
  <c r="AE27" i="1"/>
  <c r="AF27" i="1" s="1"/>
  <c r="AE28" i="1"/>
  <c r="AG28" i="1" s="1"/>
  <c r="AE30" i="1"/>
  <c r="AG30" i="1" s="1"/>
  <c r="AI31" i="1"/>
  <c r="AH31" i="1" s="1"/>
  <c r="AI33" i="1"/>
  <c r="AH33" i="1" s="1"/>
  <c r="AI39" i="1"/>
  <c r="AH39" i="1" s="1"/>
  <c r="AE40" i="1"/>
  <c r="AE44" i="1"/>
  <c r="AG44" i="1" s="1"/>
  <c r="AE45" i="1"/>
  <c r="AG45" i="1" s="1"/>
  <c r="AE46" i="1"/>
  <c r="AG46" i="1" s="1"/>
  <c r="AI47" i="1"/>
  <c r="AH47" i="1" s="1"/>
  <c r="AI48" i="1"/>
  <c r="AH48" i="1" s="1"/>
  <c r="AI50" i="1"/>
  <c r="AH50" i="1" s="1"/>
  <c r="AE52" i="1"/>
  <c r="AF52" i="1" s="1"/>
  <c r="AJ52" i="1" s="1"/>
  <c r="AE53" i="1"/>
  <c r="AI53" i="1"/>
  <c r="AH53" i="1" s="1"/>
  <c r="AI55" i="1"/>
  <c r="AH55" i="1" s="1"/>
  <c r="AE54" i="1"/>
  <c r="AE57" i="1"/>
  <c r="AG57" i="1" s="1"/>
  <c r="AE59" i="1"/>
  <c r="AG59" i="1" s="1"/>
  <c r="AI59" i="1"/>
  <c r="AH59" i="1" s="1"/>
  <c r="AE60" i="1"/>
  <c r="AG60" i="1" s="1"/>
  <c r="AE61" i="1"/>
  <c r="AG61" i="1" s="1"/>
  <c r="AE62" i="1"/>
  <c r="AG62" i="1" s="1"/>
  <c r="AI64" i="1"/>
  <c r="AH64" i="1" s="1"/>
  <c r="AJ14" i="24"/>
  <c r="AI14" i="24"/>
  <c r="AH16" i="24"/>
  <c r="AH10" i="24"/>
  <c r="AH21" i="24"/>
  <c r="AH9"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30" i="1"/>
  <c r="AG52" i="1"/>
  <c r="AG63" i="1"/>
  <c r="AF63" i="1"/>
  <c r="AF47" i="1"/>
  <c r="AG47" i="1"/>
  <c r="AF31" i="1"/>
  <c r="AG31" i="1"/>
  <c r="AF34" i="1"/>
  <c r="AG34" i="1"/>
  <c r="AF17" i="1"/>
  <c r="AF51" i="1"/>
  <c r="AG51" i="1"/>
  <c r="AG13" i="1"/>
  <c r="AE18" i="1"/>
  <c r="AE22" i="1"/>
  <c r="AF24" i="1"/>
  <c r="AE39" i="1"/>
  <c r="AE56" i="1"/>
  <c r="AI63" i="1"/>
  <c r="AH63" i="1" s="1"/>
  <c r="AI34" i="1"/>
  <c r="AH34" i="1" s="1"/>
  <c r="AI51" i="1"/>
  <c r="AH51" i="1" s="1"/>
  <c r="L53" i="1"/>
  <c r="AE33" i="1"/>
  <c r="AI24" i="1"/>
  <c r="AH24" i="1" s="1"/>
  <c r="AE38" i="1"/>
  <c r="L47" i="1"/>
  <c r="AE55" i="1"/>
  <c r="AF61" i="1"/>
  <c r="AJ61" i="1" s="1"/>
  <c r="AE21" i="1"/>
  <c r="AE11" i="1"/>
  <c r="AE15" i="1"/>
  <c r="AI18" i="1"/>
  <c r="AH18" i="1" s="1"/>
  <c r="AE32" i="1"/>
  <c r="L41" i="1"/>
  <c r="AE49" i="1"/>
  <c r="AI12" i="1"/>
  <c r="AH12" i="1" s="1"/>
  <c r="AE26" i="1"/>
  <c r="AI29" i="1"/>
  <c r="AH29" i="1" s="1"/>
  <c r="AE43" i="1"/>
  <c r="AE64" i="1"/>
  <c r="AE50" i="1"/>
  <c r="AI13" i="1"/>
  <c r="AH13" i="1" s="1"/>
  <c r="AE20" i="1"/>
  <c r="L29" i="1"/>
  <c r="AE37" i="1"/>
  <c r="AE58" i="1"/>
  <c r="AI30" i="1"/>
  <c r="AH30" i="1" s="1"/>
  <c r="AE48" i="1"/>
  <c r="AE12" i="1"/>
  <c r="AE29" i="1"/>
  <c r="AE19" i="1"/>
  <c r="AJ47" i="1" l="1"/>
  <c r="AF57" i="1"/>
  <c r="AJ57" i="1" s="1"/>
  <c r="AI22" i="24"/>
  <c r="AM22" i="24" s="1"/>
  <c r="AF16" i="1"/>
  <c r="AJ16" i="1"/>
  <c r="AF14" i="1"/>
  <c r="AJ14" i="1" s="1"/>
  <c r="AJ27" i="1"/>
  <c r="AF42" i="1"/>
  <c r="AJ42" i="1" s="1"/>
  <c r="AG27" i="1"/>
  <c r="AF45" i="1"/>
  <c r="AJ45" i="1" s="1"/>
  <c r="AM14" i="24"/>
  <c r="AI15" i="24"/>
  <c r="AM15" i="24" s="1"/>
  <c r="AJ31" i="1"/>
  <c r="AI11" i="24"/>
  <c r="AG5" i="1"/>
  <c r="AE6" i="1" s="1"/>
  <c r="AI5" i="24"/>
  <c r="AJ5" i="24"/>
  <c r="AH6" i="24" s="1"/>
  <c r="AJ6" i="24" s="1"/>
  <c r="AH7" i="24" s="1"/>
  <c r="AJ17" i="24"/>
  <c r="AJ18" i="24" s="1"/>
  <c r="AH19" i="24" s="1"/>
  <c r="AI19" i="24" s="1"/>
  <c r="AI17" i="24"/>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16" i="24"/>
  <c r="AI16" i="24"/>
  <c r="AM16" i="24" s="1"/>
  <c r="AJ12" i="24"/>
  <c r="AH13" i="24" s="1"/>
  <c r="AJ13" i="24" s="1"/>
  <c r="AI12" i="24"/>
  <c r="AJ9" i="24"/>
  <c r="AI9" i="24"/>
  <c r="AM9" i="24" s="1"/>
  <c r="AJ10" i="24"/>
  <c r="AI10" i="24"/>
  <c r="AM10" i="24" s="1"/>
  <c r="AJ21" i="24"/>
  <c r="AI21" i="24"/>
  <c r="AM21" i="24" s="1"/>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39" i="1"/>
  <c r="AF39" i="1"/>
  <c r="AJ39" i="1" s="1"/>
  <c r="AG6" i="1"/>
  <c r="AE7" i="1" s="1"/>
  <c r="AF6" i="1"/>
  <c r="AG38" i="1"/>
  <c r="AF38" i="1"/>
  <c r="AJ38" i="1" s="1"/>
  <c r="AJ19" i="24" l="1"/>
  <c r="AH20" i="24" s="1"/>
  <c r="AG7" i="1"/>
  <c r="AE8" i="1" s="1"/>
  <c r="AF7" i="1"/>
  <c r="AI7" i="24"/>
  <c r="AJ7" i="24"/>
  <c r="AH8" i="24" s="1"/>
  <c r="AI6" i="24"/>
  <c r="AI18" i="24"/>
  <c r="AI13" i="24"/>
  <c r="D49" i="11"/>
  <c r="C49" i="11"/>
  <c r="D48" i="11"/>
  <c r="D47" i="11"/>
  <c r="C48" i="11"/>
  <c r="C47" i="11"/>
  <c r="AJ20" i="24" l="1"/>
  <c r="AI20" i="24"/>
  <c r="AJ8" i="24"/>
  <c r="AI8" i="24"/>
  <c r="AF8" i="1"/>
  <c r="AG8" i="1"/>
  <c r="AE9" i="1" s="1"/>
  <c r="F221" i="13"/>
  <c r="F211" i="13"/>
  <c r="F212" i="13"/>
  <c r="F213" i="13"/>
  <c r="F214" i="13"/>
  <c r="F215" i="13"/>
  <c r="F216" i="13"/>
  <c r="F217" i="13"/>
  <c r="F218" i="13"/>
  <c r="F219" i="13"/>
  <c r="F220" i="13"/>
  <c r="F210" i="13"/>
  <c r="B221" i="13" a="1"/>
  <c r="AF9" i="1" l="1"/>
  <c r="AG9" i="1"/>
  <c r="AE10" i="1" s="1"/>
  <c r="B221" i="13"/>
  <c r="Q5" i="24" s="1"/>
  <c r="AF10" i="1" l="1"/>
  <c r="AG10" i="1"/>
  <c r="N23" i="1"/>
  <c r="O23" i="1" s="1"/>
  <c r="N11" i="1"/>
  <c r="O11" i="1" s="1"/>
  <c r="N35" i="1"/>
  <c r="O35" i="1" s="1"/>
  <c r="N59" i="1"/>
  <c r="O59" i="1" s="1"/>
  <c r="N47" i="1"/>
  <c r="O47" i="1" s="1"/>
  <c r="R5" i="24"/>
  <c r="N53" i="1"/>
  <c r="O53" i="1" s="1"/>
  <c r="Q17" i="24"/>
  <c r="R17"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P41" i="1" l="1"/>
  <c r="Q41" i="1"/>
  <c r="P29" i="1"/>
  <c r="Q29" i="1"/>
  <c r="Q17" i="1"/>
  <c r="P17" i="1"/>
  <c r="AI17" i="1" s="1"/>
  <c r="AH17" i="1" s="1"/>
  <c r="AJ17" i="1" s="1"/>
  <c r="S17" i="24"/>
  <c r="AL17" i="24" s="1"/>
  <c r="T17" i="24"/>
  <c r="Q59" i="1"/>
  <c r="P59" i="1"/>
  <c r="P35" i="1"/>
  <c r="Q35" i="1"/>
  <c r="R11" i="24"/>
  <c r="T11" i="24" s="1"/>
  <c r="P53" i="1"/>
  <c r="Q53" i="1"/>
  <c r="P11" i="1"/>
  <c r="AI11" i="1" s="1"/>
  <c r="AH11" i="1" s="1"/>
  <c r="AJ11" i="1" s="1"/>
  <c r="Q11" i="1"/>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K17" i="24" l="1"/>
  <c r="AM17" i="24" s="1"/>
  <c r="S11" i="24"/>
  <c r="AL11" i="24" s="1"/>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K11" i="24" l="1"/>
  <c r="AM11" i="24" s="1"/>
  <c r="AL18" i="24"/>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K18" i="24" l="1"/>
  <c r="AM18" i="24" s="1"/>
  <c r="AL19" i="24"/>
  <c r="W37" i="19"/>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K19" i="24" l="1"/>
  <c r="AM19" i="24" s="1"/>
  <c r="AL20" i="24"/>
  <c r="AK20" i="24" s="1"/>
  <c r="AM20" i="24"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I5" i="1" s="1"/>
  <c r="Q5" i="1"/>
  <c r="AH5" i="1" l="1"/>
  <c r="AJ5" i="1" s="1"/>
  <c r="AI6" i="1"/>
  <c r="S5" i="24"/>
  <c r="AL5" i="24" s="1"/>
  <c r="T5" i="24"/>
  <c r="AH6" i="1" l="1"/>
  <c r="AJ6" i="1" s="1"/>
  <c r="AI7" i="1"/>
  <c r="AK5" i="24"/>
  <c r="AM5" i="24" s="1"/>
  <c r="AL6" i="24"/>
  <c r="AL12" i="24"/>
  <c r="AH7" i="1" l="1"/>
  <c r="AJ7" i="1" s="1"/>
  <c r="AI8" i="1"/>
  <c r="AK12" i="24"/>
  <c r="AM12" i="24" s="1"/>
  <c r="AL13" i="24"/>
  <c r="AK13" i="24" s="1"/>
  <c r="AM13" i="24" s="1"/>
  <c r="AK6" i="24"/>
  <c r="AM6" i="24" s="1"/>
  <c r="AL7" i="24"/>
  <c r="AK7" i="24" l="1"/>
  <c r="AM7" i="24" s="1"/>
  <c r="AL8" i="24"/>
  <c r="AK8" i="24" s="1"/>
  <c r="AM8" i="24" s="1"/>
  <c r="AH8" i="1"/>
  <c r="AJ8" i="1" s="1"/>
  <c r="AI9" i="1"/>
  <c r="AH9" i="1" l="1"/>
  <c r="AJ9" i="1" s="1"/>
  <c r="AI10" i="1"/>
  <c r="AH10" i="1" s="1"/>
  <c r="AJ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[Threaded comment]
Your version of Excel allows you to read this threaded comment; however, any edits to it will get removed if the file is opened in a newer version of Excel. Learn more: https://go.microsoft.com/fwlink/?linkid=870924
Comment:
    no aplica para los niveles de riesgo residual bajo</t>
      </text>
    </comment>
    <comment ref="A3" authorId="1" shapeId="0" xr:uid="{CF3D4031-B02E-4364-A8D3-ED8E4AEFF6D6}">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E3" authorId="2" shapeId="0" xr:uid="{5B19918B-1D1A-4D04-9D1C-8507A1B9A322}">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[Threaded comment]
Your version of Excel allows you to read this threaded comment; however, any edits to it will get removed if the file is opened in a newer version of Excel. Learn more: https://go.microsoft.com/fwlink/?linkid=870924
Comment: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[Threaded comment]
Your version of Excel allows you to read this threaded comment; however, any edits to it will get removed if the file is opened in a newer version of Excel. Learn more: https://go.microsoft.com/fwlink/?linkid=870924
Comment:
    Causa  principal  o básica, corresponde a las razones por la cuales se puede presentar  el riesgo, redacte de la forma más concreta posible.</t>
      </text>
    </comment>
    <comment ref="J3" authorId="5" shapeId="0" xr:uid="{6E738BDD-7778-4419-98BC-DAAA5D6DBA3D}">
      <text>
        <t>[Threaded comment]
Your version of Excel allows you to read this threaded comment; however, any edits to it will get removed if the file is opened in a newer version of Excel. Learn more: https://go.microsoft.com/fwlink/?linkid=870924
Comment: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[Threaded comment]
Your version of Excel allows you to read this threaded comment; however, any edits to it will get removed if the file is opened in a newer version of Excel. Learn more: https://go.microsoft.com/fwlink/?linkid=870924
Comment:
    Si se presentan criterios económicos y reputacionales se debe escoger el que mayor impacto genere</t>
      </text>
    </comment>
    <comment ref="S3" authorId="7" shapeId="0" xr:uid="{C9AD5B28-0613-47AF-804A-3360B9B9C331}">
      <text>
        <t>[Threaded comment]
Your version of Excel allows you to read this threaded comment; however, any edits to it will get removed if the file is opened in a newer version of Excel. Learn more: https://go.microsoft.com/fwlink/?linkid=870924
Comment: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[Threaded comment]
Your version of Excel allows you to read this threaded comment; however, any edits to it will get removed if the file is opened in a newer version of Excel. Learn more: https://go.microsoft.com/fwlink/?linkid=870924
Comment:
    Tener en cuenta lo definido en el capitulo de niveles de aceptabilidad de la política de administración de riesgos</t>
      </text>
    </comment>
    <comment ref="Y4" authorId="9" shapeId="0" xr:uid="{2227D0BF-AEE4-46ED-9B3F-7BAD05083A14}">
      <text>
        <t>[Threaded comment]
Your version of Excel allows you to read this threaded comment; however, any edits to it will get removed if the file is opened in a newer version of Excel. Learn more: https://go.microsoft.com/fwlink/?linkid=870924
Comment: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[Threaded comment]
Your version of Excel allows you to read this threaded comment; however, any edits to it will get removed if the file is opened in a newer version of Excel. Learn more: https://go.microsoft.com/fwlink/?linkid=870924
Comment: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[Threaded comment]
Your version of Excel allows you to read this threaded comment; however, any edits to it will get removed if the file is opened in a newer version of Excel. Learn more: https://go.microsoft.com/fwlink/?linkid=870924
Comment:
    no aplica para los niveles de riesgo residual bajo</t>
      </text>
    </comment>
    <comment ref="A3" authorId="1" shapeId="0" xr:uid="{99B24426-DE5E-48D4-B2B6-BE9D8B435566}">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E3" authorId="2" shapeId="0" xr:uid="{00914B1E-2CF3-484E-AEE8-92878B60A651}">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[Threaded comment]
Your version of Excel allows you to read this threaded comment; however, any edits to it will get removed if the file is opened in a newer version of Excel. Learn more: https://go.microsoft.com/fwlink/?linkid=870924
Comment:
    Circunstancias bajo las cuales se presenta el riesgo, es la situación más evidente frente al riesgo, redacte de la forma más concreta posible.</t>
      </text>
    </comment>
    <comment ref="H3" authorId="4" shapeId="0" xr:uid="{95780C36-5442-44A4-B2D4-0697B2827AC3}">
      <text>
        <t>[Threaded comment]
Your version of Excel allows you to read this threaded comment; however, any edits to it will get removed if the file is opened in a newer version of Excel. Learn more: https://go.microsoft.com/fwlink/?linkid=870924
Comment:
    Causa  principal  o básica, corresponde a las razones por la cuales se puede presentar  el riesgo, redacte de la forma más concreta posible.</t>
      </text>
    </comment>
    <comment ref="J3" authorId="5" shapeId="0" xr:uid="{92D2BF40-F7E2-40BB-8D0C-24EF891A2BC6}">
      <text>
        <t>[Threaded comment]
Your version of Excel allows you to read this threaded comment; however, any edits to it will get removed if the file is opened in a newer version of Excel. Learn more: https://go.microsoft.com/fwlink/?linkid=870924
Comment: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[Threaded comment]
Your version of Excel allows you to read this threaded comment; however, any edits to it will get removed if the file is opened in a newer version of Excel. Learn more: https://go.microsoft.com/fwlink/?linkid=870924
Comment: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[Threaded comment]
Your version of Excel allows you to read this threaded comment; however, any edits to it will get removed if the file is opened in a newer version of Excel. Learn more: https://go.microsoft.com/fwlink/?linkid=870924
Comment: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[Threaded comment]
Your version of Excel allows you to read this threaded comment; however, any edits to it will get removed if the file is opened in a newer version of Excel. Learn more: https://go.microsoft.com/fwlink/?linkid=870924
Comment: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[Threaded comment]
Your version of Excel allows you to read this threaded comment; however, any edits to it will get removed if the file is opened in a newer version of Excel. Learn more: https://go.microsoft.com/fwlink/?linkid=870924
Comment:
    ¿Existe un responsable asignado a la ejecución del control?
Asignado: 15
No asignado: 0</t>
      </text>
    </comment>
    <comment ref="R3" authorId="10" shapeId="0" xr:uid="{8AF3DCF1-D0ED-4716-BAE7-555F4E99F6CE}">
      <text>
        <t>[Threaded comment]
Your version of Excel allows you to read this threaded comment; however, any edits to it will get removed if the file is opened in a newer version of Excel. Learn more: https://go.microsoft.com/fwlink/?linkid=870924
Comment:
    ¿El responsable tiene la autoridad y adecuada segregación de funciones en la ejecución del control?
Adecuado: 15
No adecuado: 0</t>
      </text>
    </comment>
    <comment ref="S3" authorId="11" shapeId="0" xr:uid="{E91274DA-50F3-4469-8B68-9A302024AE3E}">
      <text>
        <t>[Threaded comment]
Your version of Excel allows you to read this threaded comment; however, any edits to it will get removed if the file is opened in a newer version of Excel. Learn more: https://go.microsoft.com/fwlink/?linkid=870924
Comment:
    ¿La oportunidad en que se ejecuta el control
ayuda a prevenir la mitigación del riesgo o a
detectar la materialización del riesgo de manera oportuna?</t>
      </text>
    </comment>
    <comment ref="T3" authorId="12" shapeId="0" xr:uid="{2C23ECA8-D0F6-4EF6-9B34-0F567F660CC5}">
      <text>
        <t>[Threaded comment]
Your version of Excel allows you to read this threaded comment; however, any edits to it will get removed if the file is opened in a newer version of Excel. Learn more: https://go.microsoft.com/fwlink/?linkid=870924
Comment:
    ¿La fuente de información que se utiliza en el desarrollo del control es información confiable que permita mitigar el riesgo?
Confiable: 15
No confiable: 0</t>
      </text>
    </comment>
    <comment ref="U3" authorId="13" shapeId="0" xr:uid="{D69B1B9B-1EC1-4381-B043-EE8142A10C57}">
      <text>
        <t>[Threaded comment]
Your version of Excel allows you to read this threaded comment; however, any edits to it will get removed if the file is opened in a newer version of Excel. Learn more: https://go.microsoft.com/fwlink/?linkid=870924
Comment: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CAB27EC8-5C32-4256-A261-CBC08EA3D2CE}">
      <text>
        <t>[Threaded comment]
Your version of Excel allows you to read this threaded comment; however, any edits to it will get removed if the file is opened in a newer version of Excel. Learn more: https://go.microsoft.com/fwlink/?linkid=870924
Comment:
    ¿Se deja evidencia o rastro de la ejecución del control que permita a cualquier tercero con la evidencia llegar a la misma conclusión?
Completa: 15
Incompleta: 10
No existe: 0</t>
      </text>
    </comment>
    <comment ref="Y3" authorId="15" shapeId="0" xr:uid="{4F57369C-3C86-4F4A-BC98-06408F6ABF32}">
      <text>
        <t>[Threaded comment]
Your version of Excel allows you to read this threaded comment; however, any edits to it will get removed if the file is opened in a newer version of Excel. Learn more: https://go.microsoft.com/fwlink/?linkid=870924
Comment: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[Threaded comment]
Your version of Excel allows you to read this threaded comment; however, any edits to it will get removed if the file is opened in a newer version of Excel. Learn more: https://go.microsoft.com/fwlink/?linkid=870924
Comment: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[Threaded comment]
Your version of Excel allows you to read this threaded comment; however, any edits to it will get removed if the file is opened in a newer version of Excel. Learn more: https://go.microsoft.com/fwlink/?linkid=870924
Comment: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[Threaded comment]
Your version of Excel allows you to read this threaded comment; however, any edits to it will get removed if the file is opened in a newer version of Excel. Learn more: https://go.microsoft.com/fwlink/?linkid=870924
Comment: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[Threaded comment]
Your version of Excel allows you to read this threaded comment; however, any edits to it will get removed if the file is opened in a newer version of Excel. Learn more: https://go.microsoft.com/fwlink/?linkid=870924
Comment: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[Threaded comment]
Your version of Excel allows you to read this threaded comment; however, any edits to it will get removed if the file is opened in a newer version of Excel. Learn more: https://go.microsoft.com/fwlink/?linkid=870924
Comment:
    no aplica para los niveles de riesgo residual bajo</t>
      </text>
    </comment>
    <comment ref="A3" authorId="1" shapeId="0" xr:uid="{A0F40E4A-CDA8-4878-A493-E60F7B0AFC8A}">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E3" authorId="2" shapeId="0" xr:uid="{6593243C-C5F9-4652-9655-496C347F5776}">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[Threaded comment]
Your version of Excel allows you to read this threaded comment; however, any edits to it will get removed if the file is opened in a newer version of Excel. Learn more: https://go.microsoft.com/fwlink/?linkid=870924
Comment: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[Threaded comment]
Your version of Excel allows you to read this threaded comment; however, any edits to it will get removed if the file is opened in a newer version of Excel. Learn more: https://go.microsoft.com/fwlink/?linkid=870924
Comment:
    Si se presentan criterios económicos y reputacionales se debe escoger el que mayor impacto genere</t>
      </text>
    </comment>
    <comment ref="V3" authorId="5" shapeId="0" xr:uid="{47BFCE5E-A1B2-452E-9DB3-820630843F31}">
      <text>
        <t>[Threaded comment]
Your version of Excel allows you to read this threaded comment; however, any edits to it will get removed if the file is opened in a newer version of Excel. Learn more: https://go.microsoft.com/fwlink/?linkid=870924
Comment: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[Threaded comment]
Your version of Excel allows you to read this threaded comment; however, any edits to it will get removed if the file is opened in a newer version of Excel. Learn more: https://go.microsoft.com/fwlink/?linkid=870924
Comment:
    Tener en cuenta lo definido en el capitulo de niveles de aceptabilidad de la política de administración de riesgos</t>
      </text>
    </comment>
    <comment ref="AB4" authorId="7" shapeId="0" xr:uid="{621EB540-0783-4BB5-8C69-3B13944D5A09}">
      <text>
        <t>[Threaded comment]
Your version of Excel allows you to read this threaded comment; however, any edits to it will get removed if the file is opened in a newer version of Excel. Learn more: https://go.microsoft.com/fwlink/?linkid=870924
Comment: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[Threaded comment]
Your version of Excel allows you to read this threaded comment; however, any edits to it will get removed if the file is opened in a newer version of Excel. Learn more: https://go.microsoft.com/fwlink/?linkid=870924
Comment: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F3" authorId="1" shapeId="0" xr:uid="{F17C01B4-72EF-42CB-8755-2A8F12E22615}">
      <text>
        <t>[Threaded comment]
Your version of Excel allows you to read this threaded comment; however, any edits to it will get removed if the file is opened in a newer version of Excel. Learn more: https://go.microsoft.com/fwlink/?linkid=870924
Comment:
    Circunstancias bajo las cuales se presenta la oportunidad, verifique los resultados positivos del analisi de cotxto, redacte de la forma más concreta posible.</t>
      </text>
    </comment>
    <comment ref="G3" authorId="2" shapeId="0" xr:uid="{FEFB968F-83AB-44C4-B6C8-529BDE7BE3C6}">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<sst xmlns="http://schemas.openxmlformats.org/spreadsheetml/2006/main" count="1720" uniqueCount="842">
  <si>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</si>
  <si>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</si>
  <si>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</si>
  <si>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</si>
  <si>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</si>
  <si>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</si>
  <si>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</si>
  <si>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</si>
  <si>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</si>
  <si>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</si>
  <si>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</si>
  <si>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</si>
  <si>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</si>
  <si>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</si>
  <si>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</si>
  <si>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</si>
  <si>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</si>
  <si>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</si>
  <si>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</si>
  <si>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</si>
  <si>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</si>
  <si>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</si>
  <si>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</si>
  <si>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</si>
  <si>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</si>
  <si>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</si>
  <si>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</si>
  <si>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</si>
  <si>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</si>
  <si>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</si>
  <si>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</si>
  <si>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</si>
  <si>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</si>
  <si>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</si>
  <si>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</si>
  <si>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</si>
  <si>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</si>
  <si>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</si>
  <si>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</si>
  <si>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</si>
  <si>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</si>
  <si>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</si>
  <si>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</si>
  <si>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</si>
  <si>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</si>
  <si>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</si>
  <si>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</si>
  <si>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</si>
  <si>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</si>
  <si>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</si>
  <si>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</si>
  <si>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</si>
  <si>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</si>
  <si>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</si>
  <si>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</si>
  <si>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</si>
  <si>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</si>
  <si>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</si>
  <si>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</si>
  <si>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</si>
  <si>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</si>
  <si>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</si>
  <si>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</si>
  <si>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</si>
  <si>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</si>
  <si>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</si>
  <si>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</si>
  <si>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</si>
  <si>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</si>
  <si>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</si>
  <si>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</si>
  <si>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</si>
  <si>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Gestión Tecnológica y de la Información </t>
  </si>
  <si>
    <t>FINANCIERO</t>
  </si>
  <si>
    <t>Presupuesto para la inversión en los recursos tecnológicos y humanos para la implementación de la política de seguridad digital -MIPG</t>
  </si>
  <si>
    <t>ECONOMICOS Y FINANCIEROS</t>
  </si>
  <si>
    <t>Presupuesto de la entidad</t>
  </si>
  <si>
    <t>INTERACCIONES CON OTROS PROCESOS</t>
  </si>
  <si>
    <t>Presupuesto asignado para componente de seguridad digital</t>
  </si>
  <si>
    <t>Posibilidad de pérdidas reputacionales y economicas por la interrupción de los servicios de TI debido a la insuficiencia de recursos económicos para  la adquisición o renovación de bienes y servicios tecnológicos, Incumplimiento de las políticas, metodologías, estándares informáticos de calidad, seguridad y la normativa vigente y fallas tecnológicas</t>
  </si>
  <si>
    <t>Materialización de amenazas de seguridad
Perdida de imagen
Investigaciones por parte de los entes control
Multas y sanciones</t>
  </si>
  <si>
    <t>ESTRATÉGICOS</t>
  </si>
  <si>
    <t>Manejo tecnológico, normativo, de buenas practicas, estándares por parte del talento humano del área  TIC</t>
  </si>
  <si>
    <t>LEGALES Y REGLAMENTARIOS</t>
  </si>
  <si>
    <t>Normatividad y políticas en constante renovación</t>
  </si>
  <si>
    <t>COMUNICACIÓN ENTRE LOS PROCESOS</t>
  </si>
  <si>
    <t>Línea de comunicación entre las áreas de la entidad</t>
  </si>
  <si>
    <t xml:space="preserve">TECNOLOGÍA </t>
  </si>
  <si>
    <t>Esquemas o políticas de seguridad de la información</t>
  </si>
  <si>
    <t>TECNOLÓGICOS</t>
  </si>
  <si>
    <t>Ciberataques</t>
  </si>
  <si>
    <t>PROCEDIMIENTOS ASOCIADOS</t>
  </si>
  <si>
    <t>Buenas practicas de seguridad de la información documentadas en los procedimientos del SIG</t>
  </si>
  <si>
    <t>Esquemas de planeación y coordinación entre las diferentes áreas involucradas</t>
  </si>
  <si>
    <t>TRANSVERSALIDAD</t>
  </si>
  <si>
    <t xml:space="preserve">Múltiples fuentes de información </t>
  </si>
  <si>
    <t>PERSONAL</t>
  </si>
  <si>
    <t xml:space="preserve">Conocimiento del personal a cargo de adoptar las políticas </t>
  </si>
  <si>
    <t xml:space="preserve">Procedimientos y políticas asociados a la seguridad de la información </t>
  </si>
  <si>
    <t>Prestación del servicio de mantenimiento a la infraestructura tecnológica</t>
  </si>
  <si>
    <t>Existencia y disponibilidad de avances y nuevas tecnologías</t>
  </si>
  <si>
    <t>Identificación de las necesidades de TI</t>
  </si>
  <si>
    <t>Posibilidad de pérdidas económicas por la adquisición de bienes o  servicios que no cumplan con las necesidades de la entidad, por desconocimiento de tecnologías existentes y disponibles y debilidades en la activación de los protocolos y apoyo en los expertos técnicos del equipo de infraestructura de TI</t>
  </si>
  <si>
    <t>Desactualización u obsolescencia tecnológica
Perdida financiera
Perdida reputacional
Perdida económica
Investigaciones ante los entes de control interno y externo
Reproceso  de actividades
Incumplimiento de metas propuestas</t>
  </si>
  <si>
    <t>Personal idóneo para desarrollar las administración de los recursos tecnológicos de la entidad</t>
  </si>
  <si>
    <t>Marco normativo y lineamientos técnicos para la gestión tecnológica de las entides públicas</t>
  </si>
  <si>
    <t xml:space="preserve">Procedimientos establecidos para la contratación de bienes y servicios </t>
  </si>
  <si>
    <t>RESPONSABLES DEL PROCESO</t>
  </si>
  <si>
    <t>Asignación de roles y responsabilidades</t>
  </si>
  <si>
    <t>Personal idóneo y ético para el desarrollo de las actividades de TI</t>
  </si>
  <si>
    <t>SOCIALES Y CULTURALES</t>
  </si>
  <si>
    <t>Conductas asociadas a la entrega de dadivas o corrupción y trafico de influencias</t>
  </si>
  <si>
    <t>Lineamientos documentados en los procedimientos del SIG respecto a la trazbilidad de las actividades y controles</t>
  </si>
  <si>
    <t>Posibilidad de beneficio propio o de un tercero por utilización indebida de los recursos de TI por incumplimiento de las políticas de derechos de autor y propiedad intelectual por debilidades en los controles de acceso al código fuente.</t>
  </si>
  <si>
    <t>Investigaciones ante los entes de control interno y externo
Multras y sanciones 
Pérdida de la imagen institucional
Pérdidad de recursos económicos</t>
  </si>
  <si>
    <t xml:space="preserve">POLÍTICOS </t>
  </si>
  <si>
    <t>Presiones o interferencias para la contratación de personal</t>
  </si>
  <si>
    <t>OBJETIVO DEL PROCESO</t>
  </si>
  <si>
    <t>DISEÑO DEL PROCESO</t>
  </si>
  <si>
    <t>INFORMACION</t>
  </si>
  <si>
    <t>APLICACIONES</t>
  </si>
  <si>
    <t>HARDWARE</t>
  </si>
  <si>
    <t>AMBIENTALES</t>
  </si>
  <si>
    <t>COMUNICACIÓN INTERNA</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</si>
  <si>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</si>
  <si>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</si>
  <si>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</si>
  <si>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</si>
  <si>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</si>
  <si>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</si>
  <si>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</si>
  <si>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</si>
  <si>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</si>
  <si>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</si>
  <si>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</si>
  <si>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</si>
  <si>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</si>
  <si>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</si>
  <si>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</si>
  <si>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</si>
  <si>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</si>
  <si>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</si>
  <si>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</si>
  <si>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</si>
  <si>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</si>
  <si>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</si>
  <si>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</si>
  <si>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</si>
  <si>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</si>
  <si>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</si>
  <si>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</si>
  <si>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</si>
  <si>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</si>
  <si>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</si>
  <si>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</si>
  <si>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</si>
  <si>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</si>
  <si>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</si>
  <si>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</si>
  <si>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</si>
  <si>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</si>
  <si>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</si>
  <si>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</si>
  <si>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</si>
  <si>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</si>
  <si>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</si>
  <si>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</si>
  <si>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</si>
  <si>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</si>
  <si>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</si>
  <si>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</si>
  <si>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</si>
  <si>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</si>
  <si>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responsable asignado?</t>
  </si>
  <si>
    <t>¿El responsable tiene la autoridad y adecuada?</t>
  </si>
  <si>
    <t>¿La fuente de información que se utiliza   confiable?</t>
  </si>
  <si>
    <t>¿Las observaciones, desviaciones o diferencias identificadas  investigadas y resueltas de manera oportuna?</t>
  </si>
  <si>
    <t>Implementación</t>
  </si>
  <si>
    <t>Calificación</t>
  </si>
  <si>
    <t>Documentación</t>
  </si>
  <si>
    <t>Frecuencia</t>
  </si>
  <si>
    <t>Administrar y brindar soluciones tecnológicas asegurando la integridad, disponibilidad y confiabilidad de la información.</t>
  </si>
  <si>
    <t>Inicia con planificar la Gestión Tecnológica y de la Información basados en los dominios de arquitectura empresarial de TI, y finaliza con el  Seguimiento y Evaluación.</t>
  </si>
  <si>
    <t>Económico y Reputacional</t>
  </si>
  <si>
    <t xml:space="preserve"> Interrupción de los servicios de TI </t>
  </si>
  <si>
    <t>Insuficiencia de recursos económicos para  la adquisición o renovación de bienes y servicios tecnológicos, Incumplimiento de las políticas, metodologías, estándares informáticos de calidad, seguridad y la normativa vigente y fallas tecnológicas</t>
  </si>
  <si>
    <t>Ejecución y Administración de procesos</t>
  </si>
  <si>
    <t xml:space="preserve">     Entre 100 y 500 SMLMV </t>
  </si>
  <si>
    <t>Realizar auditorias internas  Pentest para verificar el cumplimiento de los controles de la OTIC</t>
  </si>
  <si>
    <t>Si</t>
  </si>
  <si>
    <t>Preventivo</t>
  </si>
  <si>
    <t>Manual</t>
  </si>
  <si>
    <t>Documentado</t>
  </si>
  <si>
    <t>Continua</t>
  </si>
  <si>
    <t>Con registro</t>
  </si>
  <si>
    <t>Reducir (mitigar)</t>
  </si>
  <si>
    <t>Elaboración del Plan de gestión de capacidades (Capacity Planning)</t>
  </si>
  <si>
    <t>Área de Infraestructructura de TI</t>
  </si>
  <si>
    <t>10/02/2023
__________
10/04/2023</t>
  </si>
  <si>
    <r>
      <rPr>
        <sz val="11"/>
        <color rgb="FF000000"/>
        <rFont val="Arial Narrow"/>
        <family val="2"/>
      </rPr>
      <t xml:space="preserve">Se presenta avance de la elaboración el capacity planning, contemplando almacenamiento, infraestructura, conectividad, seguridad, entre otros.
_________________________________________________
</t>
    </r>
    <r>
      <rPr>
        <sz val="11"/>
        <color rgb="FFFF0000"/>
        <rFont val="Arial Narrow"/>
        <family val="2"/>
      </rPr>
      <t xml:space="preserve">
</t>
    </r>
    <r>
      <rPr>
        <sz val="11"/>
        <color rgb="FF000000"/>
        <rFont val="Arial Narrow"/>
        <family val="2"/>
      </rPr>
      <t>Se incluye en el capacity planning el análisis de almacenamiento y necesidad futura de almacenamiento en el capacity planing que se encuentra en elaboración.</t>
    </r>
  </si>
  <si>
    <r>
      <t>10/05/2023
_____________
07/06/2023
_____________</t>
    </r>
    <r>
      <rPr>
        <sz val="11"/>
        <color rgb="FFFF0000"/>
        <rFont val="Arial Narrow"/>
        <family val="2"/>
      </rPr>
      <t xml:space="preserve">
11/07/2023</t>
    </r>
  </si>
  <si>
    <r>
      <rPr>
        <sz val="11"/>
        <color rgb="FF000000"/>
        <rFont val="Arial Narrow"/>
      </rPr>
      <t xml:space="preserve">No se realiza, sigue en proceso.
_________________
No se realiza, sigue en proceso
_________________
</t>
    </r>
    <r>
      <rPr>
        <sz val="11"/>
        <color rgb="FFFF0000"/>
        <rFont val="Arial Narrow"/>
      </rPr>
      <t>Esta en borrador, falta complementar algunos componentes de analisis de infraestructura onpremise para le mes de julio</t>
    </r>
  </si>
  <si>
    <t>10/02/2023
___________
10/03/2023
___________
10/04/2023</t>
  </si>
  <si>
    <t xml:space="preserve">Aún no se realiza, toda vez que esta en elaboración el plan de pruebas PENTEST, por parte del Oficial de Seguridad de la información, de acuerdo con el Plan de Seguridad y Privacidad de la Información 2023.
_________________________________________________
Se definio el alcance y los sistemas objeto del plan de auditorias internas pentest.
_________________________________________________
Plan de auditorias pentest revisado y aprobado por el jefe de la Oficina TIC incluyendo </t>
  </si>
  <si>
    <t>Oficial de Seguridad de la Información</t>
  </si>
  <si>
    <r>
      <t>Carpeta Riesgos de Gestión/Riesgo 1/Control 1/
\Marzo:</t>
    </r>
    <r>
      <rPr>
        <sz val="11"/>
        <color rgb="FF000000"/>
        <rFont val="Arial Narrow"/>
        <family val="2"/>
      </rPr>
      <t xml:space="preserve">
Plan de Pruebas en entornos controlados aprobado por le jefe de la Oficina TIC</t>
    </r>
  </si>
  <si>
    <t>Efectivo</t>
  </si>
  <si>
    <r>
      <t>10/05/2023
_____________
07/06/2023
____________</t>
    </r>
    <r>
      <rPr>
        <sz val="11"/>
        <color rgb="FFFF0000"/>
        <rFont val="Arial Narrow"/>
        <family val="2"/>
      </rPr>
      <t xml:space="preserve">
11/07/2023</t>
    </r>
  </si>
  <si>
    <r>
      <t xml:space="preserve">Primeras auditorias del plan pentest se realizarán en el mes de mayo.
___________________________________________
Se realizo la Verificación del nivel de madurez del MSPI a través del Autodiagnostico al MSPI.
_________________________________________
</t>
    </r>
    <r>
      <rPr>
        <sz val="11"/>
        <color rgb="FFFF0000"/>
        <rFont val="Arial Narrow"/>
      </rPr>
      <t>Se realizo el analísis de vulnerabilidades de la red ethernet. No se encontro segmentación de redes. No se generó ningun tipo de alerta de acuerdo con el escaneo de puertos.</t>
    </r>
  </si>
  <si>
    <r>
      <rPr>
        <b/>
        <sz val="11"/>
        <color rgb="FF000000"/>
        <rFont val="Arial Narrow"/>
      </rPr>
      <t xml:space="preserve">SEGUNDO TRIMESTRE/12. TIC/RIESGOS DE GESTION/RIESGO 1/CONTROL1/
Mayo:
</t>
    </r>
    <r>
      <rPr>
        <sz val="11"/>
        <color rgb="FF000000"/>
        <rFont val="Arial Narrow"/>
      </rPr>
      <t>Diagnostico_OTIC_05-23.xlsx</t>
    </r>
  </si>
  <si>
    <t>3/08/2023
-----------------
01/09/2023</t>
  </si>
  <si>
    <t>Se realizó la auditoria a la RED LAN.
_____________________________________
Se realizo auditoria de accesibilidad - Anexo 1 Resolución 1519, programada en el Plan de PENTEST</t>
  </si>
  <si>
    <r>
      <rPr>
        <b/>
        <sz val="11"/>
        <color rgb="FF000000"/>
        <rFont val="Arial Narrow"/>
      </rPr>
      <t xml:space="preserve">TERCER TRIMESTRE/12. TIC/RIESGOS DE GESTION/RIESGO 1/CONTROL1/
JULIO:
</t>
    </r>
    <r>
      <rPr>
        <sz val="11"/>
        <color rgb="FF000000"/>
        <rFont val="Arial Narrow"/>
      </rPr>
      <t xml:space="preserve">230719-Informe Pruebas Pentest LAN.pdf
</t>
    </r>
    <r>
      <rPr>
        <b/>
        <sz val="11"/>
        <color rgb="FF000000"/>
        <rFont val="Arial Narrow"/>
      </rPr>
      <t>AGOSTO</t>
    </r>
    <r>
      <rPr>
        <sz val="11"/>
        <color rgb="FF000000"/>
        <rFont val="Arial Narrow"/>
      </rPr>
      <t>:
https://uaespdc.sharepoint.com/:b:/s/EQUIPOOAP266/EUwF6hcL79VGtnVkG1S1GZ4BC4p4giE1S_MmO_6W4wGObw?e=ZLpSin</t>
    </r>
  </si>
  <si>
    <t>Activación del DRP y procedimiento y manual GTI-IN-03 V1 Gestión de incidentes de seguridad de la información.</t>
  </si>
  <si>
    <t>26/04/2023
19/07/2023</t>
  </si>
  <si>
    <t>Se realizó seguimiento al control y las evidencias aportadas con coherentes a lo reportado por lo que se establece que el control fue efectivo</t>
  </si>
  <si>
    <t xml:space="preserve">Se realiza seguimiento a la acción y los soportes son coherentes con lo reportado 
Se realiza seguimiento a la acción y los soportes son coherentes con lo reportado </t>
  </si>
  <si>
    <t>13/09/2023
15/05/2023</t>
  </si>
  <si>
    <r>
      <rPr>
        <b/>
        <sz val="11"/>
        <color rgb="FF000000"/>
        <rFont val="Arial Narrow"/>
      </rPr>
      <t xml:space="preserve">13/09/2023-LMVL: </t>
    </r>
    <r>
      <rPr>
        <sz val="11"/>
        <color rgb="FF000000"/>
        <rFont val="Arial Narrow"/>
      </rPr>
      <t xml:space="preserve">Se evidenció informe de auditoria Pentest a la Red LAN UAESP en el mes de mayo,junio y julio, no se eviedncia seguimiento de la segunda línea de defensa.
</t>
    </r>
    <r>
      <rPr>
        <b/>
        <sz val="11"/>
        <color rgb="FF000000"/>
        <rFont val="Arial Narrow"/>
      </rPr>
      <t>15/05/2023-LMVL:</t>
    </r>
    <r>
      <rPr>
        <sz val="11"/>
        <color rgb="FF000000"/>
        <rFont val="Arial Narrow"/>
      </rPr>
      <t xml:space="preserve"> Se evidencia el plan de pruebas de penetración en entornos controlados de marzo de 2023, en el próximo seguimiento se validará la ejecución como hace referencia el control.</t>
    </r>
  </si>
  <si>
    <r>
      <rPr>
        <b/>
        <sz val="11"/>
        <color rgb="FF000000"/>
        <rFont val="Arial Narrow"/>
      </rPr>
      <t>13/09/2023-LMVL:</t>
    </r>
    <r>
      <rPr>
        <sz val="11"/>
        <color rgb="FF000000"/>
        <rFont val="Arial Narrow"/>
      </rPr>
      <t xml:space="preserve"> Se evidencio efectividad del control por cuanto el riesgo no se materializó.
</t>
    </r>
    <r>
      <rPr>
        <b/>
        <sz val="11"/>
        <color rgb="FF000000"/>
        <rFont val="Arial Narrow"/>
      </rPr>
      <t xml:space="preserve">15/05/2023-LMVL: </t>
    </r>
    <r>
      <rPr>
        <sz val="11"/>
        <color rgb="FF000000"/>
        <rFont val="Arial Narrow"/>
      </rPr>
      <t>con base en el seguimiento se evidencia cumplimiento y efectividad del control, toda vez que no se ha materizalido el riesgo.</t>
    </r>
  </si>
  <si>
    <r>
      <rPr>
        <b/>
        <sz val="11"/>
        <color rgb="FF000000"/>
        <rFont val="Arial Narrow"/>
      </rPr>
      <t>13/09/2023- LMVL:</t>
    </r>
    <r>
      <rPr>
        <sz val="11"/>
        <color rgb="FF000000"/>
        <rFont val="Arial Narrow"/>
      </rPr>
      <t xml:space="preserve"> No se evidencia documento de (Capacity Planning), aún se encuentra dentro de la fecha de cumplimiento por lo tanto, se validará en el próximo seguimiento. 
</t>
    </r>
    <r>
      <rPr>
        <b/>
        <sz val="11"/>
        <color rgb="FF000000"/>
        <rFont val="Arial Narrow"/>
      </rPr>
      <t xml:space="preserve">15/05/2023-LMVL: </t>
    </r>
    <r>
      <rPr>
        <sz val="11"/>
        <color rgb="FF000000"/>
        <rFont val="Arial Narrow"/>
      </rPr>
      <t xml:space="preserve">Se evidencia un documento borrador de avance de plan de gestión de capacidades (Capacity Planning) es decir un avance del cumplimiento de la acción. </t>
    </r>
  </si>
  <si>
    <t>Monitoreo permanente a la infraestructura de TI (Redes, Servidores, Antimalware, Office 365, …SIEM)</t>
  </si>
  <si>
    <t>Revisión  y actualización de las políticas, manuales, procedimientos, planes y documentación relacionada a la implementación de la política de seguridad digital.</t>
  </si>
  <si>
    <t>Gestor SIG TIC</t>
  </si>
  <si>
    <t>10/02/2023
-----------------
10/03/2023
----------------
10/04/2023</t>
  </si>
  <si>
    <t>No se requiere por el momento.
__________________________________________
Se actualizó el Manual, Procedimiento y formato para el inventario de activos de información (Oficio 20231300019793) de acuerdo con los lineamientos de la ISO 27001:2022 y los lineamientos del MinTIC Resol 00500 2021.
__________________________________________
No se requiere por el momento.</t>
  </si>
  <si>
    <t>10/05/2023
_____________
07/06/2023
_____________
11/07/2023</t>
  </si>
  <si>
    <t>Durante el mes de abirl no se actualiza documentación del proceso ni del MSPI.
_________________________________
Se actualizó el procedimiento GTI-PC-07 V5 Administración de la red datos y comunicaciones, incluyendo lineamientos operacionales para el manejo de dispositivos personales y se elimina el procedimiento de dispositivos personales por no agregar valor al proceso y cuyas acciones pertenencen al GTI-PC-07
_______________________________
Se trabajó en la actualización del procedimiento de gestión de incidnets, soporte técnico. Adicional se revisó y ajustó la politica general de seguridad y privacidad de la información para presentarla al CIGD</t>
  </si>
  <si>
    <t>Seelaboró borrador del PETI V3 actualizado para aprobación en el CIGD
_____________________________________
PETI actualizado en agosto.</t>
  </si>
  <si>
    <t>Redes: Monitoreo por Firewall y Zabbix (Pendiente el informe)
* Servidores: Se realiza monitoreo continuo, no se detecta consumos altos de CPU, memoria y trafico de red. Servidores virtuales funcionando adecuadamente. informe_monitoreo de infraestructura.docx
Antimalware Deepsecurity: No se detectaron amenazas.
SIEM: Actualmente afinando la herramienta: Se detectaron alertas de gravedad Alta, media y baja que fueron gestionadas oportunamente  sin generar incidentes de seguridad ni materialización Riesgos. informe siem.docx
* Office 365: Se cambió el correo que manejaba RunMyProcess por reportes como SPAM. No se observó materialización de incidentes de seguridad. 230131-Informe Office 365 Enero 2023.pdf.
----------------------------------------------------------------
Antimalware (EndPoint): La herramienta Trend Micro realiza control efectivo de la amenazas tipo virus, spam y grayware detectadas. Se verifica licenciamiento activo a la fecha.
Antimalware (Servidores)): Se verifica licenciamiento activo a la fecha, pendiente la renovación. No se detectaron intrusiones o actividades sospechosas durante el mes de febrero.
Office 365: No se detectan fallas en el servicio de correo. Se realiza monitoreo de los correos entrantes, salientes, phshing, sapm, malware y spam saliente, sin materialización de incidentes de seguridad.
SIEM: Se detecto un scalado de privilegios que correspondió a cuenta del Ingeniero Mauricio para pruebas de GPO, al pertenecer a infraestructura no se genera riesgo. Se detecto una alerta bajo de un correo de suplantación de la Fiscalia y se genero la pieza de comunicación advirtiendo el evento de seguridad. No hubo riesgos materializados a nivel de infraestructura.
----------------------------------------------------------------
Antimalware (EndPoint): Se configuran 16 politicas y se estructuran los grupos de acuerdo con la nomenclatura de la jornada de renombramiento. Se eliminan los grupos no usados sin inconveniente alguno. La herramienta ha detectado y blqueado las amenazas descritas en el informe de evidencia adjunto.
SIEM: Se detectaron 11 alertas durante el mes de marzo, 3 de gravedad media, 5 de gravedad baja y 3 informativas, no obstante, no se materializaron riesgos y todas las amenazas fueron enviadas a cuarentena. Así mismo, se observo un escalado de privilegios por parte de un usuario de un tercero que fue solicitado y autorizado por el DBA para una tarea de export de SICAPITAL.
Servidores:Se renovó licenciamiento (deep security) - Se presentó un incidente por obsolecencia tecnológica, que provoco la indisponbilidad de servicios de información y acceso a internet, no hubo perdida reputacional o economica y se recuperó los servicios luego de 5 horas.</t>
  </si>
  <si>
    <t>Administrador de infraestructura.
Responsables Plataforma Antimalware.
Responsable plataforma Office 365</t>
  </si>
  <si>
    <t>Carpeta Riesgos de Gestión/Riesgo 1/Control 2/
\Enero:
informe_monitoreo de infraestructura
Informe Office 365 Febrero 2023
01-30_Informe Anti-Malware enero 2023
\Febrero:
02-28_Informe Anti-Malware febrero 2023
230228-Informe Office 365 Febrero 2023
Carpeta \SIEM
Carpeta \antimalware server
\Marzo:
Informe Anti-Malware marzo 2023
Carpeta \SIEM</t>
  </si>
  <si>
    <r>
      <rPr>
        <sz val="11"/>
        <color rgb="FF000000"/>
        <rFont val="Arial Narrow"/>
      </rPr>
      <t xml:space="preserve">10/05/2023
_____________
07/06/2023
_____________
</t>
    </r>
    <r>
      <rPr>
        <sz val="11"/>
        <color rgb="FFFF0000"/>
        <rFont val="Arial Narrow"/>
      </rPr>
      <t>11/07/2023</t>
    </r>
  </si>
  <si>
    <r>
      <t xml:space="preserve">Antimalware Usuario Final: Se optimizan las políticas del agente Trent Micro. Se observa un control correcto de las manezas tipo virus por parte de la herramienta antimalware. Durante el mes no se presentan incidentes de seguridad críticos.
Servidores: Se realizò monitoreo permanente, durante abril no se detecto amenazas.
SIEM: Se detecto un spear phishing por Orfeo - Se identificò el malware en un ambiente controlado, se eliminò el archivo y se subio imagen para evitar propagación de este.
Office 365: Se monitorea a diario la plataforma de Office 365, identificando ataques de forma temprana. No se materializa riesgos en relaciòn al uso de correo electrònico. 
Redes: Se monitorea y no se encuentran eventos anomalos.
_____________________________________________
Antimalware: Se verifica configuración de 16 politicas para bloqueo de puertos USB. Se observa correcto control de amenazas tipu virus detectadas. Se detectan amenazas Web Reputation que son controladas por Trend Micro. Se hace apertura de dos casos internos, en mesa de servicios, para revisión de equipos de usuario final. En el mes de mayo no se presentaron incidentes de seguridad criticos relacionados con la plataforma de antimalware.
Servidor:
Office 365: Se detecto un falso positivo que se verifico con el usuario final.
Redes: Durante el mes de mayo no se presentaron novedades o incidentes de seguridad.
SIEM: En el mes de mayo se desactiva la herramienta pór el alto consumo de creditos de azure y como alternativa se monitorean los eventos de seguridad con la plataforma Widows Defender.
____________________________________________
Antimalware: Amenazas controlados por la plataforma. 405 licencias instaladas de 534 adquiridas. Bloqueo USB por trentmicro funcionando. DLP se encuentra en pruebas y validaciones por parte del proveedor BHA.
Red: Se observa saturación de a la red en archivo central. Se plantea la opción de bloquear plataforma de redes sociales y streaming. En la sede central se observa saturación de la red por descarga masiva de documentos y archvios en los repositorios de la Entidad. No se presenta alertas o eventos de seguridad que pongan en riesgo la infraestructura de red o la información de la Entidad.
</t>
    </r>
    <r>
      <rPr>
        <sz val="11"/>
        <color rgb="FFFF0000"/>
        <rFont val="Arial Narrow"/>
      </rPr>
      <t>Office365: No se detectan novedades en el servicio. Se detecto una alerta de mensajes masivos perteneciente a infraestructura y fue deshabilitada.</t>
    </r>
  </si>
  <si>
    <r>
      <rPr>
        <b/>
        <sz val="11"/>
        <color rgb="FF000000"/>
        <rFont val="Arial Narrow"/>
      </rPr>
      <t xml:space="preserve">SEGUNDO TRIMESTRE/12. TIC/RIESGOS DE GESTION/RIESGO 1/CONTROL2/
ABRIL:
</t>
    </r>
    <r>
      <rPr>
        <sz val="11"/>
        <color rgb="FF000000"/>
        <rFont val="Arial Narrow"/>
      </rPr>
      <t xml:space="preserve">04-28_Informe Anti-malware abril 023.pdf
230430-Informe Office 365 Abril 2023.pdf
</t>
    </r>
    <r>
      <rPr>
        <b/>
        <sz val="11"/>
        <color rgb="FF000000"/>
        <rFont val="Arial Narrow"/>
      </rPr>
      <t xml:space="preserve">MAYO:
</t>
    </r>
    <r>
      <rPr>
        <sz val="11"/>
        <color rgb="FF000000"/>
        <rFont val="Arial Narrow"/>
      </rPr>
      <t xml:space="preserve">Riesgos mayo 2023
mayo.7z
05-30_Informe Anti-Malware mayo 2023 fJT
</t>
    </r>
    <r>
      <rPr>
        <b/>
        <sz val="11"/>
        <color rgb="FF000000"/>
        <rFont val="Arial Narrow"/>
      </rPr>
      <t xml:space="preserve">JUNIO:
</t>
    </r>
    <r>
      <rPr>
        <sz val="11"/>
        <color rgb="FF000000"/>
        <rFont val="Arial Narrow"/>
      </rPr>
      <t>Informe_Gestion de riesgos_Red LAN_WLAN _JUNIO</t>
    </r>
  </si>
  <si>
    <t>Antimalware Usuarios: Se monitorea durante el periodo evaluado. Se reporta funcionamiento normal y sin incidentes de seguridad.
Antimalware Servidores: Se acutalizó el agente 10 a 20. Algunos agentes se estan actualizando de forma manual. No se reporta amenazas durante el mes de julio.
SIEM: Microsoft Security no reporta alertas o eventos de seguridad.
Control ambiental: Activos los sensores del cuarto electrico. En los sensores del datacenter se presentan inconvenientes de comunicación con la interfaz. (REVISAR INFORME Enviado Correo)
Redes: Se evidencia un consumo de ancho de banda que no supera los topes contratados con el proveedor ETB, con un pico máximo de consumo de ancho de banda entrante de 5 Mb y saliente de 13 M. Adicionalmente se presenta un máximo de 218 usuarios concurrentes lo cual no representa saturación de la red.
__________________________________________________________
Antimalware Endpoint: No existen novedades,  la herramienta realiza el control adecuado sobre las amenazas detectadas.
Infraestructura: Se migró orfeo a la nube y se gestionó liberación espacio para continuar realizando los respaldos por limites de umbrales en la SAN. De los 8 blade, solo 2 funcionan correctamente, los otros 6 presentan fallas.</t>
  </si>
  <si>
    <r>
      <rPr>
        <b/>
        <sz val="11"/>
        <color rgb="FF000000"/>
        <rFont val="Arial Narrow"/>
      </rPr>
      <t xml:space="preserve">TERCER TRIMESTRE/12. TIC/RIESGOS DE GESTION/RIESGO 1/CONTROL2/
JULIO:
</t>
    </r>
    <r>
      <rPr>
        <sz val="11"/>
        <color rgb="FF000000"/>
        <rFont val="Arial Narrow"/>
      </rPr>
      <t xml:space="preserve">07-30_Informe Anti-Malware julio 2023 fT.pdf
Riesgos julio 2023 FL firmaTIC.pdf
Carpeta /Julio 2023
</t>
    </r>
    <r>
      <rPr>
        <b/>
        <sz val="11"/>
        <color rgb="FF000000"/>
        <rFont val="Arial Narrow"/>
      </rPr>
      <t xml:space="preserve">AGOSTO:
</t>
    </r>
    <r>
      <rPr>
        <sz val="11"/>
        <color rgb="FF000000"/>
        <rFont val="Arial Narrow"/>
      </rPr>
      <t>08-30_Informe Anti-Malware agosto 2023 firmaTIC.pdf
Riesgos agosto 2023.pdf</t>
    </r>
  </si>
  <si>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</si>
  <si>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13/09/2023
17/05/2023</t>
  </si>
  <si>
    <r>
      <rPr>
        <b/>
        <sz val="11"/>
        <color rgb="FF000000"/>
        <rFont val="Arial Narrow"/>
      </rPr>
      <t xml:space="preserve">
13/09/2023-LMVL:</t>
    </r>
    <r>
      <rPr>
        <sz val="11"/>
        <color rgb="FF000000"/>
        <rFont val="Arial Narrow"/>
      </rPr>
      <t xml:space="preserve"> Se evienció informes de monitoreo de infraestructura durante el cuatrimestre, donde se presentan diferentes recomendaciones para mejora de la infraestructura, se evidencia que de no contemplar el arreglo de esta contingencia de manera oportuna se puede generar materialización de riesgo. Se recomienda activar el SIEM para optimizar gestión de la infraestructura.
</t>
    </r>
    <r>
      <rPr>
        <b/>
        <sz val="11"/>
        <color rgb="FF000000"/>
        <rFont val="Arial Narrow"/>
      </rPr>
      <t xml:space="preserve">17/05/2023-LMVL: </t>
    </r>
    <r>
      <rPr>
        <sz val="11"/>
        <color rgb="FF000000"/>
        <rFont val="Arial Narrow"/>
      </rPr>
      <t>Se evidencia de fallas e indisponibilidad en el servicio de IT, como se evidencia en la bitácora de incidentes, es decir el DRP no fue efectivo.</t>
    </r>
  </si>
  <si>
    <r>
      <rPr>
        <b/>
        <sz val="11"/>
        <color rgb="FF000000"/>
        <rFont val="Arial Narrow"/>
      </rPr>
      <t>13/09/2023-LMVL</t>
    </r>
    <r>
      <rPr>
        <sz val="11"/>
        <color rgb="FF000000"/>
        <rFont val="Arial Narrow"/>
      </rPr>
      <t>: Según los informe de la OTIC el riesgo no se ha materializado, pero de no realizar pronto los ajustes necesarios se puede presentar materialización de riesgo</t>
    </r>
    <r>
      <rPr>
        <b/>
        <sz val="11"/>
        <color rgb="FF000000"/>
        <rFont val="Arial Narrow"/>
      </rPr>
      <t>.
17/05/2023-LMVL:</t>
    </r>
    <r>
      <rPr>
        <sz val="11"/>
        <color rgb="FF000000"/>
        <rFont val="Arial Narrow"/>
      </rPr>
      <t xml:space="preserve"> Según los infomes que se encuentran en las evidencias se presentó matarialización del riesgo el 14 de marzo, por obsolesencia tecnológica. No fue efectivo el control.</t>
    </r>
  </si>
  <si>
    <r>
      <rPr>
        <b/>
        <sz val="11"/>
        <color rgb="FF000000"/>
        <rFont val="Arial Narrow"/>
      </rPr>
      <t>13/09/2023- LMVL:  S</t>
    </r>
    <r>
      <rPr>
        <sz val="11"/>
        <color rgb="FF000000"/>
        <rFont val="Arial Narrow"/>
      </rPr>
      <t xml:space="preserve">e evidencia documento actualizado de PETI como lo describe le proceso, no se evidencia acta del CIGD aprobado.
</t>
    </r>
    <r>
      <rPr>
        <b/>
        <sz val="11"/>
        <color rgb="FF000000"/>
        <rFont val="Arial Narrow"/>
      </rPr>
      <t xml:space="preserve">
17/05/2023-LMVL</t>
    </r>
    <r>
      <rPr>
        <sz val="11"/>
        <color rgb="FF000000"/>
        <rFont val="Arial Narrow"/>
      </rPr>
      <t>:Para este seguimiento se evidencia ejecución de la acción.</t>
    </r>
  </si>
  <si>
    <t xml:space="preserve">Implementación la política de Backup </t>
  </si>
  <si>
    <t>Informes de las pruebas de continuidad servicios criticos TI</t>
  </si>
  <si>
    <t>10/02/2023
-----------------
10/03/2023
__________
10/04/2023</t>
  </si>
  <si>
    <t>No se realiza acción, en elaboración el plan de pruebas de continuidad de acuerdo con el plan de seguridad y privacidad de la información 2023.
__________________________________________
Se elaborá borrador para aplicar y ajustar con el BCP.</t>
  </si>
  <si>
    <t>Sigue proceso.
_____________________________
Se realizaron las pruebas al canal de datos
_____________________________
Durante el mes de julio no se realizan, se requiere configurar los servicios prioritarios en Azure y realizar las siguientes pruebas de acuerdo con los creditos disponibles.</t>
  </si>
  <si>
    <t xml:space="preserve">No se ha programado para el mes.
_____________________________________
No se ha programado para el mes.
</t>
  </si>
  <si>
    <t>Se gestiona los respaldos por veeambackup. Renovación del licenciamiento en proceso. informe_backup_servidores _2022.docx
_______________________________________________
Se verifica licenciamiento de la herramienta, con fecha de expiración en marzo del 2023. Proceso en renovación y publicado en SECOP. Se verifica configuración de los elementos respaldados y se realiza pruebas de integridad y restauración a nivel de servidores.
_______________________________________________
Del monitoreo permanente a la infraestructura se observa registros advirtiendo que se esta alcanzando el limite de almacenamiento para los respaldos de la infraestructura crítica. Se realizó prueba de integridad al backup del servidor de Orfeo 11/03/23. Prueba de restauración exitosa.</t>
  </si>
  <si>
    <t>Administrador de infraestructura.
Responsable plataforma Office 365</t>
  </si>
  <si>
    <r>
      <t>Carpeta Riesgos de Gestión/Riesgo 1/Control 3/
\Enero:
informe_backup_servidores _2022
\Febrero:
informe backup a servidores</t>
    </r>
    <r>
      <rPr>
        <sz val="11"/>
        <color rgb="FF000000"/>
        <rFont val="Arial Narrow"/>
        <family val="2"/>
      </rPr>
      <t xml:space="preserve">  2022</t>
    </r>
    <r>
      <rPr>
        <b/>
        <sz val="11"/>
        <color rgb="FF000000"/>
        <rFont val="Arial Narrow"/>
        <family val="2"/>
      </rPr>
      <t xml:space="preserve">
\Marzo:</t>
    </r>
  </si>
  <si>
    <t>Servidores: Abril se realizò pruebas de integridad al proxy reverse y pruebas de restauraciòn de IPSAP. Ambas operaciones satisfactoria. Periodicidad y tiempos de respaldos de acuerdo con los procedimientos y polìticas.
Se restauran los respaldos de los directivos retirados y que fueron solicitados.
_____________________________________________
Se verifica la implementación de las políticas a nivel de usuario final y servidores. Se verifica tiempos de retención y periodicidad. Se realizan pruebas de integridad y recuperación para Orfeo V3 y escritorios VDI.
Se realiza verificación de la implementación de las politicas de respaldo, sin encontrar novedades.
____________________________________________
Backups: Se realizan de acuerdo a las políticas y procedimientos establecidos. Se realiza pruebas de integridad al respaldo del Directorio Activo.</t>
  </si>
  <si>
    <r>
      <rPr>
        <b/>
        <sz val="11"/>
        <color rgb="FF000000"/>
        <rFont val="Arial Narrow"/>
      </rPr>
      <t xml:space="preserve">SEGUNDO TRIMESTRE/12. TIC/RIESGOS DE GESTION/RIESGO 1/CONTROL3/
ABRIL:
</t>
    </r>
    <r>
      <rPr>
        <sz val="11"/>
        <color rgb="FF000000"/>
        <rFont val="Arial Narrow"/>
      </rPr>
      <t xml:space="preserve">Formato_Informe_OTIC_v1.docx
</t>
    </r>
    <r>
      <rPr>
        <b/>
        <sz val="11"/>
        <color rgb="FF000000"/>
        <rFont val="Arial Narrow"/>
      </rPr>
      <t xml:space="preserve">MAYO:
</t>
    </r>
    <r>
      <rPr>
        <sz val="11"/>
        <color rgb="FF000000"/>
        <rFont val="Arial Narrow"/>
      </rPr>
      <t xml:space="preserve">Informe-Respaldos.pdf
Riesgos mayo 2023 fcT.pdf
</t>
    </r>
    <r>
      <rPr>
        <b/>
        <sz val="11"/>
        <color rgb="FF000000"/>
        <rFont val="Arial Narrow"/>
      </rPr>
      <t xml:space="preserve">JUNIO:
</t>
    </r>
    <r>
      <rPr>
        <sz val="11"/>
        <color rgb="FF000000"/>
        <rFont val="Arial Narrow"/>
      </rPr>
      <t>informe junio riesgos 2023 fcT.pdf</t>
    </r>
  </si>
  <si>
    <t>Servidores Se verifica durante el periodo y se realiza la tarea configurada sin inconveniente. Se generan alertas por limites de almacenamiento. Se generó pruebas de integridad al respaldo del proxy reverse.
Office 365: Durante el mes no hay programado pruebas de restauración, no obstante, se realizo restauración de los usuarios paola neyra y albeiro porras sin novedad alguna. Los tiempos de retención y gfrecuencia estan configurados y se aplican correctamente.
__________________________________________________________
Se realizó prueba de integridad al respaldo del proxy reverse</t>
  </si>
  <si>
    <r>
      <rPr>
        <b/>
        <sz val="11"/>
        <color rgb="FF000000"/>
        <rFont val="Arial Narrow"/>
      </rPr>
      <t xml:space="preserve">JULIO:
</t>
    </r>
    <r>
      <rPr>
        <sz val="11"/>
        <color rgb="FF000000"/>
        <rFont val="Arial Narrow"/>
      </rPr>
      <t xml:space="preserve">Riesgos:Julio2023.docx: https://uaespdc.sharepoint.com/:f:/s/EQUIPOOAP266/EhYtV50EAYJKlzv_9PaM7PMBV6LSqzywXEeIVgiIeEDU8Q?e=0nhhRO
</t>
    </r>
    <r>
      <rPr>
        <b/>
        <sz val="11"/>
        <color rgb="FF000000"/>
        <rFont val="Arial Narrow"/>
      </rPr>
      <t xml:space="preserve">TERCER TRIMESTRE/12. TIC/RIESGOS DE GESTION/RIESGO 1/CONTROL3/
JULIO:
</t>
    </r>
    <r>
      <rPr>
        <sz val="11"/>
        <color rgb="FF000000"/>
        <rFont val="Arial Narrow"/>
      </rPr>
      <t xml:space="preserve">Informe Office 365 Julio 2023 MauricioS Ago2023 firmaTIC
Riesgos julio 2023 FL firmaTIC.pdf
</t>
    </r>
    <r>
      <rPr>
        <b/>
        <sz val="11"/>
        <color rgb="FF000000"/>
        <rFont val="Arial Narrow"/>
      </rPr>
      <t xml:space="preserve">AGOSTO:
</t>
    </r>
    <r>
      <rPr>
        <sz val="11"/>
        <color rgb="FF000000"/>
        <rFont val="Arial Narrow"/>
      </rPr>
      <t>Riesgos agosto 2023.pdf</t>
    </r>
  </si>
  <si>
    <t>25/09/2023
15/05/2023</t>
  </si>
  <si>
    <r>
      <rPr>
        <b/>
        <sz val="11"/>
        <color rgb="FF000000"/>
        <rFont val="Arial Narrow"/>
      </rPr>
      <t>25/09/2023-LMVL: S</t>
    </r>
    <r>
      <rPr>
        <sz val="11"/>
        <color rgb="FF000000"/>
        <rFont val="Arial Narrow"/>
      </rPr>
      <t xml:space="preserve">e evidenció informes por parte del proceso sobre los riesgos de la plataforma, entre ellos el de backup con lo que corresponde a almacenamiento. Es importante que se tengan en cuenta las recomendaciones dadas especialmente el de almecenamiento para evitar materialización del riesgo.
</t>
    </r>
    <r>
      <rPr>
        <b/>
        <sz val="11"/>
        <color rgb="FF000000"/>
        <rFont val="Arial Narrow"/>
      </rPr>
      <t>15/05/2023-LMVL:</t>
    </r>
    <r>
      <rPr>
        <sz val="11"/>
        <color rgb="FF000000"/>
        <rFont val="Arial Narrow"/>
      </rPr>
      <t xml:space="preserve"> Se evidencia informes de realización de backups para los meses: enero febrero, marzo, abril, es decir se observa el ejercicio de actividades desarrolladas.</t>
    </r>
  </si>
  <si>
    <r>
      <rPr>
        <b/>
        <sz val="11"/>
        <color rgb="FF000000"/>
        <rFont val="Arial Narrow"/>
      </rPr>
      <t xml:space="preserve">25/09/2023-LMVL: </t>
    </r>
    <r>
      <rPr>
        <sz val="11"/>
        <color rgb="FF000000"/>
        <rFont val="Arial Narrow"/>
      </rPr>
      <t>Según los informes de la OTIC el riesgo no se ha materializado, pero de no realizar pronto los ajustes necesarios se puede presentar materialización de riesgo</t>
    </r>
    <r>
      <rPr>
        <b/>
        <sz val="11"/>
        <color rgb="FF000000"/>
        <rFont val="Arial Narrow"/>
      </rPr>
      <t>.
15/05/2023-LMVL:</t>
    </r>
    <r>
      <rPr>
        <sz val="11"/>
        <color rgb="FF000000"/>
        <rFont val="Arial Narrow"/>
      </rPr>
      <t xml:space="preserve"> Con base en el seguimiento se evidencia cumplimiento y efectividad del control, toda vez que no se ha materizalido el riesgo. Es importante tener en cuenta el seguimiento de las recomendaciones presentadas en cada informe.</t>
    </r>
  </si>
  <si>
    <r>
      <rPr>
        <b/>
        <sz val="11"/>
        <color rgb="FF000000"/>
        <rFont val="Arial Narrow"/>
      </rPr>
      <t>25/09/2023-LMVL:</t>
    </r>
    <r>
      <rPr>
        <sz val="11"/>
        <color rgb="FF000000"/>
        <rFont val="Arial Narrow"/>
      </rPr>
      <t xml:space="preserve"> No se evidencia cumplimiento de la acción para la vigencia de evaluación.
</t>
    </r>
    <r>
      <rPr>
        <b/>
        <sz val="11"/>
        <color rgb="FF000000"/>
        <rFont val="Arial Narrow"/>
      </rPr>
      <t xml:space="preserve">15/05/2023-LMVL: </t>
    </r>
    <r>
      <rPr>
        <sz val="11"/>
        <color rgb="FF000000"/>
        <rFont val="Arial Narrow"/>
      </rPr>
      <t>Se  observan formatos en blanco, sin diligenciar, no se evidencia aún el desarrollo de la acción para este seguimiento; como se encuentra dentro de las fechas establecidas, se validará nuevamente en el próximo seguimiento.</t>
    </r>
  </si>
  <si>
    <t>Seguimiento a  los mantenimiento preventivo y correctivo de equipos de usuario final, infraestructura TI, planta eléctrica, UPS. Informe de mesa de ayuda sobre los mantenimientos realizados a los equipos de usuario final.</t>
  </si>
  <si>
    <t> </t>
  </si>
  <si>
    <t>10/02/2023
_________
10/03/2023
_________
10/04/2023</t>
  </si>
  <si>
    <t>Cronograma de mantenimiento especializado en elaboración, pendiente la renovación para mantenimiento de equipos de usuario final, plantas electricas, UPS y tableros de distribución. 
____________________________________________
Se construyo el anexo técnico y linea base del proceso de gestión tecnológica para el mantenimiento de infraestructura. Actualmente en revisión por parte de ETB.
Se tiene establecido el cronograma de mantenimiento de servidores.
____________________________________________
Se repotenció 15 equipos de usuario final, cambiando a discos de estado solido SSD. Se realiza revisión y formateo a equipos solicitados por medio de la mesa de ayuda.
Proveedor de mantenimiento especializado presentó cronograma de mantenimiento a nivel de servidores.
No se ha realizado mantenimientos preventivos a equipos de usuario final, planta y UPS, el contrato no esta vigente. se solicitó cambio de modalidad para salir a selección abreviada menor cuantía.</t>
  </si>
  <si>
    <t>Responsable de contratos OTIC
Administrador Mesa de Ayuda</t>
  </si>
  <si>
    <t>Carpeta Riesgos de Gestión/Riesgo 1/Control 4/
\Enero:
Renovacion_mtto_equipos_01-23
\Febrero:
Informe Mantenimiento Equipos Febrero 2023
Renovacion_mtto_equipos
Reporte soporte tecnico equipos Febrero 2023- Solicitudes a Mesa de Ayuda
\Marzo:
Cronograma propuesto UAESP_17-01-2023_ETB (por aprobar)
Informe Mantenimiento Equipos Marzo 2023
Reporte soporte tecnico equipos Marzo 2023- Solicitudes a Mesa de Ayuda</t>
  </si>
  <si>
    <t>10/05/2023
_____________
07/06/2023
_____________
11/06/2023</t>
  </si>
  <si>
    <r>
      <rPr>
        <sz val="11"/>
        <color rgb="FF000000"/>
        <rFont val="Arial Narrow"/>
      </rPr>
      <t>Mantenimiento preventivo: No se realiza mantenimiento a usario final.
Mantenimiento Correctivo: Se realiza de acuerdo con las solicitudes a mesa de ayuda y cambio de componentes. Durante el mes de Abril se repotencian 4 equipos con discos SSD.
_____________________________________________
Mantenimiento preventivo: No hay avance con el contrato de mantenimiento.
Mantenimiento Correctivo: Se reciben 27 casos por mesa de servicios y se atienden de acuerdo con los tiempos establecidos. Se siguen repotenciando equipos de computo mediante la instalación de discos de estado solido SSD.
____________________________________________
Mantenimiento preventivo: Se esta construyendo el anexo técnico del contrato de mantenimiento preventivo. Como alternativa se envio el plan de mantenimiento priorizado al comite de gestión de cambios.
Mantenimiento Correctivo:</t>
    </r>
    <r>
      <rPr>
        <sz val="11"/>
        <color rgb="FFFF0000"/>
        <rFont val="Arial Narrow"/>
      </rPr>
      <t xml:space="preserve"> </t>
    </r>
    <r>
      <rPr>
        <sz val="11"/>
        <color rgb="FF000000"/>
        <rFont val="Arial Narrow"/>
      </rPr>
      <t>Se atienden las solicitudes de acuerdo con la prioridad y los recursos disponibles.</t>
    </r>
  </si>
  <si>
    <r>
      <rPr>
        <b/>
        <sz val="11"/>
        <color rgb="FF000000"/>
        <rFont val="Arial Narrow"/>
      </rPr>
      <t xml:space="preserve">SEGUNDO TRIMESTRE/12. TIC/RIESGOS DE GESTION/RIESGO 1/CONTROL4/
ABRIL:
</t>
    </r>
    <r>
      <rPr>
        <sz val="11"/>
        <color rgb="FF000000"/>
        <rFont val="Arial Narrow"/>
      </rPr>
      <t xml:space="preserve">Informe Mantenimiento Equipos Abril 2023.pdf
Reporte soporte tecnico equipos Abril 2023- Solicitudes a Mesa de Ayuda.pdf
</t>
    </r>
    <r>
      <rPr>
        <b/>
        <sz val="11"/>
        <color rgb="FF000000"/>
        <rFont val="Arial Narrow"/>
      </rPr>
      <t xml:space="preserve">MAYO:
</t>
    </r>
    <r>
      <rPr>
        <sz val="11"/>
        <color rgb="FF000000"/>
        <rFont val="Arial Narrow"/>
      </rPr>
      <t xml:space="preserve">Informe Mantenimiento Equipos Mayo 2023.pdf
</t>
    </r>
    <r>
      <rPr>
        <b/>
        <sz val="11"/>
        <color rgb="FF000000"/>
        <rFont val="Arial Narrow"/>
      </rPr>
      <t xml:space="preserve">JUNIO:
</t>
    </r>
    <r>
      <rPr>
        <sz val="11"/>
        <color rgb="FF000000"/>
        <rFont val="Arial Narrow"/>
      </rPr>
      <t>Informe Mantenimiento Equipos Junio 2023
Reporte  Junio 2023- Solicitudes a Mesa de Ayuda
Plan de Mantenimiento TIC - Usuario final
Linea Base TOTAL</t>
    </r>
  </si>
  <si>
    <r>
      <rPr>
        <sz val="11"/>
        <color rgb="FF000000"/>
        <rFont val="Arial Narrow"/>
      </rPr>
      <t>Servidores: Realizado en el mes de junio. 
Pendiente por parte del proveedor probar tarjeta de comunicación con el banco de baterias.
Usuario final: Se validó el plan de mantenimiento ppreventivo priorizado y se proyecto el cronograma para iniciar en el mes de agosto.
Correctivo: Se recibieron 51 reuerimientos, 21 de revisión de equipos de computo.
____________________________________________________
A nivel de infraestructura no esta programado para el mes. Se realiza monitoreo de la autonomia de las UPS - Baterias con una autonomia aproximada de 40 minutos
Nivel de usuario final: Se realizó mantenimiento preventivo a 71 equipos de 46 programados en el plan de mantenimiento programado</t>
    </r>
    <r>
      <rPr>
        <sz val="11"/>
        <color rgb="FFFF0000"/>
        <rFont val="Arial Narrow"/>
      </rPr>
      <t>.</t>
    </r>
  </si>
  <si>
    <r>
      <rPr>
        <b/>
        <sz val="11"/>
        <color rgb="FF000000"/>
        <rFont val="Arial Narrow"/>
      </rPr>
      <t xml:space="preserve">TERCER TRIMESTRE/12. TIC/RIESGOS DE GESTION/RIESGO 1/CONTROL4/
JULIO:
</t>
    </r>
    <r>
      <rPr>
        <sz val="11"/>
        <color rgb="FF000000"/>
        <rFont val="Arial Narrow"/>
      </rPr>
      <t>Informe Mantenimiento Equipos Julio 2023 firmaTIC.pdf
Plan Priorizado de Mantenimiento TIC - Usuario final_V2.docx
Correo_Gestión de cambios.pdf</t>
    </r>
  </si>
  <si>
    <t>25/09/2020
15/05/2023</t>
  </si>
  <si>
    <r>
      <rPr>
        <b/>
        <sz val="11"/>
        <color rgb="FF000000"/>
        <rFont val="Arial Narrow"/>
      </rPr>
      <t xml:space="preserve">
25/09/2023-LMVL: </t>
    </r>
    <r>
      <rPr>
        <sz val="11"/>
        <color rgb="FF000000"/>
        <rFont val="Arial Narrow"/>
      </rPr>
      <t xml:space="preserve">Se evidenció mantenimiento correctivos de usuario final através de mesa de ayuda, no se evidencia reportes de mantenimiento a servidores como lo describe el proceso, se evidencia plan de mantenimiento preventivo que se encuentra en proceso de ejecución.
</t>
    </r>
    <r>
      <rPr>
        <b/>
        <sz val="11"/>
        <color rgb="FF000000"/>
        <rFont val="Arial Narrow"/>
      </rPr>
      <t>15/05/2023-LMVL</t>
    </r>
    <r>
      <rPr>
        <sz val="11"/>
        <color rgb="FF000000"/>
        <rFont val="Arial Narrow"/>
      </rPr>
      <t>: Se evidencia contrato de mantenimiento y cronograma para servidores críticos e informes de lo realizado, sin embargo, no se evidencia cronograma de mantenimientos preventivos para usuario final.</t>
    </r>
  </si>
  <si>
    <r>
      <rPr>
        <b/>
        <sz val="11"/>
        <color rgb="FF000000"/>
        <rFont val="Arial Narrow"/>
      </rPr>
      <t xml:space="preserve">25/09/2023-LMVL: </t>
    </r>
    <r>
      <rPr>
        <sz val="11"/>
        <color rgb="FF000000"/>
        <rFont val="Arial Narrow"/>
      </rPr>
      <t xml:space="preserve">Con base con el seguimiento por parte del proceso el control ha sido efectivo no se ha materializado el riesgo, sin embargo, es importante que se continue con los mantenimientos preventivos  a equipos de usuario final toda vez que algunos presentan bajo rendimiento.
</t>
    </r>
    <r>
      <rPr>
        <b/>
        <sz val="11"/>
        <color rgb="FF000000"/>
        <rFont val="Arial Narrow"/>
      </rPr>
      <t>15/05/2023-LMVL</t>
    </r>
    <r>
      <rPr>
        <sz val="11"/>
        <color rgb="FF000000"/>
        <rFont val="Arial Narrow"/>
      </rPr>
      <t>: Con base en el seguimiento se evidencia cumplimiento y efectividad del control, para servicios de servidores toda vez que no se ha materizalido el riesgo. Es importante tener en cuenta un cronograma y su ejecución para mantenimiento de equipos para usuario final.</t>
    </r>
  </si>
  <si>
    <r>
      <rPr>
        <b/>
        <sz val="11"/>
        <color rgb="FF000000"/>
        <rFont val="Arial Narrow"/>
      </rPr>
      <t xml:space="preserve">
25/09/2023-LMVL: </t>
    </r>
    <r>
      <rPr>
        <sz val="11"/>
        <color rgb="FF000000"/>
        <rFont val="Arial Narrow"/>
      </rPr>
      <t xml:space="preserve">N/A
</t>
    </r>
    <r>
      <rPr>
        <b/>
        <sz val="11"/>
        <color rgb="FF000000"/>
        <rFont val="Arial Narrow"/>
      </rPr>
      <t>15/05/2023-LMVL</t>
    </r>
    <r>
      <rPr>
        <sz val="11"/>
        <color rgb="FF000000"/>
        <rFont val="Arial Narrow"/>
      </rPr>
      <t>: N/A</t>
    </r>
  </si>
  <si>
    <t>Adquisición de bienes o  servicios que no cumplan con las necesidades de la entidad</t>
  </si>
  <si>
    <t>Desconocimiento de tecnologías existentes y disponibles y debilidades en la activación de los protocolos y apoyo en los expertos técnicos del equipo de infraestructura de TI</t>
  </si>
  <si>
    <t>Validación de los estudios técnicos y análisis de mercado de los procesos precontractuales en los meses en que se desarrollen procesos contractuales</t>
  </si>
  <si>
    <t xml:space="preserve">Actividades de grupo de gestión de cambios para el análisis y seguimiento de adquisiciones </t>
  </si>
  <si>
    <t>Personal del area precontractual de la OTIC</t>
  </si>
  <si>
    <t>10/02/2023
__________
10/03/2023
__________
10/04/2023</t>
  </si>
  <si>
    <t>No se requiere seguimiento de cambios en enero.
__________________________________________
No se requiere seguimiento de cambios en febrero.
__________________________________________
No se requiere seguimiento de cambios en Marzo.</t>
  </si>
  <si>
    <t>10/05/2023
____________
07/06/2023
_____________
11/07/2023</t>
  </si>
  <si>
    <t>Se trabajo los documentos precontractuales para la adquisiciòn de los creditos de azure y office 365.
________________________________
No hubo reuniones para la gestión del cambio en el mes. No se requirio.
________________________________
No hubo reuniones para la gestión del cambio en el mes. No se requirio.</t>
  </si>
  <si>
    <t>Se trabajó con el comité de cambios, el inventario de equipos de usuario y el anexo técnico para el proceso de mantenimiento de usuario final.
_____________________________________
No hubó adquisiciones o necesidad de ellas para el mes de agosto, se revisó el anexó técnico de autocad y adobe para renovación de licencia.</t>
  </si>
  <si>
    <t>Adición de licenciamiento del contrato de Wi-Fi - Documentos Técnicos para renovación firewall / antivirus y generación de respaldos.
____________________________________________
Se realizó estudio de mercado para la compra y alquiler de computadores y perifericos, mediante acuerdo marco para scanners
____________________________________________
El contrato de mantenimiento se solicitó cambio de modalidad para salir a selección abreviada menor cuantía.
Se realizó seguimiento a contratos ejecutados en febrero y marzo. Y se solicitó la prorroga de la Orden de Compra 091005 Servicios de Impresión.</t>
  </si>
  <si>
    <t>Responsable de contratos OTIC</t>
  </si>
  <si>
    <r>
      <rPr>
        <sz val="11"/>
        <color rgb="FF000000"/>
        <rFont val="Arial Narrow"/>
        <family val="2"/>
      </rPr>
      <t xml:space="preserve">Carpeta Riesgos de Gestión/Riesgo 2/Control 1/
</t>
    </r>
    <r>
      <rPr>
        <b/>
        <sz val="11"/>
        <color rgb="FF000000"/>
        <rFont val="Arial Narrow"/>
        <family val="2"/>
      </rPr>
      <t>\Enero:
Carpetas: \ADICION WIFI; \FIREWALL - ANTIVIRUS; \GESTIÓN DE RESPALDOS
\Febrero:
Carpeta: \ALQUILER DE ESCANER
\Marzo:
Carpetas:</t>
    </r>
    <r>
      <rPr>
        <sz val="11"/>
        <color rgb="FF000000"/>
        <rFont val="Arial Narrow"/>
        <family val="2"/>
      </rPr>
      <t xml:space="preserve">  \ADICION RMP; \PRORROGA IMPRESIÓN</t>
    </r>
  </si>
  <si>
    <t>Durante el mes de abril no se realizan procesos precontractuales. No aplica el control
____________________________________________
Se adelantó el proceso de Office 365, creditos Azure y prorroga de la Orden de Compra 91005.
____________________________________________
Se formalizó el contrato de creditos Azure y se creo el evento de cotización en la Tienda Virtual del Estado Colombiano para la renovación del licenciamiento de office 365.</t>
  </si>
  <si>
    <r>
      <rPr>
        <b/>
        <sz val="11"/>
        <color rgb="FF000000"/>
        <rFont val="Arial Narrow"/>
      </rPr>
      <t xml:space="preserve">SEGUNDO TRIMESTRE/12. TIC/RIESGOS DE GESTION/RIESGO 2/CONTROL1/
MAYO:
</t>
    </r>
    <r>
      <rPr>
        <sz val="11"/>
        <color rgb="FF000000"/>
        <rFont val="Arial Narrow"/>
      </rPr>
      <t xml:space="preserve">Carpetas:
DRP - AZURE
MICROSOFT 365
PRORROGA IMPRESIÓN
</t>
    </r>
    <r>
      <rPr>
        <b/>
        <sz val="11"/>
        <color rgb="FF000000"/>
        <rFont val="Arial Narrow"/>
      </rPr>
      <t xml:space="preserve">JUNIO:
</t>
    </r>
    <r>
      <rPr>
        <sz val="11"/>
        <color rgb="FF000000"/>
        <rFont val="Arial Narrow"/>
      </rPr>
      <t xml:space="preserve">Correo_creación evento de cotización office 365
Orden de compra 111273 - azure
</t>
    </r>
  </si>
  <si>
    <t>Se trabajó con el comité de cambios, el inventario de equipos de usuario y el anexo técnico para el proceso de mantenimiento de usuario final.
_______________________________________________
Se revisó el anexo técnico de autocad y adobe por medio del comite de gestión de cambios de la OTIC.</t>
  </si>
  <si>
    <r>
      <rPr>
        <b/>
        <sz val="11"/>
        <color rgb="FF000000"/>
        <rFont val="Arial Narrow"/>
      </rPr>
      <t xml:space="preserve">TERCER TRIMESTRE/12. TIC/RIESGOS DE GESTION/RIESGO 2/CONTROL1/
JULIO:
</t>
    </r>
    <r>
      <rPr>
        <sz val="11"/>
        <color rgb="FF000000"/>
        <rFont val="Arial Narrow"/>
      </rPr>
      <t>https://uaespdc.sharepoint.com/:f:/s/EQUIPOOAP266/Er3Ru9jIzApBn-DRddiw3tEBEugsmBGsJdU0qKDRBjgTew?e=9yyFLg</t>
    </r>
  </si>
  <si>
    <t xml:space="preserve">Se realiza seguimiento a la acción y los soportes son coherentes con lo reportado </t>
  </si>
  <si>
    <r>
      <rPr>
        <b/>
        <sz val="11"/>
        <color rgb="FF000000"/>
        <rFont val="Arial Narrow"/>
      </rPr>
      <t xml:space="preserve">25/09/2023-LMVL: </t>
    </r>
    <r>
      <rPr>
        <sz val="11"/>
        <color rgb="FF000000"/>
        <rFont val="Arial Narrow"/>
      </rPr>
      <t xml:space="preserve">Se evidenció documentos de estudios contratuales como adobe, azzure, autocad, un borrador de documento de anexo técnico de mantenimiento de TI.
</t>
    </r>
    <r>
      <rPr>
        <b/>
        <sz val="11"/>
        <color rgb="FF000000"/>
        <rFont val="Arial Narrow"/>
      </rPr>
      <t>15/05/2023-LMVL:</t>
    </r>
    <r>
      <rPr>
        <sz val="11"/>
        <color rgb="FF000000"/>
        <rFont val="Arial Narrow"/>
      </rPr>
      <t xml:space="preserve"> Se evidencia estudios de mercado para equipos scanner y estudios previos de perifericos Proceso de contratación a través del Acuerdo Marco para la Compra y Alquiler de 
Computadores y Periféricos - ETP III CCE-280-AMP-2021, que al revisar se encuentra renovado a la fecha.</t>
    </r>
  </si>
  <si>
    <r>
      <rPr>
        <b/>
        <sz val="11"/>
        <color rgb="FF000000"/>
        <rFont val="Arial Narrow"/>
      </rPr>
      <t>25/09/2023-LMVL: C</t>
    </r>
    <r>
      <rPr>
        <sz val="11"/>
        <color rgb="FF000000"/>
        <rFont val="Arial Narrow"/>
      </rPr>
      <t xml:space="preserve">on base en el seguimiento se evidencia la vigencia de lo reportado, para este seguimiento se observa la efectividad del control, no se ha materializado el riesgo-.
</t>
    </r>
    <r>
      <rPr>
        <b/>
        <sz val="11"/>
        <color rgb="FF000000"/>
        <rFont val="Arial Narrow"/>
      </rPr>
      <t xml:space="preserve">15/05/2023-LMVL: </t>
    </r>
    <r>
      <rPr>
        <sz val="11"/>
        <color rgb="FF000000"/>
        <rFont val="Arial Narrow"/>
      </rPr>
      <t xml:space="preserve">Con base en el seguimiento se evidencia la vigencia de lo reportado, para este seguimiento se observa la efectividad del control y mejoramiento toda vez que se había reportado en auditoría de derechos de autor. </t>
    </r>
  </si>
  <si>
    <r>
      <rPr>
        <b/>
        <sz val="11"/>
        <color rgb="FF000000"/>
        <rFont val="Arial Narrow"/>
      </rPr>
      <t>15/05/2023-LMVL: P</t>
    </r>
    <r>
      <rPr>
        <sz val="11"/>
        <color rgb="FF000000"/>
        <rFont val="Arial Narrow"/>
      </rPr>
      <t xml:space="preserve">ara este seguimiento se evidencia ejecución de la acción.
</t>
    </r>
    <r>
      <rPr>
        <b/>
        <sz val="11"/>
        <color rgb="FF000000"/>
        <rFont val="Arial Narrow"/>
      </rPr>
      <t xml:space="preserve">
15/05/2023-LMVL</t>
    </r>
    <r>
      <rPr>
        <sz val="11"/>
        <color rgb="FF000000"/>
        <rFont val="Arial Narrow"/>
      </rPr>
      <t>: Para este seguimiento aún no se ejecuta la acción, como se encuentra dentro de las fechas establecidas, se validará en el próximo  seguimiento.</t>
    </r>
  </si>
  <si>
    <t>Análisis del riesgo residual</t>
  </si>
  <si>
    <t>Probabilidad</t>
  </si>
  <si>
    <t>Perfil del Riesgo</t>
  </si>
  <si>
    <t>Propósito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</si>
  <si>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</si>
  <si>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</si>
  <si>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</si>
  <si>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</si>
  <si>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</si>
  <si>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</si>
  <si>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</si>
  <si>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</si>
  <si>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</si>
  <si>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Acción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</si>
  <si>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</si>
  <si>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</si>
  <si>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</si>
  <si>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</si>
  <si>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</si>
  <si>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</si>
  <si>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</si>
  <si>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</si>
  <si>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 xml:space="preserve">Posibilidad de beneficio propio o de un tercero por utilización indebida de los recursos de TI por incumplimiento de las políticas de derechos de autor y propiedad intelectual por debilidades en los controles de acceso al código fuente  </t>
  </si>
  <si>
    <t>Utilización indebida de los recursos de TI</t>
  </si>
  <si>
    <t xml:space="preserve">Incumplimiento de las políticas de derechos de autor y propiedad intelectual por debilidades en los controles de acceso al código fuente  </t>
  </si>
  <si>
    <t>Fraude Interno</t>
  </si>
  <si>
    <t>Seguimiento y verificación de acceso y acciones en el repositorio de codigos fuentes.</t>
  </si>
  <si>
    <t>FUERTE</t>
  </si>
  <si>
    <t>No aplica</t>
  </si>
  <si>
    <t>DIRECTAMENTE</t>
  </si>
  <si>
    <t>Reducir</t>
  </si>
  <si>
    <t>Socializar los lineamientos normativos y buenas prácticas existentes de derechos de autor y propiedad intelectual</t>
  </si>
  <si>
    <t>Responsable de Datos Personales</t>
  </si>
  <si>
    <t>10/02/2023
________
10/03/2023
________
10/04/2023</t>
  </si>
  <si>
    <t>No se realiza este mes.
----------------------------------
Se envio pieza comunicativa al interior de la Entidad sobre derechos de autor y propiedad intelectual, a través del correo electrónico institucional.
___________________
Se socializó sobre la introducción a la propiedad insdustrial (Propiedad intelectual y derechos de autor) - Informe Tipo Propiedad Intelectual marzo.docx</t>
  </si>
  <si>
    <t>10/05/2023
_________________
07-06-2023
_________________
11-07-2023</t>
  </si>
  <si>
    <t>No se realiza este mes
___________
Se envió pieza comunicativa masiva sobre propiedad intelectual
___________
para el mes de junio no se tuvo programado ninguna actividad.</t>
  </si>
  <si>
    <t>3/08/2023
____________
01/09/2023</t>
  </si>
  <si>
    <t>Se enviaron dos piezas comunicativas sobre propiedad intelectua y derechos de autor.
_____________
Se realizó charlas sobre propiedad industrial y derechos de autor.</t>
  </si>
  <si>
    <t>Se verifica en el repositorio de versionamientos GIT, el codigo fuente de oddo, Orfeo y Orfeo 7.
_____________________________
Se verifica que para el mes de febrero solo se accede al repositorio los desarrolladores y cada uno solo puede acceder a los directorios de cada desarollo asignado. No se observa desviación en los permiso de acceso al repositorio de codigo fuente GITLAB
_____________________________
Se hace seguimiento a los accesos de los repositiorios de codigo en desarrollo y producción. No se observa accesos no autorizados y se evidencia la implementación al 100% de la herramienta GITLAB</t>
  </si>
  <si>
    <t>Adminsitrador Repositorio de versionamiento de codigos</t>
  </si>
  <si>
    <r>
      <t>Carpeta Riesgos de Corrupción/Riesgo 1/Control 1/</t>
    </r>
    <r>
      <rPr>
        <b/>
        <sz val="11"/>
        <color rgb="FF000000"/>
        <rFont val="Arial Narrow"/>
        <family val="2"/>
      </rPr>
      <t xml:space="preserve">
\Enero:
Informe Avance GIT 9
\Febrero:
Informe Avance GIT 10
\Marzo:
Informe Avance GIT 11</t>
    </r>
  </si>
  <si>
    <t>8/05/2023
_____________
07-06-2023
_____________
11-07-2023</t>
  </si>
  <si>
    <t>Se tiene 14 repositorios en gitlab, de los cuales no se observa un acceso no autorizado a los codigos fuente. Se realiza monitoreo mensual, solo los desarrolladores autorizados ingresan al repositorio del codigo asociado al desarrollo del cual estan liderando.
_____________________
Se realiza seguimiento y monitoreo al acceso del repositorio de codigos fuentes, GIT LAB, no se obersa accesos no permitidos o eventos anomalos.
______________________
Se realiza seguimiento y monitoreo al acceso del repositorio de codigos fuentes, GIT LAB, no se obsera escalamiento de privilegios o accesos no autorizados.</t>
  </si>
  <si>
    <r>
      <rPr>
        <b/>
        <sz val="11"/>
        <color rgb="FF000000"/>
        <rFont val="Arial Narrow"/>
      </rPr>
      <t xml:space="preserve">Carpeta Segundo trimestre / Riesgos de Corrupción / Riesgo 1 / Contro 1 / Abril :
</t>
    </r>
    <r>
      <rPr>
        <sz val="11"/>
        <color rgb="FF000000"/>
        <rFont val="Arial Narrow"/>
      </rPr>
      <t xml:space="preserve">Informe Avance GIT 12.pdf
</t>
    </r>
    <r>
      <rPr>
        <b/>
        <sz val="11"/>
        <color rgb="FF000000"/>
        <rFont val="Arial Narrow"/>
      </rPr>
      <t>Mayo</t>
    </r>
    <r>
      <rPr>
        <sz val="11"/>
        <color rgb="FF000000"/>
        <rFont val="Arial Narrow"/>
      </rPr>
      <t xml:space="preserve">:
Informe Avance GIT 13 fT
</t>
    </r>
    <r>
      <rPr>
        <b/>
        <sz val="11"/>
        <color rgb="FF000000"/>
        <rFont val="Arial Narrow"/>
      </rPr>
      <t>Junio</t>
    </r>
    <r>
      <rPr>
        <sz val="11"/>
        <color rgb="FF000000"/>
        <rFont val="Arial Narrow"/>
      </rPr>
      <t>:
Informe Avance GIT 14 fcT</t>
    </r>
  </si>
  <si>
    <t>3/08/2023
_______________
01/09/2023</t>
  </si>
  <si>
    <t>No se observa accesos no autorizados al repositorio de codigo fuentes. Se esta realizando la actualización de los readme.txt
_________________
Acceso: No se observa accesos no autorizados, se continua en la actualización del repositorio de codigo.</t>
  </si>
  <si>
    <r>
      <rPr>
        <b/>
        <sz val="11"/>
        <color rgb="FF000000"/>
        <rFont val="Arial Narrow"/>
      </rPr>
      <t xml:space="preserve">Carpeta Tercer trimestre / Riesgos de Corrupción / Riesgo 1 / Contro 1 / Julio :
</t>
    </r>
    <r>
      <rPr>
        <sz val="11"/>
        <color rgb="FF000000"/>
        <rFont val="Arial Narrow"/>
      </rPr>
      <t xml:space="preserve">Informe Avance GIT 15 firmaTIC.pdf
</t>
    </r>
    <r>
      <rPr>
        <b/>
        <sz val="11"/>
        <color rgb="FF000000"/>
        <rFont val="Arial Narrow"/>
      </rPr>
      <t xml:space="preserve">Agosto :
</t>
    </r>
    <r>
      <rPr>
        <sz val="11"/>
        <color rgb="FF000000"/>
        <rFont val="Arial Narrow"/>
      </rPr>
      <t>Informe Avance GIT 16 firmaTIC.pdf</t>
    </r>
  </si>
  <si>
    <t>Informar de manera oportuna a la oficina y autoridades competentes</t>
  </si>
  <si>
    <t xml:space="preserve">07/09/2023
08/05/2023
</t>
  </si>
  <si>
    <t>07/09/2023-LMVL:  Se evidencio el cumplimiento del control para el segundo custrimestre con informes de monitoreo de la herramienta GIT, donde se observó los difereentes desarrollos adelantados por la OTIC.
08/05/2023-LMVL: La OCI realiza seguimiento a control y se evidencia el cumplimiento para el primer cuatrimestre donde se evidenció informe de monitoreo del avance de la implementación de la herramienta GIT, el cual cubre los desarrollos de software adelantados por la Oficina TIC
07/09/2023-LMVL:  Se evidencio el cumplimiento del control para el segundo custrimestre con informes de monitoreo de la herramienta GIT, donde se observó los difereentes desarrollos adelantados por la OTIC.</t>
  </si>
  <si>
    <t xml:space="preserve">07/09/2023-LMVL: Se evidenció efectividad del control, no se ha materializado el riesgo.
08/05/2023-LMVL: De acuerdo con la revisión y la evidencias aportadas por parte del proceso se verifica la efectividad del control, toda vez que no se ha materializado el riesgo.
 </t>
  </si>
  <si>
    <t xml:space="preserve">07/09/2023-LMVL: Para el seguimiento del segundo cuatrimenstre se evidenció el cumplimiento de la acción en los meses de julio y agosto.
05/08/2023-LMVL: Con base en el seguimiento del segunda línea de defensa y las evidencias aportadas por elmproceso se verifica el cumplimiento de la acción con capacitaciones sobre propiedad intelectual.
</t>
  </si>
  <si>
    <t>Descripción Activos de Información</t>
  </si>
  <si>
    <t>Tipo de Activos / Grupo de Activos</t>
  </si>
  <si>
    <t>Amenaza</t>
  </si>
  <si>
    <t>Vulnerabilidad</t>
  </si>
  <si>
    <t>Tipo de Riesgo Digital</t>
  </si>
  <si>
    <t>Posibilidad de pérdida de la confidencialidad de la información por la divulgación no autorizada de la información debido a errores o fallas en los sistemas criticos de TI, adquisición del software con fallas, ataques cibernéticos e incumplimiento de las políticas, procedimientos y legislación vigente relacionada</t>
  </si>
  <si>
    <t>Infraestructura Critica de TI</t>
  </si>
  <si>
    <t>Software</t>
  </si>
  <si>
    <t>Hurto de Información institucional</t>
  </si>
  <si>
    <t>Redes de comunicación sin protección</t>
  </si>
  <si>
    <t>Fallas Tecnológicas</t>
  </si>
  <si>
    <t>Perdida de Confidencialidad</t>
  </si>
  <si>
    <t>Controles de red:
- Verificar y actualizar que se estén cumpliendo los procedimientos, controles  y buenas practicas para el uso del cableado estructurado en los centros de datos de toda la entidad.
- Protección de las transacciones por redes de datos, Informe de monitoreo de las redes de datos.
- Monitoreo y controles a redes wifi y dispositivos móviles
-  Mecanismos de seguridad asociados a servicios en red.</t>
  </si>
  <si>
    <t>Implementar, documentar y verificar el adecuado funcionamiento del DLP (Data lost protection)</t>
  </si>
  <si>
    <t>Personal de Infraestructura de TI</t>
  </si>
  <si>
    <t>10/02/2023
__________
10/03/2023
_________
10/04/2023</t>
  </si>
  <si>
    <t>Se revisa con el proveedor de la solución DLP (Trent Micro) donde se deduce luego de varias pruebas, que no es posible detectar siglas en el nombre de los archivos, por lo cual se sugiere etiequetar la información digital dentro del documento o archivo. 01-30_Informe Anti-Malware enero 2023.pdf
_______________________________________________
Se revisa con la OAP el ajusto en los formatos del SIG de acuerdo con los lineamiento de etiquetado de información. Pendiente el envio de documentos de prueba por parte de la OAP.
_______________________________________________
Documentos de prueba recibidos el 13de marzo, no obstante Este piloto se aplaza hasta que no se cuente con el licenciamiento activo para la
solución Trend Micro que actualmente se encuentra en periodo trial, se está a la espera
de la adjudicación del contrato.</t>
  </si>
  <si>
    <r>
      <rPr>
        <sz val="11"/>
        <color rgb="FF000000"/>
        <rFont val="Arial Narrow"/>
      </rPr>
      <t>10/0</t>
    </r>
    <r>
      <rPr>
        <i/>
        <sz val="11"/>
        <color rgb="FF000000"/>
        <rFont val="Arial Narrow"/>
      </rPr>
      <t>5/</t>
    </r>
    <r>
      <rPr>
        <sz val="11"/>
        <color rgb="FF000000"/>
        <rFont val="Arial Narrow"/>
      </rPr>
      <t>2023
_______________
07/06/2023
_______________
11/07/2023</t>
    </r>
  </si>
  <si>
    <t>Sigue proceso
____________
Se encuentra en fase de pruebas y se solicita verificaciòn con el proveedor.
_____________
Se realiza reuniòn con el proveedor para configurar herramienta y se esta a la espera de validar las pruebas respectivas.</t>
  </si>
  <si>
    <t>3/08/2023
______________
01/09/2023</t>
  </si>
  <si>
    <t>Se realizarón las pruebas con el proveedor BHA de forma presencial, se verifica funcionamiento existiendo limitante con la detección por correo electrónico.
________________________________
Se realizó las pruebas con el proveedor y se pondrá en producción de acuerdo con el alcance de la herramienta de trendMicro en la Entidad.</t>
  </si>
  <si>
    <t xml:space="preserve"> Se reviso el certificado de seguridad de Firewall, página WEB, ORFEO, RURO y Escritorios Remotos (VDI).
Se bloquearon botnets automaticamente por el firewall. No representó amenzas par la infraestructura TI de la Entidad.
Se usa protocolos WAP3 para autenticación de redes Wifi
No se presenta incidentes de seguridad para el mes de enereo
Controles de red.docx
_______________________________________________________
Se verifica los Acces Point y se observa un 72% iimplementados, Se monitorea la red wifi por SSID Invitados y se observa que representa un 74% del trafico total de la red Wifi.
________________________________________________________
Se listan las configuraciones de seguridad, como la potencia de emisión de las antenas wi-fi.
A nivel de RED LAN se relacionan los equipos que cumplieron su vida util, no se detectan fallas o anomalias durante el mes de marzo.
El 29/03/2023 se renovó hasta junio el certificado SSL del portal WEB y demas aplicativos WEB.</t>
  </si>
  <si>
    <t>Administrador de redes</t>
  </si>
  <si>
    <r>
      <t>Carpeta Riesgos de Seguridad de la Información/Riesgo 1/Control 1/</t>
    </r>
    <r>
      <rPr>
        <b/>
        <sz val="11"/>
        <color rgb="FF000000"/>
        <rFont val="Arial Narrow"/>
        <family val="2"/>
      </rPr>
      <t xml:space="preserve">
\Enero:
Controles de Red
Carpetas: \Carpeta Firewall red; \Carpeta reportes red WIFI;\Reportes Firewall amenazas
\Febrero:
INFORME RED LAN WIFI FEBRERO 2023
\Marzo:
Informe Marzo
Certificado_SSL</t>
    </r>
  </si>
  <si>
    <t>10/05/2023
______________
07/06/2023
_____________
11/07/2023</t>
  </si>
  <si>
    <t>Se estan revisando inconsistencias a nivel de WIFI y se estan trabajando sobre ellas. Sobre cableado estructurado no se presenta inconvenientes. Se configura potencia de los puntos de acceso para una cobertura de 50m y evitar accesos no autorizados.x
___________________________________________No se observó o detecto eventos o incidentes de seguridad que pusieran en riesgo la inraestructura de red en la Entidad. Se realizó por parte del equipo de la oficina TIC 
una serie de pruebas enfocadas a garantizar la continuidad de los servicios en 
caso de contingencia. Como resultado de esta actividad se vio la necesidad de 
requerir al proveedor del servicio de conectividad ETB la topología del servicio 
y la realización de una prueba de conmutación para garantizar la independencia 
de los canales principales y de backup contratados.
_________________________________________
Red: Se observa saturación de a la red en archivo central. Se plantea la opción de bloquear plataforma de redes sociales y streaming. En la sede central se observa saturación de la red por descarga masiva de documentos y archvios en los repositorios de la Entidad. No se presenta alertas o eventos de seguridad que pongan en riesgo la infraestructura de red o la información de la Entidad.</t>
  </si>
  <si>
    <r>
      <rPr>
        <b/>
        <sz val="11"/>
        <color rgb="FF000000"/>
        <rFont val="Arial Narrow"/>
      </rPr>
      <t xml:space="preserve">SEGUNDO TRIMESTRE/12. TIC/RIESGOS DE SEGURIDAD DE LA INFORMACION/RIESGO 1/CONTROL1/
ABRIL:
</t>
    </r>
    <r>
      <rPr>
        <sz val="11"/>
        <color rgb="FF000000"/>
        <rFont val="Arial Narrow"/>
      </rPr>
      <t xml:space="preserve">Informe Marzo.docx
</t>
    </r>
    <r>
      <rPr>
        <b/>
        <sz val="11"/>
        <color rgb="FF000000"/>
        <rFont val="Arial Narrow"/>
      </rPr>
      <t xml:space="preserve">MAYO:
</t>
    </r>
    <r>
      <rPr>
        <sz val="11"/>
        <color rgb="FF000000"/>
        <rFont val="Arial Narrow"/>
      </rPr>
      <t xml:space="preserve">Informe_Gestion de riesgos_Red LAN_WLAN _Mayo firmaTIC
</t>
    </r>
    <r>
      <rPr>
        <b/>
        <sz val="11"/>
        <color rgb="FF000000"/>
        <rFont val="Arial Narrow"/>
      </rPr>
      <t xml:space="preserve">JUNIO:
</t>
    </r>
    <r>
      <rPr>
        <sz val="11"/>
        <color rgb="FF000000"/>
        <rFont val="Arial Narrow"/>
      </rPr>
      <t>Informe_Gestion de riesgos_Red LAN_WLAN _JUNIO.pdf</t>
    </r>
  </si>
  <si>
    <t>03/08/2023
_________
01/09/2023</t>
  </si>
  <si>
    <t>No se presentan novedades en el servicio de red.
Se realizo diagnostico del cableado estructurado de la sección de casitas en la sede principal.
Para el software PLANECO, migrado por conseción, se observa imposibilidad de instalación de certificados SSL por obsolesencia y falta de soporte. Se mantiene dentro de la red loca.</t>
  </si>
  <si>
    <r>
      <rPr>
        <b/>
        <sz val="11"/>
        <color rgb="FF000000"/>
        <rFont val="Arial Narrow"/>
      </rPr>
      <t xml:space="preserve">TERCER TRIMESTRE/12. TIC/RIESGOS DE SEGURIDAD DE LA INFORMACION/RIESGO 1/CONTROL1/
JULIO:
</t>
    </r>
    <r>
      <rPr>
        <sz val="11"/>
        <color rgb="FF000000"/>
        <rFont val="Arial Narrow"/>
      </rPr>
      <t>Informe_Gestion de riesgos_Red LAN_WLAN _Julio firmaTIC.pdf
Enlace informe PlanECO: https://uaespdc.sharepoint.com/:f:/s/EQUIPOOAP266/EhYtV50EAYJKlzv_9PaM7PMBV6LSqzywXEeIVgiIeEDU8Q?e=0nhhRO</t>
    </r>
  </si>
  <si>
    <t>26/04/2023
18/07/2023</t>
  </si>
  <si>
    <t>Se realiza seguimiento a la acción y los soportes son coherentes con lo reportado 
Se realiza el seguimiento se informa que la acción esta en proceso</t>
  </si>
  <si>
    <t>25/09/2023
16/05/2023</t>
  </si>
  <si>
    <r>
      <rPr>
        <b/>
        <sz val="11"/>
        <color rgb="FF000000"/>
        <rFont val="Arial Narrow"/>
      </rPr>
      <t>25/09/2023-LMVL:</t>
    </r>
    <r>
      <rPr>
        <sz val="11"/>
        <color rgb="FF000000"/>
        <rFont val="Arial Narrow"/>
      </rPr>
      <t xml:space="preserve"> Se evidenció informes de seguimiento de la red LAN_WAN, durante los meses de mayo,junio,julio, falta agosto, esimportante tener en cuenta la solución de las recomendaciones dadas en los informes del proceso.
</t>
    </r>
    <r>
      <rPr>
        <b/>
        <sz val="11"/>
        <color rgb="FF000000"/>
        <rFont val="Arial Narrow"/>
      </rPr>
      <t xml:space="preserve">16/05/2023-LMVL: </t>
    </r>
    <r>
      <rPr>
        <sz val="11"/>
        <color rgb="FF000000"/>
        <rFont val="Arial Narrow"/>
      </rPr>
      <t>Se validan evidencia allegadas por el proceso y se evidencia un seguimiento e informes de uso de red, se manfiesta en los informes del proceso no materializar riesgo, sin embargo, si se presentó un caida del servicio a nivel de la entidad en el primer cuatrimestre(14 de marzo)  es importante que se valide y también lo que respecta al cableado estructurado especialmente en casitas.</t>
    </r>
  </si>
  <si>
    <r>
      <rPr>
        <b/>
        <sz val="11"/>
        <color rgb="FF000000"/>
        <rFont val="Arial Narrow"/>
      </rPr>
      <t xml:space="preserve">25/09/2023-LMVL: </t>
    </r>
    <r>
      <rPr>
        <sz val="11"/>
        <color rgb="FF000000"/>
        <rFont val="Arial Narrow"/>
      </rPr>
      <t xml:space="preserve">Se evidencia seguimiento y efectividad del control, por lo tanto el control ha sido efectivo. Sin embargo, es necesario que se revise el cableado de casitas para evitar materialización del riesgo.
</t>
    </r>
    <r>
      <rPr>
        <b/>
        <sz val="11"/>
        <color rgb="FF000000"/>
        <rFont val="Arial Narrow"/>
      </rPr>
      <t>16/0572023:LMVL</t>
    </r>
    <r>
      <rPr>
        <sz val="11"/>
        <color rgb="FF000000"/>
        <rFont val="Arial Narrow"/>
      </rPr>
      <t xml:space="preserve">: Se evidencia documentación relacionada con uso de red, al presentarse una falla en el priner cuatrimestre se concluye que el control no ha sido efectivo. </t>
    </r>
  </si>
  <si>
    <r>
      <rPr>
        <b/>
        <sz val="11"/>
        <color rgb="FF000000"/>
        <rFont val="Arial Narrow"/>
      </rPr>
      <t>25/09/2023-LMVL: P</t>
    </r>
    <r>
      <rPr>
        <sz val="11"/>
        <color rgb="FF000000"/>
        <rFont val="Arial Narrow"/>
      </rPr>
      <t xml:space="preserve">ara esta seguimiento aún no se evidencia ejecución de la acción, por cuanto se observa que aún esta en proceso la implementación del DLP. Se validará nuevamente en el próximo seguimiento.
</t>
    </r>
    <r>
      <rPr>
        <b/>
        <sz val="11"/>
        <color rgb="FF000000"/>
        <rFont val="Arial Narrow"/>
      </rPr>
      <t xml:space="preserve">16/05/2023-LMVL: </t>
    </r>
    <r>
      <rPr>
        <sz val="11"/>
        <color rgb="FF000000"/>
        <rFont val="Arial Narrow"/>
      </rPr>
      <t>Para esta seguimiento aún no se evidencia ejecución de la acción, por cuanto se observa que aún esta en proceso la implementación del DLP. Se validará nuevamente en el próximo seguimiento.</t>
    </r>
  </si>
  <si>
    <t>Comprometer información confidencial</t>
  </si>
  <si>
    <t>Asignación errada de los derechos de acceso</t>
  </si>
  <si>
    <t xml:space="preserve"> Seguimiento y verificación de derechos de acceso. (Bitacora de acceso al datacenter y revisión periodica de derechos de acceso de usuarios final)</t>
  </si>
  <si>
    <t>Verificar el cumplimiento de la política de datos personales, por medio de  la matriz de controles de seguridad de datos - protección de datos personales suministrada por la alta consejería TIC.</t>
  </si>
  <si>
    <t>Responsable de datos personales</t>
  </si>
  <si>
    <t>No se realiza acción, planificado para el mes de marzo.
_______________________________________________
Se verifico los avisos de videovigilancia y los avisos de privacidad en la sede principal y el punto vive digital. (Ver Carpeta Anexo 2).
_______________________________________________
Se validó el checklist de controles de seguridad de datos personales suministrado por la alta concejeria distrital TIC. Se solictó la adopción e implementación de formatos en relación a tratamiento de datos personales.
Se atendió la auditoria interna sobre datos personales, liderada por la OCI.</t>
  </si>
  <si>
    <t>No se requiere para el mes
________________
Se realiza verificaciòn a travès del instrumento de la alta consejeria distrital TIC
________________
Se diligencia el GAP para entregar a la alta consejerìa distrital TIC</t>
  </si>
  <si>
    <t>03/08/2023
____________
01/09/2023</t>
  </si>
  <si>
    <t>Se solicitó el cambio de formatos para la inclusión de los lineamientos de la política de datos personales.
________________________________
Se realizo sensibilziación de datos personales por parte de la SIC.
Se encuentra en proceso la actualización de la política de tratamiento de datos personales.</t>
  </si>
  <si>
    <t>Se revisa reporte o log de la Bitacora de Acceso al DataCenter y no se observa comportamiento o accesos no autorizados.
_______________________________________
De acuerdo con el registro de acceso al Data Center, no se observa ingresos no autorizados al datacenter o a la Oficina del Data Center.
_______________________________________
Durante el mes de marzo no se presentó ningún acceso no autorizado.Hubo ingreso al DataCenter por parte de personal externo a la Entidad con autorización del jefe de la Oficina TIC y supervisión de personal de infraestructura, para propositos propios de la Adminsitración de Servidores. Esta persona no tuvo credenciales de acceso y siempre fue supervisado, lo cual no supuso riesgo para la infraestructura o activos criticos de la Entidad y la Oficina TIC.</t>
  </si>
  <si>
    <t>Administrador de Infraestructura</t>
  </si>
  <si>
    <r>
      <rPr>
        <b/>
        <sz val="11"/>
        <color rgb="FF000000"/>
        <rFont val="Arial Narrow"/>
        <family val="2"/>
      </rPr>
      <t xml:space="preserve">Carpeta Riesgos de Seguridad de la Información/Riesgo 1/Control 2/
\Enero:
</t>
    </r>
    <r>
      <rPr>
        <sz val="11"/>
        <color rgb="FF000000"/>
        <rFont val="Arial Narrow"/>
        <family val="2"/>
      </rPr>
      <t xml:space="preserve">Eventos enero 2023
</t>
    </r>
    <r>
      <rPr>
        <b/>
        <sz val="11"/>
        <color rgb="FF000000"/>
        <rFont val="Arial Narrow"/>
        <family val="2"/>
      </rPr>
      <t xml:space="preserve">
\Febrero:
</t>
    </r>
    <r>
      <rPr>
        <sz val="11"/>
        <color rgb="FF000000"/>
        <rFont val="Arial Narrow"/>
        <family val="2"/>
      </rPr>
      <t xml:space="preserve">Carpeta: \bitacora data
</t>
    </r>
    <r>
      <rPr>
        <b/>
        <sz val="11"/>
        <color rgb="FF000000"/>
        <rFont val="Arial Narrow"/>
        <family val="2"/>
      </rPr>
      <t xml:space="preserve">
\Marzo:
</t>
    </r>
    <r>
      <rPr>
        <sz val="11"/>
        <color rgb="FF000000"/>
        <rFont val="Arial Narrow"/>
        <family val="2"/>
      </rPr>
      <t>Informe bitacora data center
Eventos marzo 2023</t>
    </r>
  </si>
  <si>
    <t>Se realiza la revisión de los registros de la bitácora del control de acceso biométrico del data center, no se observa ingresos anomalos o sin autoriuzación. Tampoco hubo solicitudes de acceso de personal extero o interno diferente a los autorizados por la otic
__________________________________________
No se presentan ingresos no autorizados o eventos anomalos. Se autoriza el ingreso de un ingeniero de la compañia FORTINET para un assesment de seguridad.
_____________________________________
Se inicia el proceso de solicitud de usuarios con sus roles y perfiles en los aplicativos y sistemas críticos de la Entidad. 
Se observó un usuarios en Orfeo con rol de administrador que no debería tener, el administrador funcional informa que aunque tiene un rol de administrador sus nivel de seguridad es 1 y los permisos estan configurados para usuario general. Se retira el rol de administrador.
DataCenter: Ingresó autorizado de personal de ETB, supervisado, para realizar el mantenimiento prevnetivo especializado. No se observan ingresoso o eventos anomalos.</t>
  </si>
  <si>
    <r>
      <rPr>
        <b/>
        <sz val="11"/>
        <color rgb="FF000000"/>
        <rFont val="Arial Narrow"/>
      </rPr>
      <t xml:space="preserve">SEGUNDO TRIMESTRE/12. TIC/RIESGOS DE SEGURIDAD DE LA INFORMACION/RIESGO 1/CONTROL2/
ABRIL:
</t>
    </r>
    <r>
      <rPr>
        <sz val="11"/>
        <color rgb="FF000000"/>
        <rFont val="Arial Narrow"/>
      </rPr>
      <t xml:space="preserve">Eventos Abril 2023.xls
Formato_Informe_OTIC_v1.docx
</t>
    </r>
    <r>
      <rPr>
        <b/>
        <sz val="11"/>
        <color rgb="FF000000"/>
        <rFont val="Arial Narrow"/>
      </rPr>
      <t xml:space="preserve">JUNIO:
</t>
    </r>
    <r>
      <rPr>
        <sz val="11"/>
        <color rgb="FF000000"/>
        <rFont val="Arial Narrow"/>
      </rPr>
      <t>Carpeta /Derechos de acceso
informe junio riesgos 2023 fcT.pdf</t>
    </r>
  </si>
  <si>
    <t>DataCenter: No hay ingreso de personal externo o no autorizado.
Usuario final: Se ajustó el rol  del usuario German Sandoval en Orfeo por tener un perfil que no coincidiía con sus funciones. No se observa escalación de privilegios o roles asignados por encima de los establecio en las políticas.
________________________
No hubo ingresos  de personal externo o no autorizados al DataCenter</t>
  </si>
  <si>
    <r>
      <rPr>
        <b/>
        <sz val="11"/>
        <color rgb="FF000000"/>
        <rFont val="Arial Narrow"/>
      </rPr>
      <t xml:space="preserve">TERCER TRIMESTRE/12. TIC/RIESGOS DE SEGURIDAD DE LA INFORMACION/RIESGO 1/CONTROL2/
JULIO:
</t>
    </r>
    <r>
      <rPr>
        <sz val="11"/>
        <color rgb="FF000000"/>
        <rFont val="Arial Narrow"/>
      </rPr>
      <t xml:space="preserve">Riesgos julio 2023 FL firmaTIC.pdf 
</t>
    </r>
    <r>
      <rPr>
        <b/>
        <sz val="11"/>
        <color rgb="FF000000"/>
        <rFont val="Arial Narrow"/>
      </rPr>
      <t>AGOSTO</t>
    </r>
    <r>
      <rPr>
        <sz val="11"/>
        <color rgb="FF000000"/>
        <rFont val="Arial Narrow"/>
      </rPr>
      <t xml:space="preserve">:
Riesgos agosto 2023.pdf </t>
    </r>
  </si>
  <si>
    <r>
      <rPr>
        <b/>
        <sz val="11"/>
        <color rgb="FF000000"/>
        <rFont val="Arial Narrow"/>
      </rPr>
      <t xml:space="preserve">25/09/2023-LMVL: </t>
    </r>
    <r>
      <rPr>
        <sz val="11"/>
        <color rgb="FF000000"/>
        <rFont val="Arial Narrow"/>
      </rPr>
      <t xml:space="preserve">Se evidenció cumplimiento del control por parte del proceso en cuanto al contrpl de acceso al Data center, es importante contar con la solución pronta de falla de la interface del appliance
</t>
    </r>
    <r>
      <rPr>
        <b/>
        <sz val="11"/>
        <color rgb="FF000000"/>
        <rFont val="Arial Narrow"/>
      </rPr>
      <t>16/05/2023-LMVL</t>
    </r>
    <r>
      <rPr>
        <sz val="11"/>
        <color rgb="FF000000"/>
        <rFont val="Arial Narrow"/>
      </rPr>
      <t>: Con base en la evidencias allegadas por el proceso se evidencia el ingreso de personal externo que no cuenta con ningún vínculo labora ni contractual con el entidad, esto se genera por no contar con gestión y transferencia de conocimiento en en el área el cual pone en riesgo la infraestructura su operación y seguridad de la información.</t>
    </r>
  </si>
  <si>
    <r>
      <rPr>
        <b/>
        <sz val="11"/>
        <color rgb="FF000000"/>
        <rFont val="Arial Narrow"/>
      </rPr>
      <t>25/09/2023-LMVL:</t>
    </r>
    <r>
      <rPr>
        <sz val="11"/>
        <color rgb="FF000000"/>
        <rFont val="Arial Narrow"/>
      </rPr>
      <t xml:space="preserve"> Se evidenció cumplimiento y efectividad del control, no se ha materializado el riesgo.
</t>
    </r>
    <r>
      <rPr>
        <b/>
        <sz val="11"/>
        <color rgb="FF000000"/>
        <rFont val="Arial Narrow"/>
      </rPr>
      <t>16/05/2023-LMVL</t>
    </r>
    <r>
      <rPr>
        <sz val="11"/>
        <color rgb="FF000000"/>
        <rFont val="Arial Narrow"/>
      </rPr>
      <t>: De acuerdo con lo evaluado no se evidencia cumplimiento ni efectividad del control, se recomienda tenerlo presente, toda vez que a raiz de la falla tecnológica presentada se materializa riesgo.</t>
    </r>
  </si>
  <si>
    <r>
      <rPr>
        <b/>
        <sz val="11"/>
        <color rgb="FF000000"/>
        <rFont val="Arial Narrow"/>
      </rPr>
      <t xml:space="preserve">25/09/2023-LMVL: </t>
    </r>
    <r>
      <rPr>
        <sz val="11"/>
        <color rgb="FF000000"/>
        <rFont val="Arial Narrow"/>
      </rPr>
      <t xml:space="preserve">Se evidenció cumplimiento de la acción con informes de protección de datos personales para los meses de evaluación. 
</t>
    </r>
    <r>
      <rPr>
        <b/>
        <sz val="11"/>
        <color rgb="FF000000"/>
        <rFont val="Arial Narrow"/>
      </rPr>
      <t>16/05/2023-LMVL</t>
    </r>
    <r>
      <rPr>
        <sz val="11"/>
        <color rgb="FF000000"/>
        <rFont val="Arial Narrow"/>
      </rPr>
      <t>: Para este seguimiento se evidencian avances con el tema de PDP, se manifiesta por parte del proceso tener en cuenta la auditoría realizada por la OCI. Por lo tanto, se volverá a validar en el próximo seguimiento.</t>
    </r>
  </si>
  <si>
    <t>Revelación de Información</t>
  </si>
  <si>
    <t>Software nuevo o inmaduro</t>
  </si>
  <si>
    <t xml:space="preserve">Verificación del cumplimiento de la política y del manual de desarrollo seguro </t>
  </si>
  <si>
    <t>40%</t>
  </si>
  <si>
    <t>Implementar, documentar y verificar el adecuado funcionamiento del SIEM (Security Información and Event Management)</t>
  </si>
  <si>
    <t>EL SIEM implementado generó alertas de gravedad alta, media o baja, que se gestionaron adecuadamente sin que implicará la materialización de riesgos para la infraestructura de la Entidad, de acuerdo con el informe presentado (informe siem.docx)
_______________________________________________________
Se genera alerta por suplantación de un correo de la Fiscalia, se genera pieza informativa, no se observa materialización de ningun riesgo y se establece cronograma para el afinamiento.
_______________________________________________________
El SIEM ha detectado amenazas que fueron aisladas y que pusieron en riesgo la infraestructura tencológica de la Entidad.</t>
  </si>
  <si>
    <t>10/05/2023
_______________
07/06/2023
_______________
11/07/2023</t>
  </si>
  <si>
    <t>Funcionando hasta la fecha, relacionado en el informe de riesopgs de gestiòn 1, control 2.
______________
Se apaga el SIEM por alto consumo de creditos en la nube y se monitorea por microsoft defender. relacionado en el informe de riesgos de gestiòn 1, control 2.
_______________
Se apaga el SIEM por alto consumo de creditos en la nube y se monitorea por microsoft defender. relacionado en el informe de riesgos de gestiòn 1, control 2.</t>
  </si>
  <si>
    <t>Se mantienen apagado, en espera de migrar Orfeo a Azure y evaluar disponibilidad de recursos para su reactivación - Se monitorea con microsfot security</t>
  </si>
  <si>
    <t>Se realizó seguimiento en el mes de Enero para ODOO y SIRA. Se anexa Acta de reunión Acta_Reunion_Desarrollo_Enero2023_IPC-M-3.pdf.
_______________________________________________
Se realiza seguimiento a los desarrollo, el estado del GIT y la necesidad de actualizar el manual de desarrollo seguro, verificando el cumplimineto de lo allí establecido hasta el momento.
_______________________________________________
Hasta el momento no se han creado mas ambientes de desarrollo, producción y pruebas. Se hace seguimiento a los desarrollos y los ambientes requeridos por cada uno de ellos, sin encontrar desviaciones al manual y politica de desarrollo seguro.</t>
  </si>
  <si>
    <t>Administrador de Base de Datos</t>
  </si>
  <si>
    <r>
      <rPr>
        <b/>
        <sz val="11"/>
        <color rgb="FF000000"/>
        <rFont val="Arial Narrow"/>
        <family val="2"/>
      </rPr>
      <t xml:space="preserve">Carpeta Riesgos de Seguridad de la Información/Riesgo 1/Control 3/
\Enero:
</t>
    </r>
    <r>
      <rPr>
        <sz val="11"/>
        <color rgb="FF000000"/>
        <rFont val="Arial Narrow"/>
        <family val="2"/>
      </rPr>
      <t xml:space="preserve">Acta_Reunion_Desarrollo_Enero2023_IPC-M-3
</t>
    </r>
    <r>
      <rPr>
        <b/>
        <sz val="11"/>
        <color rgb="FF000000"/>
        <rFont val="Arial Narrow"/>
        <family val="2"/>
      </rPr>
      <t xml:space="preserve">
\Febrero:
</t>
    </r>
    <r>
      <rPr>
        <sz val="11"/>
        <color rgb="FF000000"/>
        <rFont val="Arial Narrow"/>
        <family val="2"/>
      </rPr>
      <t xml:space="preserve">Acta 02 27 feb Seguimiento Desarrollo
</t>
    </r>
    <r>
      <rPr>
        <b/>
        <sz val="11"/>
        <color rgb="FF000000"/>
        <rFont val="Arial Narrow"/>
        <family val="2"/>
      </rPr>
      <t xml:space="preserve">
\Marzo:
</t>
    </r>
    <r>
      <rPr>
        <sz val="11"/>
        <color rgb="FF000000"/>
        <rFont val="Arial Narrow"/>
        <family val="2"/>
      </rPr>
      <t>(Acta Marzo)</t>
    </r>
  </si>
  <si>
    <t>10/05/2023
___________________
07/06/2023
_____________
11/07/2023</t>
  </si>
  <si>
    <t>Se realiza seguimiento a la entrega y desarrollo de software en el mes de abril, verificando el cumplimiento del manual de desarrollo seguro de acuerdo con el avance y etapa de cada desarrollo. No se observan desviaciones.
___________________________________________
Se realiza seguimiento mensual en el mes de mayo de los desarrollos gestionados de la OTIC. Se revisa el cumplimiento de lineamientos de desarollo seguro cumpliendo con el Manual de Desarrollo
____________________________________
Se realiza seguimiento mensual en el mes de junio. Algunos ambientes de desarrollo y pruebas se han apagado temporalmente mientras se hace migración a la nube de algunos servicios de la Entidad. Esto no ponen en riesgo la infraestructura de la Entidad ni va en contra del manual o polìticas.</t>
  </si>
  <si>
    <r>
      <rPr>
        <b/>
        <sz val="11"/>
        <color rgb="FF000000"/>
        <rFont val="Arial Narrow"/>
      </rPr>
      <t xml:space="preserve">SEGUNDO TRIMESTRE/12. TIC/RIESGOS DE SEGURIDAD DE LA INFORMACION/RIESGO 1/CONTROL3/
ABRIL:
</t>
    </r>
    <r>
      <rPr>
        <sz val="11"/>
        <color rgb="FF000000"/>
        <rFont val="Arial Narrow"/>
      </rPr>
      <t xml:space="preserve">Acta 04 Abril Seguimiento Desarrollo 24 abril 2023.pdf
</t>
    </r>
    <r>
      <rPr>
        <b/>
        <sz val="11"/>
        <color rgb="FF000000"/>
        <rFont val="Arial Narrow"/>
      </rPr>
      <t xml:space="preserve">MAYO:
</t>
    </r>
    <r>
      <rPr>
        <sz val="11"/>
        <color rgb="FF000000"/>
        <rFont val="Arial Narrow"/>
      </rPr>
      <t xml:space="preserve">Acta 05 Seguimiento Desarrollo 31 de mayo 2023
</t>
    </r>
    <r>
      <rPr>
        <b/>
        <sz val="11"/>
        <color rgb="FF000000"/>
        <rFont val="Arial Narrow"/>
      </rPr>
      <t xml:space="preserve">JUNIO:
</t>
    </r>
    <r>
      <rPr>
        <sz val="11"/>
        <color rgb="FF000000"/>
        <rFont val="Arial Narrow"/>
      </rPr>
      <t>Acta 06 Seguimiento Desarrollo 28 junio 2023</t>
    </r>
  </si>
  <si>
    <t>Se realizó seguimiento al equipo de desarrollo en el mes de junio. Documentación al día. Se realizó seguimiento al avance de desarrollo de acuerdo con la etapa. 
____________________________
Se realizó seguimiento a desarrollos verificando el cumpliento de los cronogramas y documentación del manual de desarrollo seguro.</t>
  </si>
  <si>
    <r>
      <rPr>
        <b/>
        <sz val="11"/>
        <color rgb="FF000000"/>
        <rFont val="Arial Narrow"/>
      </rPr>
      <t xml:space="preserve">TERCER TRIMESTRE/12. TIC/RIESGOS DE SEGURIDAD DE LA INFORMACION/RIESGO 1/CONTROL3/
JULIO:
</t>
    </r>
    <r>
      <rPr>
        <sz val="11"/>
        <color rgb="FF000000"/>
        <rFont val="Arial Narrow"/>
      </rPr>
      <t xml:space="preserve">Acta 07 Seguimiento Desarrollo 31 julio 2023_revisado.pdf
</t>
    </r>
    <r>
      <rPr>
        <b/>
        <sz val="11"/>
        <color rgb="FF000000"/>
        <rFont val="Arial Narrow"/>
      </rPr>
      <t xml:space="preserve">AGOSTO:
</t>
    </r>
    <r>
      <rPr>
        <sz val="11"/>
        <color rgb="FF000000"/>
        <rFont val="Arial Narrow"/>
      </rPr>
      <t>Acta Reunión Desarrollo 29 agosto 2023.pdf</t>
    </r>
  </si>
  <si>
    <r>
      <rPr>
        <b/>
        <sz val="11"/>
        <color rgb="FF000000"/>
        <rFont val="Arial Narrow"/>
      </rPr>
      <t xml:space="preserve">25/09/2023-LMVL: </t>
    </r>
    <r>
      <rPr>
        <sz val="11"/>
        <color rgb="FF000000"/>
        <rFont val="Arial Narrow"/>
      </rPr>
      <t>Se evidencia cumplimiento del control, se evidenciaron actas de seguimiento de desarrollos en curso, para los meses correspondientes de este seguimiento</t>
    </r>
    <r>
      <rPr>
        <b/>
        <sz val="11"/>
        <color rgb="FF000000"/>
        <rFont val="Arial Narrow"/>
      </rPr>
      <t>.
16/05/2023-LMVL:</t>
    </r>
    <r>
      <rPr>
        <sz val="11"/>
        <color rgb="FF000000"/>
        <rFont val="Arial Narrow"/>
      </rPr>
      <t xml:space="preserve"> Se validan evidencia allegadas por el proceso y se evidencia un seguimiento y actas de desarrollos de los meses de enero y febrero.</t>
    </r>
  </si>
  <si>
    <r>
      <rPr>
        <b/>
        <sz val="11"/>
        <color rgb="FF000000"/>
        <rFont val="Arial Narrow"/>
      </rPr>
      <t>25/09/2023-LMVL:</t>
    </r>
    <r>
      <rPr>
        <sz val="11"/>
        <color rgb="FF000000"/>
        <rFont val="Arial Narrow"/>
      </rPr>
      <t xml:space="preserve"> Se evidenció que el control ha sido efectivo, no se ha materializdo el riesgo.
</t>
    </r>
    <r>
      <rPr>
        <b/>
        <sz val="11"/>
        <color rgb="FF000000"/>
        <rFont val="Arial Narrow"/>
      </rPr>
      <t>16/05/2023-LMVL:</t>
    </r>
    <r>
      <rPr>
        <sz val="11"/>
        <color rgb="FF000000"/>
        <rFont val="Arial Narrow"/>
      </rPr>
      <t>Según esta verificación no se evidencia actas de seguimientos de desarrollos para marzo y abril, a la fecha no se ha materializado riesgo.</t>
    </r>
  </si>
  <si>
    <r>
      <rPr>
        <b/>
        <sz val="11"/>
        <color rgb="FF000000"/>
        <rFont val="Arial Narrow"/>
      </rPr>
      <t xml:space="preserve">
25/09/2023-LMVL:</t>
    </r>
    <r>
      <rPr>
        <sz val="11"/>
        <color rgb="FF000000"/>
        <rFont val="Arial Narrow"/>
      </rPr>
      <t xml:space="preserve">No se evidencia avance en el cumplimiento de la acción, el SIEM se encuentra apagado y se encuentran evaluado herramienta con office 365.
</t>
    </r>
    <r>
      <rPr>
        <b/>
        <sz val="11"/>
        <color rgb="FF000000"/>
        <rFont val="Arial Narrow"/>
      </rPr>
      <t>16/05/2023-LMVL:</t>
    </r>
    <r>
      <rPr>
        <sz val="11"/>
        <color rgb="FF000000"/>
        <rFont val="Arial Narrow"/>
      </rPr>
      <t>Se evidencia avance en el cumplimiento de la acción.</t>
    </r>
  </si>
  <si>
    <t>Acceso físico no autorizado</t>
  </si>
  <si>
    <t>Uso inadecuado de los controles de acceso a las instalaciones</t>
  </si>
  <si>
    <t>Actualización del inventario de activos de información</t>
  </si>
  <si>
    <t>Reporte de  Inventarios de Software y aplicaciones instalados en hosts y servidores de la entidad autorizados y licenciado por la OTIC.</t>
  </si>
  <si>
    <t>Responsable de Inventarios</t>
  </si>
  <si>
    <t>10/03/2023
________
10/04/2023</t>
  </si>
  <si>
    <t>Se continua con la depuración del reporte que da GLPI de los programas instalados en los host.
__________________________________________________________________
Se realiza depuración del reporte que da GLPI  de los programas instalados en los host, con mas de 4.000 registros y actualización de las hojas de vida de los equipos.</t>
  </si>
  <si>
    <t>Se realiza inventario y se actualiza
_____________
Se mantiene el inventario, no hay modificaciones.
_____________
Se mantiene el inventario, no hay modificaciones.</t>
  </si>
  <si>
    <t>Fabian: Listado del software a nivel de servidor
Victor: Se depura el listado arrojado por GLPI del software instalado en host. GLPI 648 equipos reportados - 142 ingresados de forma manual.
_________________________________
GLPI registrs 648 equipos de computo - 460 con W10, 46 con W7, 142 142 ingresados de forma manual.</t>
  </si>
  <si>
    <t>Aún no se realiza, en actualización el procedimiento y lineamientos del inventario de activos de información, como indica el Riesgo de Gestión 1, Acción 2.
______________________________________________
Se solicitó la actualización del Manual, Procedimiento y formato para la actualización del inventario de activos de información.
______________________________________________
Se solicitó a los procesos la actualización del inventario con Oficio 20231400025483 y  se apoyó a los procesos con el diligenciamiento de la nueva herramienta y esta pendiente para el mes de abril consolidar el de todos los procesos.</t>
  </si>
  <si>
    <r>
      <t>Carpeta Riesgos de Seguridad de la Información/Riesgo 1/Control 3/
\Febrero:</t>
    </r>
    <r>
      <rPr>
        <sz val="11"/>
        <color rgb="FF000000"/>
        <rFont val="Arial Narrow"/>
        <family val="2"/>
      </rPr>
      <t xml:space="preserve">
Oficio 2023100019793</t>
    </r>
    <r>
      <rPr>
        <b/>
        <sz val="11"/>
        <color rgb="FF000000"/>
        <rFont val="Arial Narrow"/>
        <family val="2"/>
      </rPr>
      <t xml:space="preserve">
\Marzo:</t>
    </r>
    <r>
      <rPr>
        <sz val="11"/>
        <color rgb="FF000000"/>
        <rFont val="Arial Narrow"/>
        <family val="2"/>
      </rPr>
      <t xml:space="preserve">
Oficio 20231400025483</t>
    </r>
  </si>
  <si>
    <t>Se consolidó el inventario de activos de información de acuerdo con lo enviado por los procesos y enlaces respectivos.
____________________________________________
Se consolido y se aprobó el inbventario de activos de información en el CIGD del 29 de mayo del 2023
____________________________________________
Para el mes no es requerido por parte de ningun proceso o procedimiento la necesidad de actualización.</t>
  </si>
  <si>
    <r>
      <rPr>
        <b/>
        <sz val="11"/>
        <color rgb="FF000000"/>
        <rFont val="Arial Narrow"/>
      </rPr>
      <t xml:space="preserve">SEGUNDO TRIMESTRE/12. TIC/RIESGOS DE SEGURIDAD DE LA INFORMACION/RIESGO 1/CONTROL4/
ABRIL:
</t>
    </r>
    <r>
      <rPr>
        <sz val="11"/>
        <color rgb="FF000000"/>
        <rFont val="Arial Narrow"/>
      </rPr>
      <t xml:space="preserve">Oficios_Inventarios_xProcesos,txt
</t>
    </r>
    <r>
      <rPr>
        <b/>
        <sz val="11"/>
        <color rgb="FF000000"/>
        <rFont val="Arial Narrow"/>
      </rPr>
      <t xml:space="preserve">MAYO:
</t>
    </r>
    <r>
      <rPr>
        <sz val="11"/>
        <color rgb="FF000000"/>
        <rFont val="Arial Narrow"/>
      </rPr>
      <t>Instrumentos pùblicos.txt
Acta 3 CIGD 29 de mayo 2023 (En revisión).docx
CIGD CONSTANCIA VOTO VIRTUAL 29 de mayo 2023.pdf
Citación.pdf</t>
    </r>
  </si>
  <si>
    <t>No se ha requerido. Actualizado en mayo.
_________________________________
No se realiza para el mes de agosto, actualizado en mayo y no se han presentado solicitudes de actualización.</t>
  </si>
  <si>
    <r>
      <rPr>
        <b/>
        <sz val="11"/>
        <color rgb="FF000000"/>
        <rFont val="Arial Narrow"/>
      </rPr>
      <t xml:space="preserve">25/09/2023-LMVL: </t>
    </r>
    <r>
      <rPr>
        <sz val="11"/>
        <color rgb="FF000000"/>
        <rFont val="Arial Narrow"/>
      </rPr>
      <t xml:space="preserve">Se dió cumplimiento con este control quedando aprobado la actualización de activos de información con acta de CIGD de mayo, para este cuatrimestre no se evidenciaron solicitudes de actualizaciones.
</t>
    </r>
    <r>
      <rPr>
        <b/>
        <sz val="11"/>
        <color rgb="FF000000"/>
        <rFont val="Arial Narrow"/>
      </rPr>
      <t>16/05/2023-LMVL</t>
    </r>
    <r>
      <rPr>
        <sz val="11"/>
        <color rgb="FF000000"/>
        <rFont val="Arial Narrow"/>
      </rPr>
      <t>: De acuerdo con las evidencias presentadas se observa avance en la solicitud de activos de información a los procesos, en el próximo seguimiento se validará matriz unificada.</t>
    </r>
  </si>
  <si>
    <r>
      <rPr>
        <b/>
        <sz val="11"/>
        <color rgb="FF000000"/>
        <rFont val="Arial Narrow"/>
      </rPr>
      <t xml:space="preserve">
25/09/2023-LMVL: </t>
    </r>
    <r>
      <rPr>
        <sz val="11"/>
        <color rgb="FF000000"/>
        <rFont val="Arial Narrow"/>
      </rPr>
      <t xml:space="preserve">El control ha sido efectivo, no se ha materializado el riesgo.
</t>
    </r>
    <r>
      <rPr>
        <b/>
        <sz val="11"/>
        <color rgb="FF000000"/>
        <rFont val="Arial Narrow"/>
      </rPr>
      <t>16/05/2023-LMVL:</t>
    </r>
    <r>
      <rPr>
        <sz val="11"/>
        <color rgb="FF000000"/>
        <rFont val="Arial Narrow"/>
      </rPr>
      <t xml:space="preserve"> Se evidencia cumplimiento del control, no se ha materializado el riesgo.</t>
    </r>
  </si>
  <si>
    <r>
      <rPr>
        <b/>
        <sz val="11"/>
        <color rgb="FF000000"/>
        <rFont val="Arial Narrow"/>
      </rPr>
      <t>25/09/2023-LMVL:</t>
    </r>
    <r>
      <rPr>
        <sz val="11"/>
        <color rgb="FF000000"/>
        <rFont val="Arial Narrow"/>
      </rPr>
      <t xml:space="preserve"> Se evidencia ejecución de la acción para esta vigencia, donde se hace inventario con la herramienta GLPI.
</t>
    </r>
    <r>
      <rPr>
        <b/>
        <sz val="11"/>
        <color rgb="FF000000"/>
        <rFont val="Arial Narrow"/>
      </rPr>
      <t>16/05/2023-LMVL</t>
    </r>
    <r>
      <rPr>
        <sz val="11"/>
        <color rgb="FF000000"/>
        <rFont val="Arial Narrow"/>
      </rPr>
      <t>: Para este seguimiento se evidencia avance en la acción establecida.</t>
    </r>
  </si>
  <si>
    <t>Posibilidad de pérdida de integridad de la información  por la modificación no autorizada o accidental de la información de la entidad debido a errores en los sistemas de información, falta de mantenimiento a la infraestructura, adquisición del software con vulnerabilidades, ataques cibernéticos e incumplimiento de las políticas, procedimientos y legislación vigente relacionada</t>
  </si>
  <si>
    <t>Instalación no autorizada de software</t>
  </si>
  <si>
    <t>Ausencia de mecanismos de identificación y autenticación de usuarios</t>
  </si>
  <si>
    <t>Pérdida de Integridad</t>
  </si>
  <si>
    <t>Verificación del cumplimiento de la politica de los derechos de acceso de los usuarios (Revisión periodica de los derechos de accesos y usuarios privilegiados)</t>
  </si>
  <si>
    <t>Detectivo</t>
  </si>
  <si>
    <t>Verificar la separación de los ambientes de desarrollo, pruebas y producción.</t>
  </si>
  <si>
    <t>Profesional - Seguimiento a Desarrollo</t>
  </si>
  <si>
    <t xml:space="preserve">Verificación de separación de los ambientes de producción, pruebas y desarrollo de las bases de Datos y del sistema de Orfeo, Oddo, Sira, NFU. Acta_Reunion_Desarrollo_Enero2023_IPC-M-3.pdf
_________________________________________
Se realiza seguimiento a los desarrollos y la separación de ambientes de trabajo. Se esta realizando los ajustes para cambiar los ambientes de Windows a Linux.
_________________________________________
Hasta el momento no se han creado mas ambientes de desarrollo, producción y pruebas. Se hace seguimiento a los desarrollos y los ambientes requeridos por cada uno de ellos, sin encontrar desviaciones al manual y politica de desarrollo seguro. </t>
  </si>
  <si>
    <t>En el seguimiento a desarrollo de abril, se revisan los estados de los ambientes de cada desarrollo, de acuerdo con su fase actual. No se observa nada anomalo.Relacionado en las actas de los riesgos de seguridad, riuesgo 1, control 3.
______________
Se verificò los ambientes requeirdos por los desarollo de acuerdo con su etapa. No hay desviaciones. Relacionado en las actas de los riesgos de seguridad, riuesgo 1, control 3.
Se verificò los ambientes requeirdos por los desarollo de acuerdo con su etapa. No hay desviaciones. Relacionado en las actas de los riesgos de seguridad, riuesgo 1, control 3.</t>
  </si>
  <si>
    <t>Los ambientes se aprovisionan de acuerdo a la necesidad y etapa del desarrollo. Asegurando que se cuente con el ambiente requerido en el momento en que sea necesario.
_______________________________
En el seguimiento del mes de agosto se verifican los ambientes requeridos por los desarrollos de acuerdo con su etapa.</t>
  </si>
  <si>
    <t>No se ha realizado por periodicidad de acuerdo con el procedimiento GTI-PC-06 Gestión de Usuarios.</t>
  </si>
  <si>
    <t>No se realiza aùn
______________________________________
Se solicitò el listado de usaurioas activos de sistemas de informaciòn y aplicaitvos para inciar el proceso.
_______________________________________
Se inicia el proceso de solicitud de usuarios con sus roles y perfiles en los aplicativos y sistemas críticos de la Entidad. 
Se observó un usuarios en Orfeo con rol de administrador que no debería tener, el administrador funcional informa que aunque tiene un rol de administrador sus nivel de seguridad es 1 y los permisos estan configurados para usuario general. Se retira el rol de administrador.</t>
  </si>
  <si>
    <r>
      <rPr>
        <b/>
        <sz val="11"/>
        <color rgb="FF000000"/>
        <rFont val="Arial Narrow"/>
      </rPr>
      <t xml:space="preserve"> SEGUNDO TRIMESTRE/12. TIC/RIESGOS DE SEGURIDAD DE LA INFORMACION/RIESGO 1/CONTROL2/
</t>
    </r>
    <r>
      <rPr>
        <sz val="11"/>
        <color rgb="FF000000"/>
        <rFont val="Arial Narrow"/>
      </rPr>
      <t>JUNIO:
Carpeta /Derechos de acceso</t>
    </r>
  </si>
  <si>
    <t>Se realizó la revisión de derechos de acceso, a nivel de usuarios privilegiados, se encontró una novedad sin que comprometer la seguridad de la información.
____________________________________
No se realiza parael mes de agosto por periodicidad.</t>
  </si>
  <si>
    <r>
      <rPr>
        <b/>
        <sz val="11"/>
        <color rgb="FF000000"/>
        <rFont val="Arial Narrow"/>
      </rPr>
      <t xml:space="preserve">TERCER TRIMESTRE/12. TIC/RIESGOS DE SEGURIDAD DE LA INFORMACION/RIESGO 2/CONTROL1/
JULIO:
</t>
    </r>
    <r>
      <rPr>
        <sz val="11"/>
        <color rgb="FF000000"/>
        <rFont val="Arial Narrow"/>
      </rPr>
      <t>Formato_Informe_OTIC_v1 usuarios JSP firmaTIC.pdf</t>
    </r>
  </si>
  <si>
    <t>El control no fue ejecutado durante el trimestre
Se realizó seguimiento al control y las evidencias aportadas son coherentes a lo reportado por lo que se establece que el control fue efectivo</t>
  </si>
  <si>
    <t>Se realiza seguimiento a la acción y los soportes son coherentes con lo reportado 
Se realiza seguimiento a la acción y los soportes son coherentes con lo reportado</t>
  </si>
  <si>
    <t>25/09/2023
17/05/2023</t>
  </si>
  <si>
    <r>
      <rPr>
        <b/>
        <sz val="11"/>
        <color rgb="FF000000"/>
        <rFont val="Arial Narrow"/>
      </rPr>
      <t xml:space="preserve">25/09/2023-LMVL: </t>
    </r>
    <r>
      <rPr>
        <sz val="11"/>
        <color rgb="FF000000"/>
        <rFont val="Arial Narrow"/>
      </rPr>
      <t xml:space="preserve">Se evidención cumplimiento del control mediante informes de seguimiento y validación de ROLES de usuarios con base en los emitidos por TH vs permisos establecidos como en ORFEO.
</t>
    </r>
    <r>
      <rPr>
        <b/>
        <sz val="11"/>
        <color rgb="FF000000"/>
        <rFont val="Arial Narrow"/>
      </rPr>
      <t xml:space="preserve">17/05/2023-LMVL: </t>
    </r>
    <r>
      <rPr>
        <sz val="11"/>
        <color rgb="FF000000"/>
        <rFont val="Arial Narrow"/>
      </rPr>
      <t>Para este seguiento no se evidencia información.</t>
    </r>
  </si>
  <si>
    <r>
      <rPr>
        <b/>
        <sz val="11"/>
        <color rgb="FF000000"/>
        <rFont val="Arial Narrow"/>
      </rPr>
      <t xml:space="preserve">25/09/2023-LMVL: </t>
    </r>
    <r>
      <rPr>
        <sz val="11"/>
        <color rgb="FF000000"/>
        <rFont val="Arial Narrow"/>
      </rPr>
      <t xml:space="preserve">Se evidencia ejecución del control, este ha sido efectivo, no se ha materializado el riesgo.
</t>
    </r>
    <r>
      <rPr>
        <b/>
        <sz val="11"/>
        <color rgb="FF000000"/>
        <rFont val="Arial Narrow"/>
      </rPr>
      <t>17/05/2023-LMVL</t>
    </r>
    <r>
      <rPr>
        <sz val="11"/>
        <color rgb="FF000000"/>
        <rFont val="Arial Narrow"/>
      </rPr>
      <t xml:space="preserve">: No se evidencia ejecución el control </t>
    </r>
  </si>
  <si>
    <r>
      <rPr>
        <b/>
        <sz val="11"/>
        <color rgb="FF000000"/>
        <rFont val="Arial Narrow"/>
      </rPr>
      <t>25/09/2023-LMVL:</t>
    </r>
    <r>
      <rPr>
        <sz val="11"/>
        <color rgb="FF000000"/>
        <rFont val="Arial Narrow"/>
      </rPr>
      <t xml:space="preserve"> Se evidencia ejecución de la acción a través de acta de seguimiento de desarrollos, sin embargo, los mabientes de desarrollo, pruebas y producción se validarán en el marco de auditoría de MSPI estipulada en en el PAA.
</t>
    </r>
    <r>
      <rPr>
        <b/>
        <sz val="11"/>
        <color rgb="FF000000"/>
        <rFont val="Arial Narrow"/>
      </rPr>
      <t xml:space="preserve">17/05/2023-LMVL: </t>
    </r>
    <r>
      <rPr>
        <sz val="11"/>
        <color rgb="FF000000"/>
        <rFont val="Arial Narrow"/>
      </rPr>
      <t>Se evidencia acta de seguimiento de desarrollos de marzo, pero lo que se describe an la acción a los ambietes de pruebas, desarrollo y producción aún no se ejecuta.</t>
    </r>
  </si>
  <si>
    <t>Falta de mantenimiento en el Sistema de Información/aplicación/software</t>
  </si>
  <si>
    <t>Ausencia o insuficiencia de pruebas de software</t>
  </si>
  <si>
    <t>Realizar Plan auditorias internas  Pentest</t>
  </si>
  <si>
    <t>Informe de pruebas de restauración de respaldos.</t>
  </si>
  <si>
    <t>Personal de Infraestructura de TI a cargo de la herramienta de respaldos.</t>
  </si>
  <si>
    <t>Se restauró el backup el servidor de Orfeo Aplicación y se crea como ambiente de pruebas para desarrollo. No se encontró ninguna anomalia durante el proceso. Se realizó prueba de integridad, siendo satisfactoria.
_____________________________________
Se realizó la restauración de los servidores afectados en el incidente del 14 de marzo del 2023. Pruebas efectivos, no se detecto ninguna anomalía.</t>
  </si>
  <si>
    <t>Se realizó la restauraciòn de los respaldos de IPSA y Cargos
____________
Se realizò la prueba de integridad de la infraestructura VDI
____________
Se realizò la prueba de integridad del directorio activo</t>
  </si>
  <si>
    <t>Se realizó prueba de integridad del proxy reverse
__________________________________
No se tienen programado para el mes de agosto</t>
  </si>
  <si>
    <t>10/02/2023
____________
10/03/2023
___________
10/04/2023</t>
  </si>
  <si>
    <t xml:space="preserve"> En construcción el plan de auditorias internas pentest, por el Oficial de Seguridad, por lo cual aún no se ejecuta.
_______________________________________________
 En construcción el plan de auditorias internas pentest, por el Oficial de Seguridad, por lo cual aún no se ejecuta.
_______________________________________________
Se aprueba el plan de auditorias pentest por parte del jefe de la oficina TIC. Se iniciará ejecución en abril de acuerdo con programación realizada en el plan.</t>
  </si>
  <si>
    <r>
      <t>Carpeta Riesgos de Seguridad de la Información/Riesgo 2/Control 2/
\Marzo:</t>
    </r>
    <r>
      <rPr>
        <sz val="11"/>
        <color rgb="FF000000"/>
        <rFont val="Arial Narrow"/>
        <family val="2"/>
      </rPr>
      <t xml:space="preserve">
PLAN_PRUEBAS_PENETRACIÓN E_MARZO_2023</t>
    </r>
  </si>
  <si>
    <t>Documento eleborado y falta la ejcución de las pruebas programadas en mayo
__________________________________________
Se realizò el autodiagnostico del MSPI
_________________________________________
Por solicitud de la Alta consejeria distrital TIC, se realiza nuevamente el autodiagnostico con corte a 30 de junio.</t>
  </si>
  <si>
    <r>
      <rPr>
        <b/>
        <sz val="11"/>
        <color rgb="FF000000"/>
        <rFont val="Arial Narrow"/>
      </rPr>
      <t xml:space="preserve"> SEGUNDO TRIMESTRE/12. TIC/RIESGOS DE SEGURIDAD DE LA INFORMACION/RIESGO 2/CONTROL2/
MAYO:
</t>
    </r>
    <r>
      <rPr>
        <sz val="11"/>
        <color rgb="FF000000"/>
        <rFont val="Arial Narrow"/>
      </rPr>
      <t xml:space="preserve">Diagnostico_OTIC_05-23.xlsx
</t>
    </r>
    <r>
      <rPr>
        <b/>
        <sz val="11"/>
        <color rgb="FF000000"/>
        <rFont val="Arial Narrow"/>
      </rPr>
      <t xml:space="preserve">JUNIO:
</t>
    </r>
    <r>
      <rPr>
        <sz val="11"/>
        <color rgb="FF000000"/>
        <rFont val="Arial Narrow"/>
      </rPr>
      <t>Evaluacion_MSPI_2023.xlsx</t>
    </r>
  </si>
  <si>
    <t>Se realizó auditoria a la RED LAN
___________________________________
Se realizo auditoria de accesibilidad - Anexo 1 Resolución 1519, programada en el Plan de PENTEST</t>
  </si>
  <si>
    <r>
      <rPr>
        <b/>
        <sz val="11"/>
        <color rgb="FF000000"/>
        <rFont val="Arial Narrow"/>
      </rPr>
      <t xml:space="preserve">TERCER TRIMESTRE/12. TIC/RIESGOS DE SEGURIDAD DE LA INFORMACION/RIESGO 2/CONTROL2/
JULIO:
</t>
    </r>
    <r>
      <rPr>
        <sz val="11"/>
        <color rgb="FF000000"/>
        <rFont val="Arial Narrow"/>
      </rPr>
      <t xml:space="preserve">230719-Informe Pruebas Pentest LAN.pdf
</t>
    </r>
    <r>
      <rPr>
        <b/>
        <sz val="11"/>
        <color rgb="FF000000"/>
        <rFont val="Arial Narrow"/>
      </rPr>
      <t>AGOSTO</t>
    </r>
    <r>
      <rPr>
        <sz val="11"/>
        <color rgb="FF000000"/>
        <rFont val="Arial Narrow"/>
      </rPr>
      <t>:
230719-Informe Pruebas Pentest LAN.pdf</t>
    </r>
  </si>
  <si>
    <r>
      <rPr>
        <b/>
        <sz val="11"/>
        <color rgb="FF000000"/>
        <rFont val="Arial Narrow"/>
      </rPr>
      <t>25/09/2023-LMVL:</t>
    </r>
    <r>
      <rPr>
        <sz val="11"/>
        <color rgb="FF000000"/>
        <rFont val="Arial Narrow"/>
      </rPr>
      <t xml:space="preserve"> Se evidenció auditorías de pentest tanto de accesibilidad como de red LAN, igualmente el autodiagnóstico de MSPI de junio.
</t>
    </r>
    <r>
      <rPr>
        <b/>
        <sz val="11"/>
        <color rgb="FF000000"/>
        <rFont val="Arial Narrow"/>
      </rPr>
      <t xml:space="preserve">17/05/2023-LMVL: </t>
    </r>
    <r>
      <rPr>
        <sz val="11"/>
        <color rgb="FF000000"/>
        <rFont val="Arial Narrow"/>
      </rPr>
      <t>Se evidencia plan de auditorias pentest.</t>
    </r>
  </si>
  <si>
    <r>
      <rPr>
        <b/>
        <sz val="11"/>
        <color rgb="FF000000"/>
        <rFont val="Arial Narrow"/>
      </rPr>
      <t>25/09/2023-LMVL:</t>
    </r>
    <r>
      <rPr>
        <sz val="11"/>
        <color rgb="FF000000"/>
        <rFont val="Arial Narrow"/>
      </rPr>
      <t xml:space="preserve"> Se evidenció ejecución y efectividad del control, no se ha materializado el riesgo.
</t>
    </r>
    <r>
      <rPr>
        <b/>
        <sz val="11"/>
        <color rgb="FF000000"/>
        <rFont val="Arial Narrow"/>
      </rPr>
      <t xml:space="preserve">17/05/2023-LMVL: </t>
    </r>
    <r>
      <rPr>
        <sz val="11"/>
        <color rgb="FF000000"/>
        <rFont val="Arial Narrow"/>
      </rPr>
      <t>Se evidencia la ejecución del control, no se ha materializado riesgo.</t>
    </r>
  </si>
  <si>
    <r>
      <rPr>
        <b/>
        <sz val="11"/>
        <color rgb="FF000000"/>
        <rFont val="Arial Narrow"/>
      </rPr>
      <t>25/09/2023-LMVL:</t>
    </r>
    <r>
      <rPr>
        <sz val="11"/>
        <color rgb="FF000000"/>
        <rFont val="Arial Narrow"/>
      </rPr>
      <t xml:space="preserve"> Se evidencia ejecución de la acción, mediante los informes emitidos por el proceso para los mese correspondientes a este seguimiento.
</t>
    </r>
    <r>
      <rPr>
        <b/>
        <sz val="11"/>
        <color rgb="FF000000"/>
        <rFont val="Arial Narrow"/>
      </rPr>
      <t xml:space="preserve">17/05/2023-LMVL: </t>
    </r>
    <r>
      <rPr>
        <sz val="11"/>
        <color rgb="FF000000"/>
        <rFont val="Arial Narrow"/>
      </rPr>
      <t xml:space="preserve">Se evidencian informes de restauración de backups, entre ellos el de la afectación del 14 ed marzo con la indisponibilidad que se presento en la infraestrura tecnológica. </t>
    </r>
  </si>
  <si>
    <t>Destrucción de registros</t>
  </si>
  <si>
    <t>Ausencia de control de los activos que se encuentran fuera de las instalaciones</t>
  </si>
  <si>
    <t>Implementación la política de Backup de los registros (Log, Sistemas, BD, entre otros)</t>
  </si>
  <si>
    <t>Automático</t>
  </si>
  <si>
    <t>Se presenta informe con la gestión de la herramienta VeamBackup para los respaldos de información, de igual forma, se recomienda asegurar la renovación del licenciamiento para el año 2023. informe backup a servidores  2022.docx
__________________________________________________
Se respaldaron los registros de aplicaciones y servidores localmente en el servior del VeamBackup.</t>
  </si>
  <si>
    <t>Administrador de infraestructura</t>
  </si>
  <si>
    <r>
      <rPr>
        <b/>
        <sz val="11"/>
        <color rgb="FF000000"/>
        <rFont val="Arial Narrow"/>
        <family val="2"/>
      </rPr>
      <t xml:space="preserve">Carpeta Riesgos de Seguridad de la Información/Riesgo 2/Control 3/
\Enero:
</t>
    </r>
    <r>
      <rPr>
        <sz val="11"/>
        <color rgb="FF000000"/>
        <rFont val="Arial Narrow"/>
        <family val="2"/>
      </rPr>
      <t xml:space="preserve">informe backup a servidores  2022
</t>
    </r>
    <r>
      <rPr>
        <b/>
        <sz val="11"/>
        <color rgb="FF000000"/>
        <rFont val="Arial Narrow"/>
        <family val="2"/>
      </rPr>
      <t xml:space="preserve">
\Febrero:
</t>
    </r>
    <r>
      <rPr>
        <sz val="11"/>
        <color rgb="FF000000"/>
        <rFont val="Arial Narrow"/>
        <family val="2"/>
      </rPr>
      <t xml:space="preserve">informe backup a servidores  2023
</t>
    </r>
    <r>
      <rPr>
        <b/>
        <sz val="11"/>
        <color rgb="FF000000"/>
        <rFont val="Arial Narrow"/>
        <family val="2"/>
      </rPr>
      <t xml:space="preserve">
\Marzo:
</t>
    </r>
    <r>
      <rPr>
        <sz val="11"/>
        <color rgb="FF000000"/>
        <rFont val="Arial Narrow"/>
        <family val="2"/>
      </rPr>
      <t xml:space="preserve">informe backup a servidores 
Log veeam </t>
    </r>
  </si>
  <si>
    <t xml:space="preserve">Se realiza el backup de los registros.
________________________________________
Se eliminò los registros de alerta de la base de datos de Oracle por limites de capacidad de almacenamiento. 
________________________________________
Se gestiona el proceso de respaldos, no se observan eventos anomalos. </t>
  </si>
  <si>
    <r>
      <t xml:space="preserve">SEGUNDO TRIMESTRE/12. TIC/RIESGOS DE GESTION/RIESGO 1/CONTROL3/
ABRIL:
</t>
    </r>
    <r>
      <rPr>
        <sz val="11"/>
        <color rgb="FF000000"/>
        <rFont val="Arial Narrow"/>
      </rPr>
      <t xml:space="preserve">Formato_Informe_OTIC_v1.docx
</t>
    </r>
    <r>
      <rPr>
        <b/>
        <sz val="11"/>
        <color rgb="FF000000"/>
        <rFont val="Arial Narrow"/>
      </rPr>
      <t xml:space="preserve">MAYO:
</t>
    </r>
    <r>
      <rPr>
        <sz val="11"/>
        <color rgb="FF000000"/>
        <rFont val="Arial Narrow"/>
      </rPr>
      <t xml:space="preserve">Informe-Respaldos.pdf
Riesgos mayo 2023 fcT.pdf
</t>
    </r>
    <r>
      <rPr>
        <b/>
        <sz val="11"/>
        <color rgb="FF000000"/>
        <rFont val="Arial Narrow"/>
      </rPr>
      <t xml:space="preserve">JUNIO:
</t>
    </r>
    <r>
      <rPr>
        <sz val="11"/>
        <color rgb="FF000000"/>
        <rFont val="Arial Narrow"/>
      </rPr>
      <t>informe junio riesgos 2023 fcT.pdf</t>
    </r>
  </si>
  <si>
    <t xml:space="preserve">Se gestionan los respaldos sin observar eventos anomalos, los umbrales de almacenamiento se alcanzaron, por lo cual se genera alertas para gestionar liberación de espacio.
___________________________________
</t>
  </si>
  <si>
    <r>
      <rPr>
        <b/>
        <sz val="11"/>
        <color rgb="FF000000"/>
        <rFont val="Arial Narrow"/>
      </rPr>
      <t xml:space="preserve">TERCER TRIMESTRE/12. TIC/RIESGOS DE SEGURIDAD DE LA INFORMACION/RIESGO 2/CONTROL3/
JULIO:
</t>
    </r>
    <r>
      <rPr>
        <sz val="11"/>
        <color rgb="FF000000"/>
        <rFont val="Arial Narrow"/>
      </rPr>
      <t>Riesgos julio 2023 FL firmaTIC.pdf</t>
    </r>
  </si>
  <si>
    <r>
      <rPr>
        <b/>
        <sz val="11"/>
        <color rgb="FF000000"/>
        <rFont val="Arial Narrow"/>
      </rPr>
      <t xml:space="preserve">25/09/2023-LMVL: </t>
    </r>
    <r>
      <rPr>
        <sz val="11"/>
        <color rgb="FF000000"/>
        <rFont val="Arial Narrow"/>
      </rPr>
      <t xml:space="preserve">Se evidenciaron informes por parte del proceso con backups a través de la herramienta Veeam Backup,también se manifiesta contar el monitoreo de la capacidad de almacenamiento para evitar errores en 
los respaldo.
</t>
    </r>
    <r>
      <rPr>
        <b/>
        <sz val="11"/>
        <color rgb="FF000000"/>
        <rFont val="Arial Narrow"/>
      </rPr>
      <t>17/05/2023-LMVL:</t>
    </r>
    <r>
      <rPr>
        <sz val="11"/>
        <color rgb="FF000000"/>
        <rFont val="Arial Narrow"/>
      </rPr>
      <t xml:space="preserve"> Según los infomes que se encuentran en las evidencias se restauración de Backup sobre el evento presentado el 14 de marzo, es importante tener en cuenta la recomendaciones que se  presentan en los informes como es el caso de ampliación de almacenamiento por encontrarse al límite</t>
    </r>
  </si>
  <si>
    <r>
      <rPr>
        <b/>
        <sz val="11"/>
        <color rgb="FF000000"/>
        <rFont val="Arial Narrow"/>
      </rPr>
      <t xml:space="preserve">25/09/2023-LMVL: </t>
    </r>
    <r>
      <rPr>
        <sz val="11"/>
        <color rgb="FF000000"/>
        <rFont val="Arial Narrow"/>
      </rPr>
      <t xml:space="preserve">El control se ha ejecutado y ha sido efectivo y no se ha materializado el riesgo, sin embargo es importante gestionar el tema de almacenamiento para eviar que el riesgo se materialice. 
</t>
    </r>
    <r>
      <rPr>
        <b/>
        <sz val="11"/>
        <color rgb="FF000000"/>
        <rFont val="Arial Narrow"/>
      </rPr>
      <t>17/05/2023-LMVL:</t>
    </r>
    <r>
      <rPr>
        <sz val="11"/>
        <color rgb="FF000000"/>
        <rFont val="Arial Narrow"/>
      </rPr>
      <t xml:space="preserve"> Según los infomes que se encuentran en las evidencias se restauración de Backup sobre el evento presentado el 14 de marzo, es control fue efectivo.</t>
    </r>
  </si>
  <si>
    <r>
      <rPr>
        <b/>
        <sz val="11"/>
        <color rgb="FF000000"/>
        <rFont val="Arial Narrow"/>
      </rPr>
      <t>25/09/2023-LMVL:</t>
    </r>
    <r>
      <rPr>
        <sz val="11"/>
        <color rgb="FF000000"/>
        <rFont val="Arial Narrow"/>
      </rPr>
      <t xml:space="preserve">N/A
</t>
    </r>
    <r>
      <rPr>
        <b/>
        <sz val="11"/>
        <color rgb="FF000000"/>
        <rFont val="Arial Narrow"/>
      </rPr>
      <t>17/05/2023-LMVL</t>
    </r>
    <r>
      <rPr>
        <sz val="11"/>
        <color rgb="FF000000"/>
        <rFont val="Arial Narrow"/>
      </rPr>
      <t>:N/A</t>
    </r>
  </si>
  <si>
    <t>Posibilidad de pérdida de la disponibilidad de los sistemas de información accidental o deliberada, debido a errores en los sistemas de información, falta de mantenimiento de la infraestuctura de TI, adquisición del software con vulnerabilidades, ataques cibernéticos e incumplimiento de las políticas, procedimientos y legislación vigente relacionada</t>
  </si>
  <si>
    <t>Copia fraudulenta del software</t>
  </si>
  <si>
    <t>Falta de conciencia en seguridad</t>
  </si>
  <si>
    <t>Perdida de disponibilidad</t>
  </si>
  <si>
    <t>Concienciación, educación y capacitación en seguridad de la información. Seguimiento del plan de sensibilizaciones de seguridad de la información.</t>
  </si>
  <si>
    <t>Respuesta a los incidentes de seguridad - Reporte de incidentes de seguridad de la información, entregando informes y recomendaciones - Actualización y presentación de la bitácora de incidentes.</t>
  </si>
  <si>
    <t>Responsable del MSPI</t>
  </si>
  <si>
    <t>Se presento un defacement en el subdominio IPSAP por insercción de codigo PHP en directorio de documentos.Informe IPSAP.docx
__________________________________________
No se presentaron incidentes de seguridad en el mes de febrero.
__________________________________________
En el mes de marzo se presentó un incidente de seguirdad de la información. Se gestionó y solucionó en 5 horas.</t>
  </si>
  <si>
    <t>10/05/2023
________________
07/06/2023
________________
11/07/2023</t>
  </si>
  <si>
    <t>Se reporta tres incidentes durante el mes de abril, de criticidad baja.
____________________________________
Se presentò incidentes de seguridad de impacto bajo por indisponibilidad de servicios de informaciòn.
____________________________________
No hubo incidentes de seguridad de información en el mes de junio.</t>
  </si>
  <si>
    <t>Durante julio no se reportan incidnetes  de seguridad.
__________________________________
No se reporta incidente durante el mes de agosto</t>
  </si>
  <si>
    <r>
      <t>Aún no se elaborá el plan de sensibilización del MSPI y el de uso y apropiación TI.
__________________________________________________
Plan de sensibilizaciones en borrador, se verificó y se unió con el plan de uso y apropiación de TI.
__________________________________________________
Plan de sensibilizaciones aprobado por el jefe de la oficina TIC. (</t>
    </r>
    <r>
      <rPr>
        <sz val="11"/>
        <color rgb="FFFF0000"/>
        <rFont val="Arial Narrow"/>
        <family val="2"/>
      </rPr>
      <t>Pendiente Cargar)</t>
    </r>
  </si>
  <si>
    <r>
      <t>Carpeta Riesgos de Seguridad de la Información/Riesgo 3/Control 1/</t>
    </r>
    <r>
      <rPr>
        <b/>
        <sz val="11"/>
        <rFont val="Arial Narrow"/>
        <family val="2"/>
      </rPr>
      <t xml:space="preserve">
\Marzo:
Plan SC_SPI_2023</t>
    </r>
  </si>
  <si>
    <t>Se realizò la socializaciòn de la polìtica de controles criptograficos
___________________________________________
No requiere seguimiento, no se tienen planeadas acciones en el mes de mayo.
______________________________________
Para el mes de junio se programó la sensibilización sobre gestión de incidentes, no obstante, por temas logisticos con el proceso de talento humano fue movida para la primera semana de julio.</t>
  </si>
  <si>
    <r>
      <t xml:space="preserve">SEGUNDO TRIMESTRE/12. TIC/RIESGOS DE SEGURIDAD DE LA INFORMACION/RIESGO 3/CONTROL1/
ABRIL:
</t>
    </r>
    <r>
      <rPr>
        <sz val="11"/>
        <color rgb="FF000000"/>
        <rFont val="Arial Narrow"/>
      </rPr>
      <t xml:space="preserve">Controles criptográficos(1-19).xlsx
Evaluación_Sensibilizacipon_criptografia.pdf
</t>
    </r>
    <r>
      <rPr>
        <b/>
        <sz val="11"/>
        <color rgb="FF000000"/>
        <rFont val="Arial Narrow"/>
      </rPr>
      <t xml:space="preserve">JUNIO:
</t>
    </r>
    <r>
      <rPr>
        <sz val="11"/>
        <color rgb="FF000000"/>
        <rFont val="Arial Narrow"/>
      </rPr>
      <t>sensbilizacion_incidentes_apalzada.pdf</t>
    </r>
  </si>
  <si>
    <t>Para el mes de julio, se realizó sensibilización sobre el proceso de gestión de incidnetes y phshing.
_________________________
Se realizó charla de propiedad inelectua con la SIC</t>
  </si>
  <si>
    <r>
      <rPr>
        <b/>
        <sz val="11"/>
        <color rgb="FF000000"/>
        <rFont val="Arial Narrow"/>
      </rPr>
      <t xml:space="preserve">TERCER TRIMESTRE/12. TIC/RIESGOS DE SEGURIDAD DE LA INFORMACION/RIESGO 3/CONTROL1/
JULIO:
</t>
    </r>
    <r>
      <rPr>
        <sz val="11"/>
        <color rgb="FF000000"/>
        <rFont val="Arial Narrow"/>
      </rPr>
      <t xml:space="preserve">Reporte phishing.pdf
reporte incidentes.pdf
</t>
    </r>
    <r>
      <rPr>
        <b/>
        <sz val="11"/>
        <color rgb="FF000000"/>
        <rFont val="Arial Narrow"/>
      </rPr>
      <t>AGOSTO</t>
    </r>
    <r>
      <rPr>
        <sz val="11"/>
        <color rgb="FF000000"/>
        <rFont val="Arial Narrow"/>
      </rPr>
      <t>:
https://uaespdc.sharepoint.com/:f:/s/EQUIPOOAP266/EuXd4zpcaSFAp1doC7EJOucB0O7_NijiCCtHFP3474WFLg?e=BntGjG</t>
    </r>
  </si>
  <si>
    <t>Se realiza seguimiento a la acción y los soportes son coherentes con lo reportado
Se realiza seguimiento a la acción y los soportes son coherentes con lo reportado</t>
  </si>
  <si>
    <r>
      <rPr>
        <b/>
        <sz val="11"/>
        <color rgb="FF000000"/>
        <rFont val="Arial Narrow"/>
      </rPr>
      <t>25/09/2023-LMVL</t>
    </r>
    <r>
      <rPr>
        <sz val="11"/>
        <color rgb="FF000000"/>
        <rFont val="Arial Narrow"/>
      </rPr>
      <t xml:space="preserve">: Se evidenció que se continua con capacitaciones que ha dado el proceso para seguridad de la información, que igualmemte están establecidas el el PSSI 2023 evaluado en el anterior seguimiento
</t>
    </r>
    <r>
      <rPr>
        <b/>
        <sz val="11"/>
        <color rgb="FF000000"/>
        <rFont val="Arial Narrow"/>
      </rPr>
      <t>17/05/2023-LMVL:</t>
    </r>
    <r>
      <rPr>
        <sz val="11"/>
        <color rgb="FF000000"/>
        <rFont val="Arial Narrow"/>
      </rPr>
      <t xml:space="preserve"> Se evidencia docuemnto con el plan de sensibilizaciones de seguridad de la información para 2023.</t>
    </r>
  </si>
  <si>
    <r>
      <rPr>
        <b/>
        <sz val="11"/>
        <color rgb="FF000000"/>
        <rFont val="Arial Narrow"/>
      </rPr>
      <t xml:space="preserve">25/09/2023-LMVL: </t>
    </r>
    <r>
      <rPr>
        <sz val="11"/>
        <color rgb="FF000000"/>
        <rFont val="Arial Narrow"/>
      </rPr>
      <t xml:space="preserve">Se evidencia cumplimiento del control, no se ha materialiado el riesgo. 
</t>
    </r>
    <r>
      <rPr>
        <b/>
        <sz val="11"/>
        <color rgb="FF000000"/>
        <rFont val="Arial Narrow"/>
      </rPr>
      <t xml:space="preserve">17/05/2023-LMVL: </t>
    </r>
    <r>
      <rPr>
        <sz val="11"/>
        <color rgb="FF000000"/>
        <rFont val="Arial Narrow"/>
      </rPr>
      <t xml:space="preserve">Se evidencia cumplimiento del control, no se ha materialiado el riesgo. </t>
    </r>
  </si>
  <si>
    <r>
      <rPr>
        <b/>
        <sz val="11"/>
        <color rgb="FF000000"/>
        <rFont val="Arial Narrow"/>
      </rPr>
      <t xml:space="preserve">25/09/2023-LMVL: </t>
    </r>
    <r>
      <rPr>
        <sz val="11"/>
        <color rgb="FF000000"/>
        <rFont val="Arial Narrow"/>
      </rPr>
      <t xml:space="preserve">Se evidencia ejecución de la acción, mediante registro en bitácora de incidentes
</t>
    </r>
    <r>
      <rPr>
        <b/>
        <sz val="11"/>
        <color rgb="FF000000"/>
        <rFont val="Arial Narrow"/>
      </rPr>
      <t>17/01/2023-LMVL:</t>
    </r>
    <r>
      <rPr>
        <sz val="11"/>
        <color rgb="FF000000"/>
        <rFont val="Arial Narrow"/>
      </rPr>
      <t xml:space="preserve"> Se evidencia ejecución de la acción, con incidente reportado el 26 de enero, no se evidenca el incidente presentado el 14 de marzo.</t>
    </r>
  </si>
  <si>
    <t>Código malicioso</t>
  </si>
  <si>
    <t>Ausencia de mecanismos de monitoreo para brechas en la seguridad</t>
  </si>
  <si>
    <t>Reporte de linceciamiento vigente antimalware y seguridad perimetral</t>
  </si>
  <si>
    <t>30%</t>
  </si>
  <si>
    <t>Informes de gestion de la herramientas antimalware, seguridad perimetral y office 365, pruebas de ffuncionamiento de las politicas de firewall..</t>
  </si>
  <si>
    <t>Responsable de seguridad de la información</t>
  </si>
  <si>
    <t>Se realiza seguimiento a la solución antimalware. No se presentaron incidentes de seguridad críticos relacionados con las plataformas Trend Micro que se administra para el mes de enero en la entidad que no se pudiesen controlar o que hayan sido evadidos y no controlados por el antimalware. 01-30_Informe Anti-Malware enero 2023.pdf
En la plataforma de office 365 se observa que se presentarón 56 correos entrantes con malware y 0 salientes, lo cual representa un aumento en los entrantes, pero una disminución en los salientes Se realizan tareas de depuración en la cuarentena para bloquear remitentes no deseados. 230131-Informe Office 365 Enero 2023.pdf
Firewall: Se aplicó la política para el bloqueo de whatsapp Web como medida de seguridad, con las excepciones correspondientes.</t>
  </si>
  <si>
    <t>Se realiza monitoreo permanente a través de las consolas de administración de las herramientas. No se observa eventos de seguridad que pongan en riesgo la seguridad de la información de la Entidad.
_____________________________
No se observan eventos de seguridad o de TI que pongan en riesgos la infraestructura de la Entidad.
____________________________
No se observan eventos de seguridad o de TI que pongan en riesgos la infraestructura de la Entidad.</t>
  </si>
  <si>
    <t>Office 365: 
Firewall:Durante julio no se implementa políticas nuevas - Se monitorean amenazas sin novedad alguna.
____________________________________
Office 365: No se presentan reporte de amenazas, se bloquea dominio de correo sospechoso.</t>
  </si>
  <si>
    <t>10/02/2023
__________
10/02/2023
__________
10/04/2023</t>
  </si>
  <si>
    <t>Se presenta informe con las fehas de vigencia del licenciamiento de firewall y antimalware, se encuentra en proceso de renovación. Informe deep security servidores .docx
___________________________________________________
Antimalware Servidores: Licenciamiento hasta 28 febrero con extensión por parte del fabricante hasta el 31 de marzo. Proceso publicado en SECOP y se estima, antes de finalizar marzo 2023, se adjudique y se renueve el licenciamiento.
___________________________________________________
Se renovo licenciamiento de software antimalware hasta 2024.</t>
  </si>
  <si>
    <r>
      <rPr>
        <b/>
        <sz val="11"/>
        <color rgb="FF000000"/>
        <rFont val="Arial Narrow"/>
        <family val="2"/>
      </rPr>
      <t xml:space="preserve">Carpeta Riesgos de Seguridad de la Información/Riesgo 2/Control 3/
\Enero:
</t>
    </r>
    <r>
      <rPr>
        <sz val="11"/>
        <color rgb="FF000000"/>
        <rFont val="Arial Narrow"/>
        <family val="2"/>
      </rPr>
      <t xml:space="preserve">Informe deep security servidores
servidores deep security
</t>
    </r>
    <r>
      <rPr>
        <b/>
        <sz val="11"/>
        <color rgb="FF000000"/>
        <rFont val="Arial Narrow"/>
        <family val="2"/>
      </rPr>
      <t xml:space="preserve">
\Febrero:
</t>
    </r>
    <r>
      <rPr>
        <sz val="11"/>
        <color rgb="FF000000"/>
        <rFont val="Arial Narrow"/>
        <family val="2"/>
      </rPr>
      <t xml:space="preserve">Informe deep security servidores
System_Events
</t>
    </r>
    <r>
      <rPr>
        <b/>
        <sz val="11"/>
        <color rgb="FF000000"/>
        <rFont val="Arial Narrow"/>
        <family val="2"/>
      </rPr>
      <t xml:space="preserve">\Marzo:
</t>
    </r>
    <r>
      <rPr>
        <sz val="11"/>
        <color rgb="FF000000"/>
        <rFont val="Arial Narrow"/>
        <family val="2"/>
      </rPr>
      <t>Informe deep security servidores 
CONTRATO UAESP-408-2023 
Seguridad perimetral</t>
    </r>
  </si>
  <si>
    <t>Se renueva el licenciamiento de antimalware y seguridad perimetral desde abril del 2023. Renovaciòn por periodos anuales.
_________________________________________
Se cuenta con licenciamiento hasta Se cuenta con licenciamiento hasta firewall 02/2024 antimalware 03/2024
_________________________________________
Se cuenta con licenciamiento hasta firewall 02/2024 antimalware 03/2024</t>
  </si>
  <si>
    <r>
      <rPr>
        <b/>
        <sz val="11"/>
        <color rgb="FF000000"/>
        <rFont val="Arial Narrow"/>
      </rPr>
      <t xml:space="preserve">SEGUNDO TRIMESTRE/12. TIC/RIESGOS DE SEGURIDAD DE LA INFORMACION/RIESGO 3/CONTROL2/
ABRIL:
</t>
    </r>
    <r>
      <rPr>
        <sz val="11"/>
        <color rgb="FF000000"/>
        <rFont val="Arial Narrow"/>
      </rPr>
      <t xml:space="preserve">Acta_de_inicio_de_contrato FW+AV 2023.pdf
</t>
    </r>
    <r>
      <rPr>
        <b/>
        <sz val="11"/>
        <color rgb="FF000000"/>
        <rFont val="Arial Narrow"/>
      </rPr>
      <t xml:space="preserve">MAYO:
</t>
    </r>
    <r>
      <rPr>
        <sz val="11"/>
        <color rgb="FF000000"/>
        <rFont val="Arial Narrow"/>
      </rPr>
      <t xml:space="preserve">05-30_Informe Anti-Malware mayo 2023 fJT.pdf
Riesgos mayo 2023 fcT.pdf
</t>
    </r>
    <r>
      <rPr>
        <b/>
        <sz val="11"/>
        <color rgb="FF000000"/>
        <rFont val="Arial Narrow"/>
      </rPr>
      <t xml:space="preserve">JUNIO:
</t>
    </r>
    <r>
      <rPr>
        <sz val="11"/>
        <color rgb="FF000000"/>
        <rFont val="Arial Narrow"/>
      </rPr>
      <t>informe junio riesgos 2023 fcT.pdf
06-30_Informe Anti-Malware junio 2023 fT.pdf</t>
    </r>
  </si>
  <si>
    <t>Se continua con licenciamiento vigente hasta 2024, como se reportó en el mes anterior.
_______________________________
Se continua con licenciamiento vigente hasta 2024, como se reportó en el mes anterior.</t>
  </si>
  <si>
    <r>
      <rPr>
        <b/>
        <sz val="11"/>
        <color rgb="FF000000"/>
        <rFont val="Arial Narrow"/>
      </rPr>
      <t xml:space="preserve">TERCER TRIMESTRE/12. TIC/RIESGOS DE SEGURIDAD DE LA INFORMACION/RIESGO 3/CONTROL2/
JULIO:
</t>
    </r>
    <r>
      <rPr>
        <sz val="11"/>
        <color rgb="FF000000"/>
        <rFont val="Arial Narrow"/>
      </rPr>
      <t>activacion licenciamiento firewall.pdf
activacion licenciamiento trend micro.pdf</t>
    </r>
  </si>
  <si>
    <r>
      <rPr>
        <b/>
        <sz val="11"/>
        <color rgb="FF000000"/>
        <rFont val="Arial Narrow"/>
      </rPr>
      <t xml:space="preserve">25/09/2023-LMVL: </t>
    </r>
    <r>
      <rPr>
        <sz val="11"/>
        <color rgb="FF000000"/>
        <rFont val="Arial Narrow"/>
      </rPr>
      <t xml:space="preserve">Se evidenció cumplimiento del control, soportado en los informes del proceso de antimalware y seguridad perimetral
</t>
    </r>
    <r>
      <rPr>
        <b/>
        <sz val="11"/>
        <color rgb="FF000000"/>
        <rFont val="Arial Narrow"/>
      </rPr>
      <t xml:space="preserve">17/05/2023-LMVL: </t>
    </r>
    <r>
      <rPr>
        <sz val="11"/>
        <color rgb="FF000000"/>
        <rFont val="Arial Narrow"/>
      </rPr>
      <t>Se evidencia documentación de reportes de servidores.</t>
    </r>
  </si>
  <si>
    <r>
      <rPr>
        <b/>
        <sz val="11"/>
        <color rgb="FF000000"/>
        <rFont val="Arial Narrow"/>
      </rPr>
      <t xml:space="preserve">25/09/2023-LMVL: </t>
    </r>
    <r>
      <rPr>
        <sz val="11"/>
        <color rgb="FF000000"/>
        <rFont val="Arial Narrow"/>
      </rPr>
      <t xml:space="preserve">Se evidencia cumplimiento y efectividad del control no se ha materializado el riesgo.
</t>
    </r>
    <r>
      <rPr>
        <b/>
        <sz val="11"/>
        <color rgb="FF000000"/>
        <rFont val="Arial Narrow"/>
      </rPr>
      <t xml:space="preserve">17/05/2023-LMVL: </t>
    </r>
    <r>
      <rPr>
        <sz val="11"/>
        <color rgb="FF000000"/>
        <rFont val="Arial Narrow"/>
      </rPr>
      <t xml:space="preserve">Con base en los reportes presentados se observa ejecución del control, sin embargo, el informe de auditoría realizado por la OCI se evidenció materialización de riesgo. </t>
    </r>
  </si>
  <si>
    <r>
      <rPr>
        <b/>
        <sz val="11"/>
        <color rgb="FF000000"/>
        <rFont val="Arial Narrow"/>
      </rPr>
      <t xml:space="preserve">25/09/2023-LMVL: </t>
    </r>
    <r>
      <rPr>
        <sz val="11"/>
        <color rgb="FF000000"/>
        <rFont val="Arial Narrow"/>
      </rPr>
      <t xml:space="preserve">Se evidencia ejecución de la acción para el período con actvación de liecenciamiento firewall y Trend micro.
</t>
    </r>
    <r>
      <rPr>
        <b/>
        <sz val="11"/>
        <color rgb="FF000000"/>
        <rFont val="Arial Narrow"/>
      </rPr>
      <t>17/05/2023-LMVL</t>
    </r>
    <r>
      <rPr>
        <sz val="11"/>
        <color rgb="FF000000"/>
        <rFont val="Arial Narrow"/>
      </rPr>
      <t>: Se evidencia ejecución de la acción para el período evaluado.</t>
    </r>
  </si>
  <si>
    <t>Fenómenos Climáticos</t>
  </si>
  <si>
    <t>Susceptibilidad a las variaciones de temperatura (o al polvo y suciedad)</t>
  </si>
  <si>
    <t>Protección contra las amenazas externas y ambientales. Seguimiento de los sistemas de monitoreo y control ambiental de la infraestructura de TI.</t>
  </si>
  <si>
    <t>Durante el mes de enero se observa condiciones de temperatura y humedad aducadas en el datacenter, no obstante se recomienda y solicita el cambio de las baterias de los sensores que presentan un voltaje bajo. Control ambiental.docx
___________________________________________________
Se agotaron las baterias de los sensores de temperatura y humedad. Se incluyeron dentro de la bolda de respuestos del contrato de mantenimiento de equipos de usuario final.
___________________________________________________
Se agotaron las baterias de los sensores de temperatura y humedad. Se incluyeron dentro de la bolsa de respuestos del contrato de mantenimiento de equipos de usuario final. No obstante, se sigue realizando el monitoreo y no se ha detectado ninguna anomalia en temperatura o humedad. Se tiene un sensor de temperatura de respaldo el cual esta funcionando correctamente.</t>
  </si>
  <si>
    <r>
      <rPr>
        <b/>
        <sz val="11"/>
        <color rgb="FF000000"/>
        <rFont val="Arial Narrow"/>
        <family val="2"/>
      </rPr>
      <t xml:space="preserve">Carpeta Riesgos de Seguridad de la Información/Riesgo 2/Control 3/
\Enero:
</t>
    </r>
    <r>
      <rPr>
        <sz val="11"/>
        <color rgb="FF000000"/>
        <rFont val="Arial Narrow"/>
        <family val="2"/>
      </rPr>
      <t xml:space="preserve">Control ambiental
Humedades_por_mes-31-Jan-2023--11-23-32
</t>
    </r>
    <r>
      <rPr>
        <b/>
        <sz val="11"/>
        <color rgb="FF000000"/>
        <rFont val="Arial Narrow"/>
        <family val="2"/>
      </rPr>
      <t xml:space="preserve">
\Febrero:
</t>
    </r>
    <r>
      <rPr>
        <sz val="11"/>
        <color rgb="FF000000"/>
        <rFont val="Arial Narrow"/>
        <family val="2"/>
      </rPr>
      <t xml:space="preserve">Carpetas \ Febrero Control Ambiental; \ Febreero UPS
</t>
    </r>
    <r>
      <rPr>
        <b/>
        <sz val="11"/>
        <color rgb="FF000000"/>
        <rFont val="Arial Narrow"/>
        <family val="2"/>
      </rPr>
      <t xml:space="preserve">
\Marzo:
Control ambiental</t>
    </r>
    <r>
      <rPr>
        <sz val="11"/>
        <color rgb="FF000000"/>
        <rFont val="Arial Narrow"/>
        <family val="2"/>
      </rPr>
      <t xml:space="preserve"> </t>
    </r>
  </si>
  <si>
    <t>Se realiza el monitoreo de forma manual debdio a una falla en los sensores con sus bateria, se monitorea por medio del termometro local en el datacenter. No se observa condiciones anormales o alertas.
___________________________________________
Se agotaron las baterias y en estos momentos no se esta reportando. Se solicito disponibilidad a almacen y se esta gestionando la compra de las baterias para los sensores de temperatura y humedad.
________________________________________
No es posible recolectar datos, toda vèz que los sensores no tienen bateria interna. Se cotizò unas pilas mas economicas para solicitar a SAF presupuestp para comprar por caja menor.</t>
  </si>
  <si>
    <r>
      <rPr>
        <b/>
        <sz val="11"/>
        <color rgb="FF000000"/>
        <rFont val="Arial Narrow"/>
      </rPr>
      <t xml:space="preserve">SEGUNDO TRIMESTRE/12. TIC/RIESGOS DE SEGURIDAD DE LA INFORMACION/RIESGO 3/CONTROL3/
ABRIL:
</t>
    </r>
    <r>
      <rPr>
        <sz val="11"/>
        <color rgb="FF000000"/>
        <rFont val="Arial Narrow"/>
      </rPr>
      <t xml:space="preserve">Formato_Informe_OTIC_v1.docx
Humedades_por_mes-02-May-2023--03-40-52.pdf
logfile_QA2051270611.csv
</t>
    </r>
    <r>
      <rPr>
        <b/>
        <sz val="11"/>
        <color rgb="FF000000"/>
        <rFont val="Arial Narrow"/>
      </rPr>
      <t xml:space="preserve">MAYO:
</t>
    </r>
    <r>
      <rPr>
        <sz val="11"/>
        <color rgb="FF000000"/>
        <rFont val="Arial Narrow"/>
      </rPr>
      <t xml:space="preserve">Riesgos mayo 2023 fcT.pdf
</t>
    </r>
    <r>
      <rPr>
        <b/>
        <sz val="11"/>
        <color rgb="FF000000"/>
        <rFont val="Arial Narrow"/>
      </rPr>
      <t xml:space="preserve">JUNIO:
</t>
    </r>
    <r>
      <rPr>
        <sz val="11"/>
        <color rgb="FF000000"/>
        <rFont val="Arial Narrow"/>
      </rPr>
      <t>informe junio riesgos 2023 fcT (1).pdf
UAESP 1158-C.pdf</t>
    </r>
  </si>
  <si>
    <t>Se cambiaron las baterias de lo sensores de humedad y  baterias en DataCenter y Cuarto electrico, no obstante, hay inconvenientes de conexión de los sensores del DataCenter con la interfaz de monitoreo.</t>
  </si>
  <si>
    <r>
      <rPr>
        <b/>
        <sz val="11"/>
        <color rgb="FF000000"/>
        <rFont val="Arial Narrow"/>
      </rPr>
      <t xml:space="preserve">JULIO:
</t>
    </r>
    <r>
      <rPr>
        <sz val="11"/>
        <color rgb="FF000000"/>
        <rFont val="Arial Narrow"/>
      </rPr>
      <t>Riesgos julio 2023 FL firmaTIC.pdf
https://uaespdc.sharepoint.com/:b:/s/EQUIPOOAP266/EYkvkTsr7FZJgpcatebwiCUBGWrgpHtuyuOrBx4oVnfUUQ?e=mKGbMD</t>
    </r>
  </si>
  <si>
    <r>
      <rPr>
        <b/>
        <sz val="11"/>
        <color rgb="FF000000"/>
        <rFont val="Arial Narrow"/>
      </rPr>
      <t xml:space="preserve">25/09/2023-LMVL: </t>
    </r>
    <r>
      <rPr>
        <sz val="11"/>
        <color rgb="FF000000"/>
        <rFont val="Arial Narrow"/>
      </rPr>
      <t xml:space="preserve">Se evidenció ejecución del control donde se manifista que hay una alerta de baterías de los sensores por lo que los datos 
recolectados son nulos para la humedad y temperatura del Data 
Center y cuarto eléctrico, el tema aunque se encuentra en proceso de solución aún persiste el daño; sin embargo, no se ha generado interrupción del servicio.
</t>
    </r>
    <r>
      <rPr>
        <b/>
        <sz val="11"/>
        <color rgb="FF000000"/>
        <rFont val="Arial Narrow"/>
      </rPr>
      <t xml:space="preserve">17/05/2023-LMVL: </t>
    </r>
    <r>
      <rPr>
        <sz val="11"/>
        <color rgb="FF000000"/>
        <rFont val="Arial Narrow"/>
      </rPr>
      <t xml:space="preserve">Se evidencia documentación sobre monitoreo y control ambiental de la infraestructura IT, hay una evidencia que no corresponde a la fecha de evaluación(validar). </t>
    </r>
  </si>
  <si>
    <r>
      <rPr>
        <b/>
        <sz val="11"/>
        <color rgb="FF000000"/>
        <rFont val="Arial Narrow"/>
      </rPr>
      <t>25/09/2023-LMVL: S</t>
    </r>
    <r>
      <rPr>
        <sz val="11"/>
        <color rgb="FF000000"/>
        <rFont val="Arial Narrow"/>
      </rPr>
      <t xml:space="preserve">e evidencia seguimiento al control, aunque no se ha maerializado el riesgo es importante solucionarlo de manera prioritaria, no se puede validar la efectividad del control toda vez que persiste un daño en las baterias.
</t>
    </r>
    <r>
      <rPr>
        <b/>
        <sz val="11"/>
        <color rgb="FF000000"/>
        <rFont val="Arial Narrow"/>
      </rPr>
      <t>17/05/2023-LMVL:</t>
    </r>
    <r>
      <rPr>
        <sz val="11"/>
        <color rgb="FF000000"/>
        <rFont val="Arial Narrow"/>
      </rPr>
      <t xml:space="preserve"> Se evidencia cumplimiento del control se realizó de manera manual.</t>
    </r>
  </si>
  <si>
    <t>25/09/2023-LMVL:N/A
17/05/2023-LMVL:N/A</t>
  </si>
  <si>
    <t>Falta de mantenimiento del equipo</t>
  </si>
  <si>
    <t>Mantenimiento Insuficiente</t>
  </si>
  <si>
    <t>Se encuentra en proceso de adición el contrato de mantenimiento especializado y mantenimiento de equipos de usuario final.
______________________________________________
Se construyo el anexo técnico y linea base del proceso de gestión tecnológica para el mantenimiento de infraestructura. Actualmente en revisión por parte de ETB.
Se tiene establecido el cronograma de mantenimiento de servidores.
______________________________________________
Se tiene establecido el cronograma de mantenimiento de servidores.
Se han repotenciado equipos con cambios de discos de estado solido.
Se materializó el riesgo de perdida de disponibilidad de los sistemas de información, debido a una falla en dos blade del datacenter , por obsolecencia tencológica.</t>
  </si>
  <si>
    <t>Encargado de contratos / Supervisor de Mantenimiento
Administrador Mesa de Ayuda</t>
  </si>
  <si>
    <r>
      <rPr>
        <b/>
        <sz val="11"/>
        <color rgb="FF000000"/>
        <rFont val="Arial Narrow"/>
      </rPr>
      <t xml:space="preserve">Carpeta Riesgos de Gestión/Riesgo 1/Control 4/
\Marzo:
</t>
    </r>
    <r>
      <rPr>
        <sz val="11"/>
        <color rgb="FF000000"/>
        <rFont val="Arial Narrow"/>
      </rPr>
      <t>Cronograma propuesto UAESP_17-01-2023_ETB (por aprobar)
Informe Mantenimiento Equipos Marzo 2023
Reporte soporte tecnico equipos Marzo 2023- Solicitudes a Mesa de Ayuda
Informe falla equipo servidor HP mar14</t>
    </r>
  </si>
  <si>
    <t>No efectivo</t>
  </si>
  <si>
    <t>No se realiza matenimientos a usuario final. Se aplaza el matenimiento especializado al datacenter por prevenciòn en relaciòn con el cluster activo.
___________________________________________
Mantenimiento especializado programado para el mes de junio.
_______________________________________
Se elabró plan de mantenimiento priorizado para usuarios finales y esta en el comite de gestión de cambios.
Se iniciò mantenimiento especializado al datacenter. No obstante los informes no alcanzan a ser entregado por el proveedor para le mes de junio.</t>
  </si>
  <si>
    <t>Encargado de contratos / Supervisor de Mantenimiento</t>
  </si>
  <si>
    <r>
      <rPr>
        <b/>
        <sz val="11"/>
        <color rgb="FF000000"/>
        <rFont val="Arial Narrow"/>
      </rPr>
      <t xml:space="preserve">SEGUNDO TRIMESTRE/12. TIC/RIESGOS DE SEGURIDAD DE LA INFORMACION/RIESGO 3/CONTROL4/
JUNIO:
</t>
    </r>
    <r>
      <rPr>
        <sz val="11"/>
        <color rgb="FF000000"/>
        <rFont val="Arial Narrow"/>
      </rPr>
      <t>informe junio riesgos 2023 fcT (1).pdf</t>
    </r>
  </si>
  <si>
    <t>Servidores: Realizado en el mes de junio.
Pendiente por parte del proveedor probar tarjeta de comunicación con el banco de baterias.
Usuario final: Se validó el plan de mantenimiento ppreventivo priorizado y se proyecto el cronograma para iniciar en el mes de agosto.
Correctivo: Se recibieron 51 reuerimientos, 21 de revisión de equipos de computo.
___________________________________
A nivel de infraestructura no esta programado para el mes. 
Nivel de usuario final: Se realizó mantenimiento preventivo a 71 equipos de 46 programados en el plan de mantenimiento programado.</t>
  </si>
  <si>
    <r>
      <rPr>
        <b/>
        <sz val="11"/>
        <color rgb="FF000000"/>
        <rFont val="Arial Narrow"/>
      </rPr>
      <t xml:space="preserve">JULIO:
</t>
    </r>
    <r>
      <rPr>
        <sz val="11"/>
        <color rgb="FF000000"/>
        <rFont val="Arial Narrow"/>
      </rPr>
      <t xml:space="preserve">Riesgos julio 2023 FL firmaTIC.pdf
https://uaespdc.sharepoint.com/:b:/s/EQUIPOOAP266/EYkvkTsr7FZJgpcatebwiCUBGWrgpHtuyuOrBx4oVnfUUQ?e=mKGbMD
Informe Mantenimiento Equipos Julio 2023 firmaTIC.pdf
</t>
    </r>
    <r>
      <rPr>
        <b/>
        <sz val="11"/>
        <color rgb="FF000000"/>
        <rFont val="Arial Narrow"/>
      </rPr>
      <t xml:space="preserve">TERCER TRIMESTRE/12. TIC/RIESGOS DE SEGURIDAD DE LA INFORMACION/RIESGO 3/CONTROL4/
AGOSTO:
Carpeta: </t>
    </r>
    <r>
      <rPr>
        <sz val="11"/>
        <color rgb="FF000000"/>
        <rFont val="Arial Narrow"/>
      </rPr>
      <t>PLAN PRIORIZADO DE MANTENIMIENTOS</t>
    </r>
  </si>
  <si>
    <t>Obsolecencia tencológica</t>
  </si>
  <si>
    <t>No se activa el DRP, toda vez que no todos los servicios se encuentran en la herramienta. Se activa el procedimiento de gestión de incidentes y se soluciona el incidente recuperando y respaldando los servicios en otros Blade.</t>
  </si>
  <si>
    <t xml:space="preserve">De acuerdo al seguimiento el control no fue efectivo sin embargo no se documentó el reporte de las acciones adelantadas frente al plan de contingencia
Se realizó seguimiento al control y las evidencias aportadas son coherentes a lo reportado por lo que se establece que el control fue efectivo </t>
  </si>
  <si>
    <r>
      <rPr>
        <b/>
        <sz val="11"/>
        <color rgb="FF000000"/>
        <rFont val="Arial Narrow"/>
      </rPr>
      <t xml:space="preserve">25/09/2023-LMVL: </t>
    </r>
    <r>
      <rPr>
        <sz val="11"/>
        <color rgb="FF000000"/>
        <rFont val="Arial Narrow"/>
      </rPr>
      <t xml:space="preserve">Se evidenció mantenimiento correctivos de usuario final através de mesa de ayuda, no se evidencia reportes de mantenimiento a servidores como lo describe el proceso, se evidencia plan de mantenimiento preventivo que se encuentra en proceso de ejecución.
</t>
    </r>
    <r>
      <rPr>
        <b/>
        <sz val="11"/>
        <color rgb="FF000000"/>
        <rFont val="Arial Narrow"/>
      </rPr>
      <t xml:space="preserve">
17/05/2023-LMVL:</t>
    </r>
    <r>
      <rPr>
        <sz val="11"/>
        <color rgb="FF000000"/>
        <rFont val="Arial Narrow"/>
      </rPr>
      <t xml:space="preserve"> Con base en las evidencias allegadas se evidencia falla presentada en marzo. Igualmente no se evidencia mantenimiento a equipos de usuario final. La OCI recomienda ejecutar el plan de mantenimiento preventivo a usuario final y no haste que se reporte daño del equipo.</t>
    </r>
  </si>
  <si>
    <r>
      <rPr>
        <b/>
        <sz val="11"/>
        <color rgb="FF000000"/>
        <rFont val="Arial Narrow"/>
      </rPr>
      <t xml:space="preserve">
25/09/2023-LMVL: C</t>
    </r>
    <r>
      <rPr>
        <sz val="11"/>
        <color rgb="FF000000"/>
        <rFont val="Arial Narrow"/>
      </rPr>
      <t>on base con el seguimiento por parte del proceso el control ha sido efectivo no se ha materializado el riesgo, sin embargo, es importante que se continue con los mantenimientos preventivos  a equipos de usuario final toda vez que algunos presentan bajo rendimiento</t>
    </r>
    <r>
      <rPr>
        <b/>
        <sz val="11"/>
        <color rgb="FF000000"/>
        <rFont val="Arial Narrow"/>
      </rPr>
      <t>.
17/05/2023-LMVL:</t>
    </r>
    <r>
      <rPr>
        <sz val="11"/>
        <color rgb="FF000000"/>
        <rFont val="Arial Narrow"/>
      </rPr>
      <t xml:space="preserve"> Se evidencia materialización del riesgo con la indisponibilidad del servicio presentado en marzo.</t>
    </r>
  </si>
  <si>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</si>
  <si>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</si>
  <si>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</si>
  <si>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</si>
  <si>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</si>
  <si>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</si>
  <si>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</si>
  <si>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</si>
  <si>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</si>
  <si>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</si>
  <si>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</si>
  <si>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</si>
  <si>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</si>
  <si>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</si>
  <si>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</si>
  <si>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</si>
  <si>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</si>
  <si>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</si>
  <si>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</si>
  <si>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</si>
  <si>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</si>
  <si>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</si>
  <si>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</si>
  <si>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</si>
  <si>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</si>
  <si>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</si>
  <si>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</si>
  <si>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</si>
  <si>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</si>
  <si>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</si>
  <si>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</si>
  <si>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</si>
  <si>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</si>
  <si>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</si>
  <si>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</si>
  <si>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</si>
  <si>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</si>
  <si>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</si>
  <si>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</si>
  <si>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</si>
  <si>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</si>
  <si>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</si>
  <si>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</si>
  <si>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</si>
  <si>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</si>
  <si>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</si>
  <si>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</si>
  <si>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</si>
  <si>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</si>
  <si>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</si>
  <si>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</si>
  <si>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</si>
  <si>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</si>
  <si>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</si>
  <si>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</si>
  <si>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</si>
  <si>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</si>
  <si>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</si>
  <si>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</si>
  <si>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</si>
  <si>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</si>
  <si>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</si>
  <si>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</si>
  <si>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</si>
  <si>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</si>
  <si>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</si>
  <si>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</si>
  <si>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</si>
  <si>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</si>
  <si>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</si>
  <si>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</si>
  <si>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</si>
  <si>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</si>
  <si>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</si>
  <si>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</si>
  <si>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</si>
  <si>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</si>
  <si>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</si>
  <si>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</si>
  <si>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</si>
  <si>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</si>
  <si>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</si>
  <si>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</si>
  <si>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</si>
  <si>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</si>
  <si>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</si>
  <si>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</si>
  <si>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</si>
  <si>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</si>
  <si>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</si>
  <si>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</si>
  <si>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</si>
  <si>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</si>
  <si>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</si>
  <si>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</si>
  <si>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</si>
  <si>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</si>
  <si>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</si>
  <si>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</si>
  <si>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</si>
  <si>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</si>
  <si>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</si>
  <si>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</si>
  <si>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</si>
  <si>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</si>
  <si>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</si>
  <si>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</si>
  <si>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</si>
  <si>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</si>
  <si>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</si>
  <si>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</si>
  <si>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</si>
  <si>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</si>
  <si>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</si>
  <si>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</si>
  <si>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</si>
  <si>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</si>
  <si>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</si>
  <si>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</si>
  <si>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</si>
  <si>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</si>
  <si>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</si>
  <si>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</si>
  <si>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</si>
  <si>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</si>
  <si>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</si>
  <si>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</si>
  <si>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</si>
  <si>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</si>
  <si>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</si>
  <si>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Obsolencencia Tecnológica</t>
  </si>
  <si>
    <t>ACCIONES NO AUTORIZADAS</t>
  </si>
  <si>
    <t>Uso no autorizado del equipo</t>
  </si>
  <si>
    <t>Acceso a la red o al sistema de información por personas no autorizadas</t>
  </si>
  <si>
    <t>Falsificación de registros</t>
  </si>
  <si>
    <t>Espionaje remoto</t>
  </si>
  <si>
    <t>Uso indebido de las herramientas de auditoría</t>
  </si>
  <si>
    <t>Divulgación de Contraseñas</t>
  </si>
  <si>
    <t>Interceptación de servicios de señales de interferencia comprometida</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</si>
  <si>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</si>
  <si>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</si>
  <si>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</si>
  <si>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</si>
  <si>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</si>
  <si>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</si>
  <si>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</si>
  <si>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</si>
  <si>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</si>
  <si>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</si>
  <si>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</si>
  <si>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</si>
  <si>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</si>
  <si>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</si>
  <si>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</si>
  <si>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</si>
  <si>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</si>
  <si>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</si>
  <si>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</si>
  <si>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Gestión inadecuada del cambio</t>
  </si>
  <si>
    <t>Almacenamiento sin protección</t>
  </si>
  <si>
    <t>Falta de cuidado en la disposición final</t>
  </si>
  <si>
    <t>Copia no controlada</t>
  </si>
  <si>
    <t>SOFTWARE</t>
  </si>
  <si>
    <t>Ausencia de terminación de sesión</t>
  </si>
  <si>
    <t>Ausencia de registros de auditoría</t>
  </si>
  <si>
    <t>Falta de redundancia (copia única)</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</si>
  <si>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</si>
  <si>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</si>
  <si>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</si>
  <si>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</si>
  <si>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</si>
  <si>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</si>
  <si>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</si>
  <si>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</si>
  <si>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Contraseñas sin protección</t>
  </si>
  <si>
    <t>RED</t>
  </si>
  <si>
    <t>Ausencia de pruebas de envío o recepción de datos</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</si>
  <si>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</si>
  <si>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</si>
  <si>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</si>
  <si>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</si>
  <si>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</si>
  <si>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</si>
  <si>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</si>
  <si>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</si>
  <si>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Ausencia de políticas de uso aceptable</t>
  </si>
  <si>
    <t>Trabajo no supervisado de personal externo o de limpieza</t>
  </si>
  <si>
    <t>LUGAR</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</si>
  <si>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</si>
  <si>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</si>
  <si>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</si>
  <si>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</si>
  <si>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</si>
  <si>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</si>
  <si>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</si>
  <si>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</si>
  <si>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acuerdos de nivel de servicio (ANS o SLA)</t>
  </si>
  <si>
    <t>Ausencia de procedimientos y de políticas en general</t>
  </si>
  <si>
    <t>INFORMACIÓN</t>
  </si>
  <si>
    <t>Clasificación inadecuada de la información</t>
  </si>
  <si>
    <t>TIPOS DE RIESGOS SEGURIDAD DIGITAL</t>
  </si>
  <si>
    <t>Perdidad de Integridad</t>
  </si>
  <si>
    <t>Aceptar</t>
  </si>
  <si>
    <t>Económico</t>
  </si>
  <si>
    <t>Evitar</t>
  </si>
  <si>
    <t>Reputacional</t>
  </si>
  <si>
    <t>Reducir (compartir)</t>
  </si>
  <si>
    <t>Plan de accion (solo para la opción reducir)</t>
  </si>
  <si>
    <t>Finalizado</t>
  </si>
  <si>
    <t>En curso</t>
  </si>
  <si>
    <t>Daños Activos Fisicos</t>
  </si>
  <si>
    <t>Ejecucion y Administracion de procesos</t>
  </si>
  <si>
    <t>Fallas Tecnologicas</t>
  </si>
  <si>
    <t>Relaciones Laborales</t>
  </si>
  <si>
    <t>Usuarios, productos y practicas , organizacionales</t>
  </si>
  <si>
    <t>Solicitud de cierre</t>
  </si>
  <si>
    <t>Solicitud de ajuste</t>
  </si>
  <si>
    <t>Fraude Externo</t>
  </si>
  <si>
    <t>Lavado de Activos</t>
  </si>
  <si>
    <t>Financiación del terrorismo</t>
  </si>
  <si>
    <t>No</t>
  </si>
  <si>
    <t>Sin registro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</si>
  <si>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</si>
  <si>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</si>
  <si>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</si>
  <si>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</si>
  <si>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</si>
  <si>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</si>
  <si>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</si>
  <si>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</si>
  <si>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</si>
  <si>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</si>
  <si>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</si>
  <si>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</si>
  <si>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</si>
  <si>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</si>
  <si>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</si>
  <si>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</si>
  <si>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</si>
  <si>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</si>
  <si>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</si>
  <si>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</si>
  <si>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</si>
  <si>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</si>
  <si>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</si>
  <si>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</si>
  <si>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</si>
  <si>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</si>
  <si>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MODERADO</t>
  </si>
  <si>
    <t>DEBIL</t>
  </si>
  <si>
    <t>NO DISMINUYE</t>
  </si>
  <si>
    <t>INDIRECTAMENTE</t>
  </si>
  <si>
    <t>Compartir</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</si>
  <si>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</si>
  <si>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</si>
  <si>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</si>
  <si>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</si>
  <si>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</si>
  <si>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</si>
  <si>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</si>
  <si>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Económico y reputacional</t>
  </si>
  <si>
    <t>Cumplimiento del 100%  en el nivel de madurez del MSPI</t>
  </si>
  <si>
    <t>Realizar las acciones tendientes a cumplir con los niveles de madurez del MSPI</t>
  </si>
  <si>
    <t>Gestion de Conocimiento: Capacitaciones en ISO 27001</t>
  </si>
  <si>
    <t>Jefe de la Oficina TIC</t>
  </si>
  <si>
    <t>Se realizó reunión con T.H y se solicitó recursos y espacios en el Plan Institucional de Capacitaciones</t>
  </si>
  <si>
    <t>10/05/2023
____________
07/06/2023
____________
11/07/2023</t>
  </si>
  <si>
    <t>Se solicitò nuevamente al proceso de gestiòn de talento humano la necesidad de capacitaciones en ISO 27001 o sistemas de gestiòn de seguridad de la informaciòn. Nos encontramos a la espera de respuesta.
________________
Se esta a la espera de la respuesta de talento humano para confirmar las capacitaciones solicitadas.
________________
Se reitero la solicitud a talento humano, agregando cotizaciòn para su anàlisis y estudio. No obstante informan, que se encuentran en la busqueda y cotizaciòn.</t>
  </si>
  <si>
    <t>Se solicitó a la SAF curso en ISO 27001:2022
_________
Se da inicio diplomado en ISO 27001 con la funcación de Egresados Universidad Distrital - 120 Horas + Certificación SGS</t>
  </si>
  <si>
    <t>No se realiza seguimiento para los meses de febrero y marzo por lo que no se puede evidenciar el estado real de avance
Se realiza el seguimiento y se entregan las evidencias de la gestión realizada</t>
  </si>
  <si>
    <t>17/05/2023
25/09/2023</t>
  </si>
  <si>
    <r>
      <rPr>
        <b/>
        <sz val="11"/>
        <color rgb="FF000000"/>
        <rFont val="Arial Narrow"/>
      </rPr>
      <t>17/05/2023-LMVL:</t>
    </r>
    <r>
      <rPr>
        <sz val="11"/>
        <color rgb="FF000000"/>
        <rFont val="Arial Narrow"/>
      </rPr>
      <t xml:space="preserve"> Para este seguimiento no se evidencia avance ni reporte del mismo.
</t>
    </r>
    <r>
      <rPr>
        <b/>
        <sz val="11"/>
        <color rgb="FF000000"/>
        <rFont val="Arial Narrow"/>
      </rPr>
      <t>25/09/2023-LMVL:</t>
    </r>
    <r>
      <rPr>
        <sz val="11"/>
        <color rgb="FF000000"/>
        <rFont val="Arial Narrow"/>
      </rPr>
      <t>Se evidenció cumplimientode la acción mediente memorando a la SAF para curso de ISO 27001, indispensable para actualización de la norma y emprender acciones para MSPI</t>
    </r>
  </si>
  <si>
    <r>
      <rPr>
        <b/>
        <sz val="11"/>
        <color rgb="FF000000"/>
        <rFont val="Arial Narrow"/>
      </rPr>
      <t>17/05/2023-LMVL</t>
    </r>
    <r>
      <rPr>
        <sz val="11"/>
        <color rgb="FF000000"/>
        <rFont val="Arial Narrow"/>
      </rPr>
      <t xml:space="preserve">:N/A
</t>
    </r>
    <r>
      <rPr>
        <b/>
        <sz val="11"/>
        <color rgb="FF000000"/>
        <rFont val="Arial Narrow"/>
      </rPr>
      <t>25/09/2023-LMVL</t>
    </r>
    <r>
      <rPr>
        <sz val="11"/>
        <color rgb="FF000000"/>
        <rFont val="Arial Narrow"/>
      </rPr>
      <t>: N/A</t>
    </r>
  </si>
  <si>
    <t>Realizar reuniones periodicas de seguimiento  a la infraestructura</t>
  </si>
  <si>
    <t>No se realizan las reuniones toda vez que se esta esperando suscribir los contratos de prestación e servicios y concertación de objetivos a nivel de infraestructura</t>
  </si>
  <si>
    <t>Se realizò reuniòn con el personal de infraestructura para verificar las acciones pendientes en relaciòn con el plan de mejoramiento interno y del plan de Seguridad y privacidad de la informaciòn.
______________
Se reune personal de infraestructura para verificar avance y dificultades de las acciones pendientes.
_______________
No se programa reuniòn para el mes de junio por las direntes actividades y situaciones administrativas del personal, se programa para julio.</t>
  </si>
  <si>
    <t>3/08/2023
__________
01/09/2023</t>
  </si>
  <si>
    <t>Se revisaron temas pendientes de infraestructura realazciones a planes de mejoramiento y acciones de seguridad.
______________________
Se realiza seguimiento a la implementación del DLP, su estado y alacance.</t>
  </si>
  <si>
    <r>
      <rPr>
        <b/>
        <sz val="11"/>
        <color rgb="FF000000"/>
        <rFont val="Arial Narrow"/>
      </rPr>
      <t>17/05/2023-LMVL</t>
    </r>
    <r>
      <rPr>
        <sz val="11"/>
        <color rgb="FF000000"/>
        <rFont val="Arial Narrow"/>
      </rPr>
      <t xml:space="preserve">: Para este seguimiento no se evidencia avance ni reporte del mismo.
</t>
    </r>
    <r>
      <rPr>
        <b/>
        <sz val="11"/>
        <color rgb="FF000000"/>
        <rFont val="Arial Narrow"/>
      </rPr>
      <t xml:space="preserve">25/09/2023-LMVL: </t>
    </r>
    <r>
      <rPr>
        <sz val="11"/>
        <color rgb="FF000000"/>
        <rFont val="Arial Narrow"/>
      </rPr>
      <t>Se evidencian acta de seguimienton a la infraestructura de TI en los meses correspondientes de evaluación y seguimiento..</t>
    </r>
  </si>
  <si>
    <r>
      <rPr>
        <b/>
        <sz val="11"/>
        <color rgb="FF000000"/>
        <rFont val="Arial Narrow"/>
      </rPr>
      <t>17/05/2023-LMVL</t>
    </r>
    <r>
      <rPr>
        <sz val="11"/>
        <color rgb="FF000000"/>
        <rFont val="Arial Narrow"/>
      </rPr>
      <t xml:space="preserve">:N/A
</t>
    </r>
    <r>
      <rPr>
        <b/>
        <sz val="11"/>
        <color rgb="FF000000"/>
        <rFont val="Arial Narrow"/>
      </rPr>
      <t>25/09/2023</t>
    </r>
    <r>
      <rPr>
        <sz val="11"/>
        <color rgb="FF000000"/>
        <rFont val="Arial Narrow"/>
      </rPr>
      <t>-</t>
    </r>
    <r>
      <rPr>
        <b/>
        <sz val="11"/>
        <color rgb="FF000000"/>
        <rFont val="Arial Narrow"/>
      </rPr>
      <t>LMVL</t>
    </r>
    <r>
      <rPr>
        <sz val="11"/>
        <color rgb="FF000000"/>
        <rFont val="Arial Narrow"/>
      </rPr>
      <t>: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</si>
</sst>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b/>
      <sz val="10"/>
      <color theme="1"/>
      <name val="Calibri"/>
      <family val="2"/>
      <scheme val="minor"/>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sz val="8"/>
      <color rgb="FF262626"/>
      <name val="Robotoregular"/>
    </font>
    <font>
      <b/>
      <sz val="11"/>
      <color rgb="FF000000"/>
      <name val="Arial Narrow"/>
      <family val="2"/>
    </font>
    <font>
      <sz val="10"/>
      <color theme="1"/>
      <name val="Arial Narrow"/>
      <family val="2"/>
    </font>
    <font>
      <b/>
      <sz val="11"/>
      <color rgb="FF000000"/>
      <name val="Arial Narrow"/>
    </font>
    <font>
      <sz val="11"/>
      <color rgb="FF000000"/>
      <name val="Arial Narrow"/>
    </font>
    <font>
      <sz val="11"/>
      <name val="Arial Narrow"/>
    </font>
    <font>
      <sz val="11"/>
      <color rgb="FFFF0000"/>
      <name val="Arial Narrow"/>
    </font>
    <font>
      <sz val="11"/>
      <color theme="1"/>
      <name val="Arial Narrow"/>
    </font>
    <font>
      <b/>
      <sz val="11"/>
      <color theme="1"/>
      <name val="Arial Narrow"/>
    </font>
    <font>
      <i/>
      <sz val="11"/>
      <color rgb="FF000000"/>
      <name val="Arial Narrow"/>
    </font>
  </fonts>
  <fills count="2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FFFF"/>
        <bgColor indexed="64"/>
      </patternFill>
    </fill>
    <fill>
      <patternFill patternType="solid">
        <fgColor rgb="FFFFFFFF"/>
        <bgColor rgb="FF000000"/>
      </patternFill>
    </fill>
  </fills>
  <borders count="9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indexed="64"/>
      </right>
      <top/>
      <bottom/>
      <diagonal/>
    </border>
  </borders>
  <cellStyleXfs count="6">
    <xf numFmtId="0" fontId="0" fillId="0" borderId="0"/>
    <xf numFmtId="9" fontId="13" fillId="0" borderId="0" applyFont="0" applyFill="0" applyBorder="0" applyAlignment="0" applyProtection="0"/>
    <xf numFmtId="0" fontId="46" fillId="0" borderId="0"/>
    <xf numFmtId="0" fontId="47" fillId="0" borderId="0"/>
    <xf numFmtId="0" fontId="5" fillId="0" borderId="0"/>
    <xf numFmtId="0" fontId="35" fillId="0" borderId="0"/>
  </cellStyleXfs>
  <cellXfs count="705">
    <xf numFmtId="0" fontId="0" fillId="0" borderId="0" xfId="0"/>
    <xf numFmtId="0" fontId="1" fillId="0" borderId="0" xfId="0" applyFont="1"/>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2" xfId="0" applyFont="1" applyFill="1" applyBorder="1" applyAlignment="1">
      <alignment horizontal="center" vertical="center" wrapText="1" readingOrder="1"/>
    </xf>
    <xf numFmtId="0" fontId="9" fillId="0" borderId="2" xfId="0" applyFont="1" applyBorder="1" applyAlignment="1">
      <alignment horizontal="justify" vertical="center" wrapText="1" readingOrder="1"/>
    </xf>
    <xf numFmtId="9" fontId="9" fillId="0" borderId="2"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1"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2"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2"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2"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8" fillId="3" borderId="37" xfId="2" applyFont="1" applyFill="1" applyBorder="1"/>
    <xf numFmtId="0" fontId="48" fillId="3" borderId="38" xfId="2" applyFont="1" applyFill="1" applyBorder="1"/>
    <xf numFmtId="0" fontId="48" fillId="3" borderId="39" xfId="2" applyFont="1" applyFill="1" applyBorder="1"/>
    <xf numFmtId="0" fontId="15" fillId="3" borderId="0" xfId="0" applyFont="1" applyFill="1" applyAlignment="1">
      <alignment vertical="center"/>
    </xf>
    <xf numFmtId="0" fontId="5" fillId="3" borderId="0" xfId="0" applyFont="1" applyFill="1"/>
    <xf numFmtId="0" fontId="35" fillId="3" borderId="0" xfId="0" applyFont="1" applyFill="1"/>
    <xf numFmtId="0" fontId="36" fillId="3" borderId="20" xfId="0" applyFont="1" applyFill="1" applyBorder="1" applyAlignment="1">
      <alignment horizontal="center" vertical="center" wrapText="1" readingOrder="1"/>
    </xf>
    <xf numFmtId="0" fontId="37" fillId="3" borderId="20" xfId="0" applyFont="1" applyFill="1" applyBorder="1" applyAlignment="1">
      <alignment horizontal="justify" vertical="center" wrapText="1" readingOrder="1"/>
    </xf>
    <xf numFmtId="9" fontId="36" fillId="3" borderId="29" xfId="0" applyNumberFormat="1" applyFont="1" applyFill="1" applyBorder="1" applyAlignment="1">
      <alignment horizontal="center" vertical="center" wrapText="1" readingOrder="1"/>
    </xf>
    <xf numFmtId="0" fontId="36" fillId="3" borderId="19" xfId="0" applyFont="1" applyFill="1" applyBorder="1" applyAlignment="1">
      <alignment horizontal="center" vertical="center" wrapText="1" readingOrder="1"/>
    </xf>
    <xf numFmtId="0" fontId="37" fillId="3" borderId="19" xfId="0" applyFont="1" applyFill="1" applyBorder="1" applyAlignment="1">
      <alignment horizontal="justify" vertical="center" wrapText="1" readingOrder="1"/>
    </xf>
    <xf numFmtId="9" fontId="36" fillId="3" borderId="24" xfId="0" applyNumberFormat="1" applyFont="1" applyFill="1" applyBorder="1" applyAlignment="1">
      <alignment horizontal="center" vertical="center" wrapText="1" readingOrder="1"/>
    </xf>
    <xf numFmtId="0" fontId="37" fillId="3" borderId="24"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7" fillId="3" borderId="26" xfId="0" applyFont="1" applyFill="1" applyBorder="1" applyAlignment="1">
      <alignment horizontal="justify" vertical="center" wrapText="1" readingOrder="1"/>
    </xf>
    <xf numFmtId="0" fontId="37" fillId="3" borderId="27" xfId="0" applyFont="1" applyFill="1" applyBorder="1" applyAlignment="1">
      <alignment horizontal="center" vertical="center" wrapText="1" readingOrder="1"/>
    </xf>
    <xf numFmtId="0" fontId="45" fillId="3" borderId="0" xfId="0" applyFont="1" applyFill="1"/>
    <xf numFmtId="0" fontId="36" fillId="15" borderId="31" xfId="0" applyFont="1" applyFill="1" applyBorder="1" applyAlignment="1">
      <alignment horizontal="center" vertical="center" wrapText="1" readingOrder="1"/>
    </xf>
    <xf numFmtId="0" fontId="36" fillId="15" borderId="32" xfId="0" applyFont="1" applyFill="1" applyBorder="1" applyAlignment="1">
      <alignment horizontal="center" vertical="center" wrapText="1" readingOrder="1"/>
    </xf>
    <xf numFmtId="0" fontId="12" fillId="3" borderId="0" xfId="0" applyFont="1" applyFill="1"/>
    <xf numFmtId="0" fontId="30"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8" fillId="3" borderId="5"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6" xfId="2" applyFont="1" applyFill="1" applyBorder="1"/>
    <xf numFmtId="0" fontId="48" fillId="3" borderId="7" xfId="2" applyFont="1" applyFill="1" applyBorder="1"/>
    <xf numFmtId="0" fontId="48" fillId="3" borderId="9" xfId="2" applyFont="1" applyFill="1" applyBorder="1"/>
    <xf numFmtId="0" fontId="48" fillId="3" borderId="8"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5"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6" xfId="2" quotePrefix="1" applyFont="1" applyFill="1" applyBorder="1" applyAlignment="1">
      <alignment horizontal="left" vertical="top" wrapText="1"/>
    </xf>
    <xf numFmtId="0" fontId="57" fillId="0" borderId="0" xfId="0" applyFont="1" applyAlignment="1">
      <alignment horizontal="justify" vertical="center"/>
    </xf>
    <xf numFmtId="0" fontId="57" fillId="0" borderId="0" xfId="0" applyFont="1" applyAlignment="1">
      <alignment vertical="center"/>
    </xf>
    <xf numFmtId="0" fontId="58" fillId="0" borderId="0" xfId="0" applyFont="1"/>
    <xf numFmtId="14" fontId="1" fillId="0" borderId="19" xfId="0" applyNumberFormat="1" applyFont="1" applyBorder="1" applyAlignment="1" applyProtection="1">
      <alignment horizontal="center" vertical="center"/>
      <protection locked="0"/>
    </xf>
    <xf numFmtId="0" fontId="63" fillId="0" borderId="0" xfId="0" applyFont="1"/>
    <xf numFmtId="0" fontId="64" fillId="24" borderId="30" xfId="0" applyFont="1" applyFill="1" applyBorder="1" applyAlignment="1">
      <alignment horizontal="center"/>
    </xf>
    <xf numFmtId="0" fontId="64" fillId="24" borderId="32" xfId="0" applyFont="1" applyFill="1" applyBorder="1" applyAlignment="1">
      <alignment horizontal="center"/>
    </xf>
    <xf numFmtId="0" fontId="65"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4" fillId="24" borderId="25" xfId="0" applyFont="1" applyFill="1" applyBorder="1" applyAlignment="1">
      <alignment horizontal="center" vertical="center"/>
    </xf>
    <xf numFmtId="0" fontId="64"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4"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4" fillId="25" borderId="19" xfId="0" applyFont="1" applyFill="1" applyBorder="1"/>
    <xf numFmtId="0" fontId="3" fillId="0" borderId="19" xfId="0" applyFont="1" applyBorder="1"/>
    <xf numFmtId="0" fontId="1" fillId="0" borderId="19" xfId="0" applyFont="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0" fontId="1" fillId="3" borderId="0" xfId="0" applyFont="1" applyFill="1" applyProtection="1">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2" fillId="3" borderId="0" xfId="0" applyFont="1" applyFill="1" applyProtection="1">
      <protection locked="0"/>
    </xf>
    <xf numFmtId="0" fontId="2" fillId="0" borderId="0" xfId="0" applyFont="1" applyProtection="1">
      <protection locked="0"/>
    </xf>
    <xf numFmtId="0" fontId="51" fillId="3" borderId="0" xfId="0" applyFont="1" applyFill="1" applyAlignment="1" applyProtection="1">
      <alignment horizontal="center" vertical="center"/>
      <protection locked="0"/>
    </xf>
    <xf numFmtId="0" fontId="51" fillId="2" borderId="0" xfId="0" applyFont="1" applyFill="1" applyAlignment="1" applyProtection="1">
      <alignment horizontal="center" vertical="center"/>
      <protection locked="0"/>
    </xf>
    <xf numFmtId="0" fontId="0" fillId="0" borderId="0" xfId="0" applyProtection="1">
      <protection locked="0"/>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14" fontId="1" fillId="9" borderId="19" xfId="0" applyNumberFormat="1" applyFont="1" applyFill="1" applyBorder="1" applyAlignment="1" applyProtection="1">
      <alignment horizontal="center" vertical="center"/>
      <protection locked="0"/>
    </xf>
    <xf numFmtId="0" fontId="1" fillId="3" borderId="0" xfId="0" applyFont="1" applyFill="1" applyAlignment="1">
      <alignment vertical="top"/>
    </xf>
    <xf numFmtId="0" fontId="1" fillId="0" borderId="0" xfId="0" applyFont="1" applyAlignment="1">
      <alignment vertical="top"/>
    </xf>
    <xf numFmtId="14" fontId="1" fillId="3" borderId="19" xfId="0" applyNumberFormat="1"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protection locked="0"/>
    </xf>
    <xf numFmtId="0" fontId="1" fillId="9" borderId="19" xfId="0" applyFont="1" applyFill="1" applyBorder="1" applyAlignment="1" applyProtection="1">
      <alignment horizontal="center" vertical="center" wrapText="1"/>
      <protection locked="0"/>
    </xf>
    <xf numFmtId="0" fontId="1" fillId="9" borderId="19" xfId="0" applyFont="1" applyFill="1" applyBorder="1" applyAlignment="1" applyProtection="1">
      <alignment horizontal="center" vertical="center"/>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center" wrapText="1"/>
      <protection locked="0"/>
    </xf>
    <xf numFmtId="0" fontId="1" fillId="3" borderId="0" xfId="0" applyFont="1" applyFill="1" applyAlignment="1">
      <alignment vertical="center"/>
    </xf>
    <xf numFmtId="0" fontId="1" fillId="0" borderId="0" xfId="0" applyFont="1" applyAlignment="1" applyProtection="1">
      <alignment vertical="center" wrapText="1"/>
      <protection locked="0"/>
    </xf>
    <xf numFmtId="0" fontId="1" fillId="0" borderId="0" xfId="0" applyFont="1" applyAlignment="1">
      <alignment vertical="center"/>
    </xf>
    <xf numFmtId="0" fontId="1" fillId="0" borderId="19" xfId="0" applyFont="1" applyBorder="1" applyAlignment="1" applyProtection="1">
      <alignment horizontal="center" vertical="center"/>
      <protection locked="0"/>
    </xf>
    <xf numFmtId="0" fontId="1" fillId="26" borderId="19" xfId="0" applyFont="1" applyFill="1" applyBorder="1" applyAlignment="1" applyProtection="1">
      <alignment horizontal="center" vertical="center" wrapText="1"/>
      <protection locked="0"/>
    </xf>
    <xf numFmtId="0" fontId="1" fillId="0" borderId="19" xfId="0" applyFont="1" applyBorder="1" applyAlignment="1" applyProtection="1">
      <alignment horizontal="center" vertical="top" wrapText="1"/>
      <protection locked="0"/>
    </xf>
    <xf numFmtId="0" fontId="1" fillId="3" borderId="19" xfId="0" applyFont="1" applyFill="1" applyBorder="1" applyAlignment="1" applyProtection="1">
      <alignment vertical="center" wrapText="1"/>
      <protection locked="0"/>
    </xf>
    <xf numFmtId="14" fontId="2" fillId="0" borderId="19" xfId="0" applyNumberFormat="1"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164" fontId="1" fillId="0" borderId="19" xfId="1" applyNumberFormat="1" applyFont="1" applyFill="1" applyBorder="1" applyAlignment="1" applyProtection="1">
      <alignment horizontal="center" vertical="center"/>
    </xf>
    <xf numFmtId="0" fontId="4" fillId="0" borderId="19" xfId="0" applyFont="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164" fontId="1" fillId="0" borderId="19" xfId="1" applyNumberFormat="1" applyFont="1" applyBorder="1" applyAlignment="1" applyProtection="1">
      <alignment horizontal="center" vertical="center"/>
    </xf>
    <xf numFmtId="0" fontId="1" fillId="0" borderId="19" xfId="0" applyFont="1" applyBorder="1" applyAlignment="1" applyProtection="1">
      <alignment horizontal="center" vertical="center" wrapText="1"/>
      <protection hidden="1"/>
    </xf>
    <xf numFmtId="0" fontId="51" fillId="0" borderId="67" xfId="0" applyFont="1" applyBorder="1" applyAlignment="1" applyProtection="1">
      <alignment horizontal="center" vertical="center" wrapText="1"/>
      <protection hidden="1"/>
    </xf>
    <xf numFmtId="0" fontId="51" fillId="19" borderId="67" xfId="0" applyFont="1" applyFill="1" applyBorder="1" applyAlignment="1" applyProtection="1">
      <alignment horizontal="center" vertical="center" wrapText="1"/>
      <protection hidden="1"/>
    </xf>
    <xf numFmtId="0" fontId="51" fillId="0" borderId="19" xfId="0" applyFont="1" applyBorder="1" applyAlignment="1" applyProtection="1">
      <alignment horizontal="center" vertical="center" wrapText="1"/>
      <protection hidden="1"/>
    </xf>
    <xf numFmtId="164" fontId="1" fillId="3" borderId="19" xfId="1" applyNumberFormat="1" applyFont="1" applyFill="1" applyBorder="1" applyAlignment="1" applyProtection="1">
      <alignment horizontal="center" vertical="center"/>
    </xf>
    <xf numFmtId="0" fontId="4" fillId="3" borderId="19" xfId="0" applyFont="1" applyFill="1" applyBorder="1" applyAlignment="1" applyProtection="1">
      <alignment horizontal="center" vertical="center" textRotation="90" wrapText="1"/>
      <protection hidden="1"/>
    </xf>
    <xf numFmtId="9" fontId="1" fillId="3" borderId="19" xfId="0" applyNumberFormat="1" applyFont="1" applyFill="1" applyBorder="1" applyAlignment="1" applyProtection="1">
      <alignment horizontal="center" vertical="center"/>
      <protection hidden="1"/>
    </xf>
    <xf numFmtId="0" fontId="4" fillId="3" borderId="19" xfId="0" applyFont="1" applyFill="1" applyBorder="1" applyAlignment="1" applyProtection="1">
      <alignment horizontal="center" vertical="center" textRotation="90"/>
      <protection hidden="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9" xfId="0" applyFont="1" applyBorder="1" applyAlignment="1">
      <alignment horizontal="center" vertical="center"/>
    </xf>
    <xf numFmtId="0" fontId="1" fillId="3" borderId="19" xfId="0" applyFont="1" applyFill="1" applyBorder="1" applyAlignment="1">
      <alignment horizontal="center" vertical="center" wrapText="1"/>
    </xf>
    <xf numFmtId="0" fontId="1" fillId="0" borderId="19" xfId="0" applyFont="1" applyBorder="1" applyAlignment="1">
      <alignment horizontal="center" vertical="center" wrapText="1"/>
    </xf>
    <xf numFmtId="14" fontId="1" fillId="0" borderId="19" xfId="0" applyNumberFormat="1" applyFont="1" applyBorder="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left" vertical="center"/>
    </xf>
    <xf numFmtId="0" fontId="1" fillId="3" borderId="0" xfId="0" applyFont="1" applyFill="1" applyAlignment="1">
      <alignment vertical="center" wrapText="1"/>
    </xf>
    <xf numFmtId="0" fontId="4" fillId="19" borderId="19" xfId="0" applyFont="1" applyFill="1" applyBorder="1" applyAlignment="1">
      <alignment horizontal="center" vertical="center"/>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1" fillId="0" borderId="19" xfId="0" applyFont="1" applyBorder="1" applyAlignment="1">
      <alignment horizontal="justify" vertical="center" wrapText="1"/>
    </xf>
    <xf numFmtId="0" fontId="1" fillId="0" borderId="19" xfId="0" applyFont="1" applyBorder="1" applyAlignment="1">
      <alignment horizontal="center" vertical="center" textRotation="90"/>
    </xf>
    <xf numFmtId="0" fontId="1" fillId="3" borderId="19" xfId="0" applyFont="1" applyFill="1" applyBorder="1" applyAlignment="1">
      <alignment horizontal="center" vertical="center"/>
    </xf>
    <xf numFmtId="0" fontId="1" fillId="0" borderId="19" xfId="0" applyFont="1" applyBorder="1" applyAlignment="1">
      <alignment horizontal="left" vertical="center" wrapText="1"/>
    </xf>
    <xf numFmtId="0" fontId="1" fillId="3" borderId="19" xfId="0" applyFont="1" applyFill="1" applyBorder="1" applyAlignment="1">
      <alignment horizontal="left" vertical="center" wrapText="1"/>
    </xf>
    <xf numFmtId="0" fontId="1" fillId="0" borderId="0" xfId="0" applyFont="1" applyAlignment="1">
      <alignment vertical="center" wrapText="1"/>
    </xf>
    <xf numFmtId="0" fontId="1" fillId="0" borderId="19" xfId="0" applyFont="1" applyBorder="1" applyAlignment="1">
      <alignment vertical="center" wrapText="1"/>
    </xf>
    <xf numFmtId="14" fontId="1" fillId="0" borderId="19" xfId="0" applyNumberFormat="1" applyFont="1" applyBorder="1" applyAlignment="1">
      <alignment horizontal="left" vertical="center"/>
    </xf>
    <xf numFmtId="0" fontId="1" fillId="3" borderId="0" xfId="0" applyFont="1" applyFill="1" applyAlignment="1">
      <alignment horizontal="left" vertical="center" wrapText="1"/>
    </xf>
    <xf numFmtId="0" fontId="1" fillId="3" borderId="19" xfId="0" applyFont="1" applyFill="1" applyBorder="1" applyAlignment="1">
      <alignment horizontal="justify" vertical="center" wrapText="1"/>
    </xf>
    <xf numFmtId="0" fontId="65" fillId="0" borderId="19" xfId="0" applyFont="1" applyBorder="1" applyAlignment="1">
      <alignment horizontal="left" vertical="center" wrapText="1"/>
    </xf>
    <xf numFmtId="14" fontId="65" fillId="0" borderId="19" xfId="0" applyNumberFormat="1" applyFont="1" applyBorder="1" applyAlignment="1">
      <alignment horizontal="left" vertical="center"/>
    </xf>
    <xf numFmtId="0" fontId="6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xf>
    <xf numFmtId="0" fontId="4" fillId="0" borderId="0" xfId="0" applyFont="1"/>
    <xf numFmtId="0" fontId="51" fillId="0" borderId="0" xfId="0" applyFont="1"/>
    <xf numFmtId="0" fontId="4" fillId="0" borderId="19" xfId="0" applyFont="1" applyBorder="1" applyAlignment="1">
      <alignment horizontal="center" vertical="center" wrapText="1"/>
    </xf>
    <xf numFmtId="0" fontId="1" fillId="0" borderId="19" xfId="0" applyFont="1" applyBorder="1" applyAlignment="1">
      <alignment horizontal="justify" vertical="center"/>
    </xf>
    <xf numFmtId="0" fontId="1" fillId="3" borderId="0" xfId="0" applyFont="1" applyFill="1" applyAlignment="1">
      <alignment horizontal="center"/>
    </xf>
    <xf numFmtId="0" fontId="2" fillId="0" borderId="78" xfId="0" applyFont="1" applyBorder="1" applyAlignment="1">
      <alignment horizontal="center" vertical="center"/>
    </xf>
    <xf numFmtId="0" fontId="2" fillId="0" borderId="78" xfId="0" applyFont="1" applyBorder="1" applyAlignment="1">
      <alignment horizontal="center" vertical="center" textRotation="90"/>
    </xf>
    <xf numFmtId="0" fontId="1" fillId="3" borderId="19" xfId="0" applyFont="1" applyFill="1" applyBorder="1" applyAlignment="1">
      <alignment vertical="center" wrapText="1"/>
    </xf>
    <xf numFmtId="14" fontId="1" fillId="3" borderId="19" xfId="0" applyNumberFormat="1" applyFont="1" applyFill="1" applyBorder="1" applyAlignment="1">
      <alignment vertical="center"/>
    </xf>
    <xf numFmtId="14" fontId="1" fillId="0" borderId="62" xfId="0" applyNumberFormat="1" applyFont="1" applyBorder="1" applyAlignment="1">
      <alignment horizontal="center" vertical="center"/>
    </xf>
    <xf numFmtId="14" fontId="1" fillId="0" borderId="19" xfId="0" applyNumberFormat="1" applyFont="1" applyBorder="1" applyAlignment="1">
      <alignment horizontal="center" vertical="center" wrapText="1"/>
    </xf>
    <xf numFmtId="0" fontId="59" fillId="3" borderId="19" xfId="0" applyFont="1" applyFill="1" applyBorder="1" applyAlignment="1">
      <alignment horizontal="center" vertical="center" wrapText="1"/>
    </xf>
    <xf numFmtId="14" fontId="60" fillId="3" borderId="19" xfId="0" applyNumberFormat="1" applyFont="1" applyFill="1" applyBorder="1" applyAlignment="1">
      <alignment horizontal="center"/>
    </xf>
    <xf numFmtId="0" fontId="46" fillId="3" borderId="38" xfId="0" applyFont="1" applyFill="1" applyBorder="1"/>
    <xf numFmtId="0" fontId="46" fillId="0" borderId="0" xfId="0" applyFont="1"/>
    <xf numFmtId="0" fontId="59" fillId="18" borderId="19" xfId="0" applyFont="1" applyFill="1" applyBorder="1" applyAlignment="1">
      <alignment horizontal="center" vertical="center"/>
    </xf>
    <xf numFmtId="0" fontId="59" fillId="18" borderId="19" xfId="0" applyFont="1" applyFill="1" applyBorder="1" applyAlignment="1">
      <alignment horizontal="center" vertical="center" wrapText="1"/>
    </xf>
    <xf numFmtId="0" fontId="46" fillId="0" borderId="0" xfId="0" applyFont="1" applyAlignment="1">
      <alignment horizontal="center"/>
    </xf>
    <xf numFmtId="0" fontId="46" fillId="0" borderId="19" xfId="0" applyFont="1" applyBorder="1" applyAlignment="1">
      <alignment horizontal="center" vertical="center" wrapText="1"/>
    </xf>
    <xf numFmtId="0" fontId="46" fillId="0" borderId="62" xfId="0" quotePrefix="1" applyFont="1" applyBorder="1" applyAlignment="1">
      <alignment horizontal="center" vertical="center" wrapText="1"/>
    </xf>
    <xf numFmtId="0" fontId="46" fillId="0" borderId="19" xfId="0" quotePrefix="1" applyFont="1" applyBorder="1" applyAlignment="1">
      <alignment horizontal="center" vertical="center" wrapText="1"/>
    </xf>
    <xf numFmtId="0" fontId="46" fillId="3" borderId="0" xfId="0" applyFont="1" applyFill="1"/>
    <xf numFmtId="0" fontId="46" fillId="0" borderId="62" xfId="0" applyFont="1" applyBorder="1" applyAlignment="1">
      <alignment horizontal="center" vertical="center" wrapText="1"/>
    </xf>
    <xf numFmtId="0" fontId="46" fillId="0" borderId="78" xfId="0" applyFont="1" applyBorder="1" applyAlignment="1">
      <alignment horizontal="center" vertical="center" wrapText="1"/>
    </xf>
    <xf numFmtId="0" fontId="46" fillId="0" borderId="82" xfId="0" applyFont="1" applyBorder="1" applyAlignment="1">
      <alignment horizontal="center" vertical="center" wrapText="1"/>
    </xf>
    <xf numFmtId="0" fontId="46" fillId="3" borderId="19" xfId="0" applyFont="1" applyFill="1" applyBorder="1" applyAlignment="1">
      <alignment horizontal="center" vertical="center" wrapText="1"/>
    </xf>
    <xf numFmtId="0" fontId="70" fillId="0" borderId="19" xfId="0" applyFont="1" applyBorder="1" applyAlignment="1">
      <alignment horizontal="center" vertical="center" wrapText="1"/>
    </xf>
    <xf numFmtId="0" fontId="46" fillId="0" borderId="79" xfId="0" applyFont="1" applyBorder="1" applyAlignment="1">
      <alignment horizontal="center" vertical="center" wrapText="1"/>
    </xf>
    <xf numFmtId="0" fontId="46" fillId="0" borderId="83" xfId="0" applyFont="1" applyBorder="1" applyAlignment="1">
      <alignment horizontal="center" vertical="center" wrapText="1"/>
    </xf>
    <xf numFmtId="0" fontId="46" fillId="0" borderId="61" xfId="0" applyFont="1" applyBorder="1" applyAlignment="1">
      <alignment horizontal="center" vertical="center" wrapText="1"/>
    </xf>
    <xf numFmtId="0" fontId="46" fillId="3" borderId="61" xfId="0" applyFont="1" applyFill="1" applyBorder="1" applyAlignment="1">
      <alignment horizontal="center" vertical="center" wrapText="1"/>
    </xf>
    <xf numFmtId="0" fontId="70" fillId="0" borderId="61" xfId="0" applyFont="1" applyBorder="1" applyAlignment="1">
      <alignment horizontal="center" vertical="center" wrapText="1"/>
    </xf>
    <xf numFmtId="0" fontId="46" fillId="0" borderId="81" xfId="0" applyFont="1" applyBorder="1" applyAlignment="1">
      <alignment horizontal="center" vertical="center" wrapText="1"/>
    </xf>
    <xf numFmtId="0" fontId="46" fillId="0" borderId="84" xfId="0" applyFont="1" applyBorder="1" applyAlignment="1">
      <alignment horizontal="center" vertical="center" wrapText="1"/>
    </xf>
    <xf numFmtId="0" fontId="46" fillId="0" borderId="78" xfId="0" applyFont="1" applyBorder="1" applyAlignment="1">
      <alignment vertical="center" wrapText="1"/>
    </xf>
    <xf numFmtId="0" fontId="46" fillId="0" borderId="78" xfId="0" applyFont="1" applyBorder="1" applyAlignment="1">
      <alignment horizontal="left" vertical="center" wrapText="1"/>
    </xf>
    <xf numFmtId="0" fontId="46" fillId="0" borderId="82" xfId="0" applyFont="1" applyBorder="1" applyAlignment="1">
      <alignment vertical="center" wrapText="1"/>
    </xf>
    <xf numFmtId="0" fontId="46" fillId="0" borderId="19" xfId="0" applyFont="1" applyBorder="1" applyAlignment="1">
      <alignment vertical="center" wrapText="1"/>
    </xf>
    <xf numFmtId="0" fontId="46" fillId="0" borderId="19" xfId="0" applyFont="1" applyBorder="1" applyAlignment="1">
      <alignment horizontal="left" vertical="center" wrapText="1"/>
    </xf>
    <xf numFmtId="0" fontId="46" fillId="0" borderId="82" xfId="0" applyFont="1" applyBorder="1" applyAlignment="1">
      <alignment wrapText="1"/>
    </xf>
    <xf numFmtId="0" fontId="46" fillId="0" borderId="19" xfId="0" quotePrefix="1" applyFont="1" applyBorder="1" applyAlignment="1">
      <alignment vertical="center" wrapText="1"/>
    </xf>
    <xf numFmtId="0" fontId="46" fillId="0" borderId="19" xfId="0" applyFont="1" applyBorder="1" applyAlignment="1">
      <alignment horizontal="justify" vertical="center" wrapText="1"/>
    </xf>
    <xf numFmtId="0" fontId="46" fillId="0" borderId="62" xfId="0" quotePrefix="1" applyFont="1" applyBorder="1" applyAlignment="1">
      <alignment vertical="center" wrapText="1"/>
    </xf>
    <xf numFmtId="0" fontId="46" fillId="0" borderId="19" xfId="4" applyFont="1" applyBorder="1" applyAlignment="1">
      <alignment vertical="center" wrapText="1"/>
    </xf>
    <xf numFmtId="0" fontId="46" fillId="0" borderId="62" xfId="0" applyFont="1" applyBorder="1" applyAlignment="1">
      <alignment vertical="center" wrapText="1"/>
    </xf>
    <xf numFmtId="0" fontId="46" fillId="0" borderId="19" xfId="0" applyFont="1" applyBorder="1" applyAlignment="1">
      <alignment wrapText="1"/>
    </xf>
    <xf numFmtId="0" fontId="46" fillId="0" borderId="62" xfId="0" applyFont="1" applyBorder="1" applyAlignment="1">
      <alignment wrapText="1"/>
    </xf>
    <xf numFmtId="0" fontId="46" fillId="0" borderId="19" xfId="0" applyFont="1" applyBorder="1" applyAlignment="1">
      <alignment horizontal="center" vertical="center"/>
    </xf>
    <xf numFmtId="0" fontId="0" fillId="0" borderId="19" xfId="0" applyBorder="1" applyAlignment="1">
      <alignment vertical="center" wrapText="1"/>
    </xf>
    <xf numFmtId="0" fontId="46" fillId="0" borderId="19" xfId="0" applyFont="1" applyBorder="1" applyAlignment="1">
      <alignment vertical="center"/>
    </xf>
    <xf numFmtId="0" fontId="46" fillId="0" borderId="19" xfId="0" applyFont="1" applyBorder="1"/>
    <xf numFmtId="0" fontId="46" fillId="0" borderId="62" xfId="0" applyFont="1" applyBorder="1"/>
    <xf numFmtId="0" fontId="46" fillId="0" borderId="62" xfId="0" applyFont="1" applyBorder="1" applyAlignment="1">
      <alignment vertical="center"/>
    </xf>
    <xf numFmtId="0" fontId="46" fillId="0" borderId="19" xfId="0" quotePrefix="1" applyFont="1" applyBorder="1" applyAlignment="1">
      <alignment horizontal="justify" vertical="center" wrapText="1"/>
    </xf>
    <xf numFmtId="0" fontId="46" fillId="0" borderId="19" xfId="4" applyFont="1" applyBorder="1" applyAlignment="1">
      <alignment horizontal="justify" vertical="center" wrapText="1"/>
    </xf>
    <xf numFmtId="0" fontId="60" fillId="0" borderId="19" xfId="0" applyFont="1" applyBorder="1" applyAlignment="1">
      <alignment horizontal="center" vertical="center" wrapText="1"/>
    </xf>
    <xf numFmtId="0" fontId="66" fillId="3" borderId="0" xfId="0" applyFont="1" applyFill="1"/>
    <xf numFmtId="0" fontId="67" fillId="3" borderId="0" xfId="0" applyFont="1" applyFill="1"/>
    <xf numFmtId="0" fontId="66" fillId="3" borderId="0" xfId="0" applyFont="1" applyFill="1" applyAlignment="1">
      <alignment horizontal="left" vertical="center" wrapText="1"/>
    </xf>
    <xf numFmtId="0" fontId="68" fillId="3" borderId="0" xfId="0" applyFont="1" applyFill="1" applyAlignment="1">
      <alignment vertical="center" wrapText="1"/>
    </xf>
    <xf numFmtId="0" fontId="66" fillId="3" borderId="0" xfId="0" applyFont="1" applyFill="1" applyAlignment="1">
      <alignment wrapText="1"/>
    </xf>
    <xf numFmtId="0" fontId="46" fillId="3" borderId="0" xfId="0" applyFont="1" applyFill="1" applyAlignment="1">
      <alignment horizontal="left" vertical="center" wrapText="1"/>
    </xf>
    <xf numFmtId="0" fontId="62" fillId="3" borderId="0" xfId="0" applyFont="1" applyFill="1" applyAlignment="1">
      <alignment vertical="center" wrapText="1"/>
    </xf>
    <xf numFmtId="0" fontId="46" fillId="3" borderId="0" xfId="0" applyFont="1" applyFill="1" applyAlignment="1">
      <alignment wrapText="1"/>
    </xf>
    <xf numFmtId="0" fontId="62" fillId="3" borderId="0" xfId="0" applyFont="1" applyFill="1"/>
    <xf numFmtId="0" fontId="72" fillId="0" borderId="19" xfId="0" applyFont="1" applyBorder="1" applyAlignment="1" applyProtection="1">
      <alignment horizontal="center" vertical="center" wrapText="1"/>
      <protection locked="0"/>
    </xf>
    <xf numFmtId="0" fontId="65" fillId="0" borderId="19" xfId="0" applyFont="1" applyBorder="1" applyAlignment="1">
      <alignment horizontal="center" vertical="center" wrapText="1"/>
    </xf>
    <xf numFmtId="0" fontId="65" fillId="0" borderId="64" xfId="0" applyFont="1" applyBorder="1" applyAlignment="1">
      <alignment wrapText="1"/>
    </xf>
    <xf numFmtId="14" fontId="1" fillId="26" borderId="19" xfId="0" applyNumberFormat="1" applyFont="1" applyFill="1" applyBorder="1" applyAlignment="1">
      <alignment horizontal="center" vertical="center"/>
    </xf>
    <xf numFmtId="0" fontId="65" fillId="0" borderId="90" xfId="0" applyFont="1" applyBorder="1" applyAlignment="1">
      <alignment wrapText="1"/>
    </xf>
    <xf numFmtId="0" fontId="71" fillId="27" borderId="90" xfId="0" applyFont="1" applyFill="1" applyBorder="1" applyAlignment="1">
      <alignment wrapText="1"/>
    </xf>
    <xf numFmtId="0" fontId="65" fillId="0" borderId="20" xfId="0" applyFont="1" applyBorder="1" applyAlignment="1">
      <alignment horizontal="center" vertical="center" wrapText="1"/>
    </xf>
    <xf numFmtId="0" fontId="65" fillId="27" borderId="90" xfId="0" applyFont="1" applyFill="1" applyBorder="1" applyAlignment="1">
      <alignment wrapText="1"/>
    </xf>
    <xf numFmtId="0" fontId="65" fillId="0" borderId="20" xfId="0" applyFont="1" applyBorder="1" applyAlignment="1">
      <alignment wrapText="1"/>
    </xf>
    <xf numFmtId="0" fontId="2" fillId="0" borderId="91" xfId="0" applyFont="1" applyBorder="1" applyAlignment="1">
      <alignment wrapText="1"/>
    </xf>
    <xf numFmtId="0" fontId="2" fillId="27" borderId="91" xfId="0" applyFont="1" applyFill="1" applyBorder="1" applyAlignment="1">
      <alignment wrapText="1"/>
    </xf>
    <xf numFmtId="14" fontId="2" fillId="0" borderId="78" xfId="0" applyNumberFormat="1" applyFont="1" applyBorder="1" applyAlignment="1">
      <alignment horizontal="center" vertical="center"/>
    </xf>
    <xf numFmtId="0" fontId="1" fillId="0" borderId="19" xfId="0" applyFont="1" applyBorder="1" applyAlignment="1">
      <alignment horizontal="center" vertical="top" wrapText="1"/>
    </xf>
    <xf numFmtId="0" fontId="65" fillId="27" borderId="64" xfId="0" applyFont="1" applyFill="1" applyBorder="1" applyAlignment="1">
      <alignment horizontal="center" vertical="center" wrapText="1"/>
    </xf>
    <xf numFmtId="0" fontId="65" fillId="27" borderId="20" xfId="0" applyFont="1" applyFill="1" applyBorder="1" applyAlignment="1">
      <alignment horizontal="center" vertical="center" wrapText="1"/>
    </xf>
    <xf numFmtId="0" fontId="65" fillId="27" borderId="92" xfId="0" applyFont="1" applyFill="1" applyBorder="1" applyAlignment="1">
      <alignment horizontal="center" vertical="center" wrapText="1"/>
    </xf>
    <xf numFmtId="0" fontId="69" fillId="0" borderId="91" xfId="0" applyFont="1" applyBorder="1" applyAlignment="1">
      <alignment horizontal="center" vertical="center" wrapText="1"/>
    </xf>
    <xf numFmtId="0" fontId="65" fillId="0" borderId="91" xfId="0" applyFont="1" applyBorder="1" applyAlignment="1">
      <alignment horizontal="center" vertical="center" wrapText="1"/>
    </xf>
    <xf numFmtId="0" fontId="2" fillId="0" borderId="91" xfId="0" applyFont="1" applyBorder="1" applyAlignment="1">
      <alignment horizontal="center" vertical="center" wrapText="1"/>
    </xf>
    <xf numFmtId="0" fontId="65" fillId="0" borderId="64" xfId="0" applyFont="1" applyBorder="1" applyAlignment="1">
      <alignment horizontal="center" vertical="center" wrapText="1"/>
    </xf>
    <xf numFmtId="0" fontId="65" fillId="27" borderId="64" xfId="0" applyFont="1" applyFill="1" applyBorder="1" applyAlignment="1">
      <alignment wrapText="1"/>
    </xf>
    <xf numFmtId="14" fontId="65" fillId="0" borderId="20" xfId="0" applyNumberFormat="1" applyFont="1" applyBorder="1" applyAlignment="1">
      <alignment horizontal="center" vertical="center"/>
    </xf>
    <xf numFmtId="0" fontId="1" fillId="26" borderId="19" xfId="0" applyFont="1" applyFill="1" applyBorder="1" applyAlignment="1">
      <alignment horizontal="center" vertical="center" wrapText="1"/>
    </xf>
    <xf numFmtId="14" fontId="1" fillId="26" borderId="19" xfId="0" applyNumberFormat="1" applyFont="1" applyFill="1" applyBorder="1" applyAlignment="1">
      <alignment horizontal="center" vertical="center" wrapText="1"/>
    </xf>
    <xf numFmtId="14" fontId="65" fillId="0" borderId="20" xfId="0" applyNumberFormat="1" applyFont="1" applyBorder="1"/>
    <xf numFmtId="0" fontId="2" fillId="0" borderId="90" xfId="0" applyFont="1" applyBorder="1" applyAlignment="1">
      <alignment horizontal="center" vertical="center" wrapText="1"/>
    </xf>
    <xf numFmtId="0" fontId="65" fillId="0" borderId="90" xfId="0" applyFont="1" applyBorder="1" applyAlignment="1">
      <alignment horizontal="center" vertical="center" wrapText="1"/>
    </xf>
    <xf numFmtId="0" fontId="65" fillId="27" borderId="90" xfId="0" applyFont="1" applyFill="1" applyBorder="1" applyAlignment="1">
      <alignment horizontal="center" vertical="center" wrapText="1"/>
    </xf>
    <xf numFmtId="14" fontId="1" fillId="3" borderId="19" xfId="0" applyNumberFormat="1" applyFont="1" applyFill="1" applyBorder="1" applyAlignment="1">
      <alignment horizontal="center" vertical="center"/>
    </xf>
    <xf numFmtId="0" fontId="71" fillId="0" borderId="90" xfId="0" applyFont="1" applyBorder="1" applyAlignment="1">
      <alignment horizontal="center" vertical="center" wrapText="1"/>
    </xf>
    <xf numFmtId="0" fontId="65" fillId="27" borderId="19" xfId="0" applyFont="1" applyFill="1" applyBorder="1" applyAlignment="1">
      <alignment wrapText="1"/>
    </xf>
    <xf numFmtId="0" fontId="65" fillId="27" borderId="20" xfId="0" applyFont="1" applyFill="1" applyBorder="1" applyAlignment="1">
      <alignment wrapText="1"/>
    </xf>
    <xf numFmtId="14" fontId="65" fillId="27" borderId="20" xfId="0" applyNumberFormat="1" applyFont="1" applyFill="1" applyBorder="1" applyAlignment="1">
      <alignment wrapText="1"/>
    </xf>
    <xf numFmtId="0" fontId="65" fillId="0" borderId="0" xfId="0" applyFont="1" applyAlignment="1">
      <alignment wrapText="1"/>
    </xf>
    <xf numFmtId="0" fontId="65" fillId="0" borderId="20" xfId="0" applyFont="1" applyBorder="1" applyAlignment="1">
      <alignment vertical="center" wrapText="1"/>
    </xf>
    <xf numFmtId="0" fontId="65" fillId="0" borderId="90" xfId="0" applyFont="1" applyBorder="1" applyAlignment="1">
      <alignment vertical="center" wrapText="1"/>
    </xf>
    <xf numFmtId="0" fontId="65" fillId="27" borderId="19" xfId="0" applyFont="1" applyFill="1" applyBorder="1" applyAlignment="1">
      <alignment horizontal="center" vertical="center" wrapText="1"/>
    </xf>
    <xf numFmtId="0" fontId="71" fillId="0" borderId="64" xfId="0" applyFont="1" applyBorder="1" applyAlignment="1">
      <alignment horizontal="center" vertical="center" wrapText="1"/>
    </xf>
    <xf numFmtId="0" fontId="73" fillId="0" borderId="90" xfId="0" applyFont="1" applyBorder="1" applyAlignment="1">
      <alignment horizontal="center" vertical="center" wrapText="1"/>
    </xf>
    <xf numFmtId="0" fontId="65" fillId="0" borderId="64" xfId="0" applyFont="1" applyBorder="1" applyAlignment="1">
      <alignment vertical="center" wrapText="1"/>
    </xf>
    <xf numFmtId="0" fontId="71" fillId="27" borderId="64" xfId="0" applyFont="1" applyFill="1" applyBorder="1" applyAlignment="1">
      <alignment vertical="center" wrapText="1"/>
    </xf>
    <xf numFmtId="0" fontId="71" fillId="27" borderId="90" xfId="0" applyFont="1" applyFill="1" applyBorder="1" applyAlignment="1">
      <alignment vertical="center" wrapText="1"/>
    </xf>
    <xf numFmtId="0" fontId="65" fillId="0" borderId="64" xfId="0" applyFont="1" applyBorder="1" applyAlignment="1">
      <alignment vertical="top" wrapText="1"/>
    </xf>
    <xf numFmtId="0" fontId="65" fillId="0" borderId="90" xfId="0" applyFont="1" applyBorder="1" applyAlignment="1">
      <alignment vertical="top" wrapText="1"/>
    </xf>
    <xf numFmtId="0" fontId="2" fillId="0" borderId="90" xfId="0" applyFont="1" applyBorder="1" applyAlignment="1">
      <alignment vertical="top" wrapText="1"/>
    </xf>
    <xf numFmtId="0" fontId="4" fillId="0" borderId="19" xfId="0" applyFont="1" applyBorder="1" applyAlignment="1" applyProtection="1">
      <alignment horizontal="center" vertical="center" wrapText="1"/>
      <protection locked="0"/>
    </xf>
    <xf numFmtId="0" fontId="74" fillId="0" borderId="19" xfId="0" applyFont="1" applyBorder="1" applyAlignment="1" applyProtection="1">
      <alignment horizontal="center" vertical="center" wrapText="1"/>
      <protection locked="0"/>
    </xf>
    <xf numFmtId="14" fontId="74" fillId="0" borderId="19" xfId="0" applyNumberFormat="1" applyFont="1" applyBorder="1" applyAlignment="1" applyProtection="1">
      <alignment horizontal="center" vertical="center" wrapText="1"/>
      <protection locked="0"/>
    </xf>
    <xf numFmtId="0" fontId="74" fillId="0" borderId="19" xfId="0" applyFont="1" applyBorder="1" applyAlignment="1" applyProtection="1">
      <alignment horizontal="center" vertical="top" wrapText="1"/>
      <protection locked="0"/>
    </xf>
    <xf numFmtId="0" fontId="74" fillId="3" borderId="19" xfId="0" applyFont="1" applyFill="1" applyBorder="1" applyAlignment="1" applyProtection="1">
      <alignment horizontal="center" vertical="center" wrapText="1"/>
      <protection locked="0"/>
    </xf>
    <xf numFmtId="0" fontId="73" fillId="0" borderId="19" xfId="0" applyFont="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75" fillId="0" borderId="64" xfId="0" applyFont="1" applyBorder="1" applyAlignment="1">
      <alignment wrapText="1"/>
    </xf>
    <xf numFmtId="0" fontId="2" fillId="27" borderId="64" xfId="0" applyFont="1" applyFill="1" applyBorder="1" applyAlignment="1">
      <alignment wrapText="1"/>
    </xf>
    <xf numFmtId="0" fontId="2" fillId="0" borderId="64" xfId="0" applyFont="1" applyBorder="1" applyAlignment="1">
      <alignment horizontal="center" vertical="center" wrapText="1"/>
    </xf>
    <xf numFmtId="0" fontId="2" fillId="0" borderId="90" xfId="0" applyFont="1" applyBorder="1" applyAlignment="1">
      <alignment horizontal="center" vertical="center"/>
    </xf>
    <xf numFmtId="0" fontId="2" fillId="0" borderId="20" xfId="0" applyFont="1" applyBorder="1" applyAlignment="1">
      <alignment horizontal="center" vertical="center" wrapText="1"/>
    </xf>
    <xf numFmtId="0" fontId="74" fillId="0" borderId="64" xfId="0" applyFont="1" applyBorder="1" applyAlignment="1">
      <alignment horizontal="center" vertical="center" wrapText="1"/>
    </xf>
    <xf numFmtId="0" fontId="74" fillId="0" borderId="64" xfId="0" applyFont="1" applyBorder="1" applyAlignment="1">
      <alignment horizontal="center" vertical="center" wrapText="1" indent="1"/>
    </xf>
    <xf numFmtId="0" fontId="73" fillId="0" borderId="20" xfId="0" applyFont="1" applyBorder="1" applyAlignment="1">
      <alignment horizontal="center" vertical="center" wrapText="1" indent="1"/>
    </xf>
    <xf numFmtId="0" fontId="75" fillId="0" borderId="19" xfId="0" applyFont="1" applyBorder="1" applyAlignment="1">
      <alignment horizontal="center" vertical="center" wrapText="1"/>
    </xf>
    <xf numFmtId="0" fontId="74" fillId="0" borderId="90" xfId="0" applyFont="1" applyBorder="1" applyAlignment="1">
      <alignment horizontal="center" vertical="center" wrapText="1"/>
    </xf>
    <xf numFmtId="0" fontId="74" fillId="0" borderId="90" xfId="0" applyFont="1" applyBorder="1" applyAlignment="1">
      <alignment horizontal="center" vertical="center" wrapText="1" indent="1"/>
    </xf>
    <xf numFmtId="0" fontId="74" fillId="0" borderId="19" xfId="0" applyFont="1" applyBorder="1" applyAlignment="1">
      <alignment horizontal="center" vertical="center" wrapText="1"/>
    </xf>
    <xf numFmtId="0" fontId="74" fillId="27" borderId="90" xfId="0" applyFont="1" applyFill="1" applyBorder="1" applyAlignment="1">
      <alignment horizontal="center" vertical="center" wrapText="1" indent="1"/>
    </xf>
    <xf numFmtId="0" fontId="74" fillId="0" borderId="20" xfId="0" applyFont="1" applyBorder="1" applyAlignment="1">
      <alignment horizontal="center" vertical="center" indent="1"/>
    </xf>
    <xf numFmtId="0" fontId="75" fillId="27" borderId="91" xfId="0" applyFont="1" applyFill="1" applyBorder="1" applyAlignment="1">
      <alignment horizontal="center" vertical="center" wrapText="1" indent="1"/>
    </xf>
    <xf numFmtId="0" fontId="74" fillId="0" borderId="81" xfId="0" applyFont="1" applyBorder="1" applyAlignment="1">
      <alignment horizontal="center" vertical="center" wrapText="1" indent="1"/>
    </xf>
    <xf numFmtId="0" fontId="74" fillId="27" borderId="64" xfId="0" applyFont="1" applyFill="1" applyBorder="1" applyAlignment="1">
      <alignment horizontal="center" vertical="center" wrapText="1"/>
    </xf>
    <xf numFmtId="14" fontId="74" fillId="0" borderId="19" xfId="0" applyNumberFormat="1" applyFont="1" applyBorder="1" applyAlignment="1">
      <alignment horizontal="center" vertical="center" wrapText="1"/>
    </xf>
    <xf numFmtId="0" fontId="74" fillId="0" borderId="90" xfId="0" applyFont="1" applyBorder="1" applyAlignment="1">
      <alignment vertical="center" wrapText="1"/>
    </xf>
    <xf numFmtId="14" fontId="74" fillId="0" borderId="20" xfId="0" applyNumberFormat="1" applyFont="1" applyBorder="1" applyAlignment="1">
      <alignment horizontal="center" vertical="center" wrapText="1"/>
    </xf>
    <xf numFmtId="0" fontId="74" fillId="0" borderId="90" xfId="0" applyFont="1" applyBorder="1" applyAlignment="1">
      <alignment wrapText="1"/>
    </xf>
    <xf numFmtId="0" fontId="74" fillId="0" borderId="20" xfId="0" applyFont="1" applyBorder="1"/>
    <xf numFmtId="0" fontId="74" fillId="27" borderId="90" xfId="0" applyFont="1" applyFill="1" applyBorder="1" applyAlignment="1">
      <alignment wrapText="1"/>
    </xf>
    <xf numFmtId="0" fontId="74" fillId="0" borderId="20" xfId="0" applyFont="1" applyBorder="1" applyAlignment="1">
      <alignment wrapText="1"/>
    </xf>
    <xf numFmtId="14" fontId="65" fillId="0" borderId="20" xfId="0" applyNumberFormat="1" applyFont="1" applyBorder="1" applyAlignment="1">
      <alignment wrapText="1"/>
    </xf>
    <xf numFmtId="0" fontId="2" fillId="0" borderId="90" xfId="0" applyFont="1" applyBorder="1" applyAlignment="1">
      <alignment wrapText="1"/>
    </xf>
    <xf numFmtId="0" fontId="73" fillId="0" borderId="19" xfId="0" applyFont="1" applyBorder="1" applyAlignment="1">
      <alignment horizontal="center" vertical="center" wrapText="1"/>
    </xf>
    <xf numFmtId="0" fontId="73" fillId="0" borderId="20" xfId="0" applyFont="1" applyBorder="1" applyAlignment="1">
      <alignment horizontal="center" vertical="center" wrapText="1"/>
    </xf>
    <xf numFmtId="0" fontId="74" fillId="27" borderId="90" xfId="0" applyFont="1" applyFill="1" applyBorder="1" applyAlignment="1">
      <alignment horizontal="center" vertical="center" wrapText="1"/>
    </xf>
    <xf numFmtId="0" fontId="74" fillId="0" borderId="20" xfId="0" applyFont="1" applyBorder="1" applyAlignment="1">
      <alignment horizontal="center" vertical="center" wrapText="1"/>
    </xf>
    <xf numFmtId="0" fontId="71" fillId="0" borderId="20" xfId="0" applyFont="1" applyBorder="1" applyAlignment="1">
      <alignment horizontal="center" vertical="center" wrapText="1" indent="1"/>
    </xf>
    <xf numFmtId="0" fontId="71" fillId="0" borderId="20" xfId="0" applyFont="1" applyBorder="1" applyAlignment="1">
      <alignment horizontal="center" vertical="center" wrapText="1"/>
    </xf>
    <xf numFmtId="0" fontId="74" fillId="0" borderId="92" xfId="0" applyFont="1" applyBorder="1" applyAlignment="1">
      <alignment wrapText="1"/>
    </xf>
    <xf numFmtId="0" fontId="77" fillId="0" borderId="19" xfId="0" applyFont="1" applyBorder="1" applyAlignment="1">
      <alignment horizontal="center" vertical="center" wrapText="1"/>
    </xf>
    <xf numFmtId="0" fontId="74" fillId="0" borderId="90" xfId="0" applyFont="1" applyBorder="1" applyAlignment="1" applyProtection="1">
      <alignment horizontal="center" vertical="center" wrapText="1" indent="1"/>
      <protection locked="0"/>
    </xf>
    <xf numFmtId="0" fontId="73" fillId="0" borderId="20" xfId="0" applyFont="1" applyBorder="1" applyAlignment="1" applyProtection="1">
      <alignment horizontal="center" vertical="center" wrapText="1" indent="1"/>
      <protection locked="0"/>
    </xf>
    <xf numFmtId="0" fontId="74" fillId="27" borderId="90" xfId="0" applyFont="1" applyFill="1" applyBorder="1" applyAlignment="1" applyProtection="1">
      <alignment horizontal="center" vertical="center" wrapText="1" indent="1"/>
      <protection locked="0"/>
    </xf>
    <xf numFmtId="14" fontId="74" fillId="0" borderId="78" xfId="0" applyNumberFormat="1" applyFont="1" applyBorder="1" applyAlignment="1" applyProtection="1">
      <alignment horizontal="center" vertical="center" wrapText="1"/>
      <protection locked="0"/>
    </xf>
    <xf numFmtId="14" fontId="65" fillId="0" borderId="19" xfId="0" applyNumberFormat="1" applyFont="1" applyBorder="1" applyAlignment="1" applyProtection="1">
      <alignment horizontal="center" vertical="center" wrapText="1"/>
      <protection locked="0"/>
    </xf>
    <xf numFmtId="0" fontId="65" fillId="0" borderId="64" xfId="0" applyFont="1" applyBorder="1" applyAlignment="1" applyProtection="1">
      <alignment horizontal="center" vertical="center" wrapText="1"/>
      <protection locked="0"/>
    </xf>
    <xf numFmtId="0" fontId="74" fillId="27" borderId="64" xfId="0" applyFont="1" applyFill="1" applyBorder="1" applyAlignment="1" applyProtection="1">
      <alignment horizontal="center" vertical="center" wrapText="1"/>
      <protection locked="0"/>
    </xf>
    <xf numFmtId="0" fontId="74" fillId="0" borderId="64" xfId="0" applyFont="1" applyBorder="1" applyAlignment="1" applyProtection="1">
      <alignment horizontal="center" vertical="center" wrapText="1"/>
      <protection locked="0"/>
    </xf>
    <xf numFmtId="0" fontId="74" fillId="0" borderId="90"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wrapText="1"/>
      <protection locked="0"/>
    </xf>
    <xf numFmtId="0" fontId="74" fillId="27" borderId="90" xfId="0" applyFont="1" applyFill="1" applyBorder="1" applyAlignment="1" applyProtection="1">
      <alignment horizontal="center" vertical="center" wrapText="1"/>
      <protection locked="0"/>
    </xf>
    <xf numFmtId="14" fontId="65" fillId="0" borderId="20" xfId="0" applyNumberFormat="1" applyFont="1" applyBorder="1" applyAlignment="1" applyProtection="1">
      <alignment horizontal="center" vertical="center" wrapText="1"/>
      <protection locked="0"/>
    </xf>
    <xf numFmtId="0" fontId="65" fillId="0" borderId="90" xfId="0" applyFont="1" applyBorder="1" applyAlignment="1" applyProtection="1">
      <alignment horizontal="center" vertical="center" wrapText="1"/>
      <protection locked="0"/>
    </xf>
    <xf numFmtId="0" fontId="65" fillId="27" borderId="64" xfId="0" applyFont="1" applyFill="1" applyBorder="1" applyAlignment="1" applyProtection="1">
      <alignment horizontal="center" vertical="center" wrapText="1"/>
      <protection locked="0"/>
    </xf>
    <xf numFmtId="0" fontId="74" fillId="0" borderId="64" xfId="0" applyFont="1" applyBorder="1" applyAlignment="1" applyProtection="1">
      <alignment horizontal="center" vertical="center" wrapText="1" indent="1"/>
      <protection locked="0"/>
    </xf>
    <xf numFmtId="0" fontId="77" fillId="0" borderId="19"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wrapText="1"/>
      <protection locked="0"/>
    </xf>
    <xf numFmtId="14" fontId="73" fillId="0" borderId="19" xfId="0" applyNumberFormat="1" applyFont="1" applyBorder="1" applyAlignment="1" applyProtection="1">
      <alignment horizontal="center" vertical="center" wrapText="1"/>
      <protection locked="0"/>
    </xf>
    <xf numFmtId="14" fontId="65" fillId="27" borderId="19" xfId="0" applyNumberFormat="1" applyFont="1" applyFill="1" applyBorder="1" applyAlignment="1" applyProtection="1">
      <alignment horizontal="center" vertical="center" wrapText="1"/>
      <protection locked="0"/>
    </xf>
    <xf numFmtId="0" fontId="73" fillId="0" borderId="19" xfId="0" applyFont="1" applyBorder="1" applyAlignment="1" applyProtection="1">
      <alignment horizontal="left" vertical="center" wrapText="1"/>
      <protection locked="0"/>
    </xf>
    <xf numFmtId="14" fontId="4" fillId="0" borderId="19" xfId="0" applyNumberFormat="1" applyFont="1" applyBorder="1" applyAlignment="1" applyProtection="1">
      <alignment horizontal="center" vertical="center" wrapText="1"/>
      <protection locked="0"/>
    </xf>
    <xf numFmtId="0" fontId="74" fillId="26" borderId="19" xfId="0" applyFont="1" applyFill="1" applyBorder="1" applyAlignment="1" applyProtection="1">
      <alignment horizontal="center" vertical="center" wrapText="1"/>
      <protection locked="0"/>
    </xf>
    <xf numFmtId="0" fontId="74" fillId="0" borderId="78" xfId="0" applyFont="1" applyBorder="1" applyAlignment="1" applyProtection="1">
      <alignment horizontal="center" vertical="center" wrapText="1"/>
      <protection locked="0"/>
    </xf>
    <xf numFmtId="14" fontId="78" fillId="0" borderId="19" xfId="0" applyNumberFormat="1" applyFont="1" applyBorder="1" applyAlignment="1" applyProtection="1">
      <alignment horizontal="center" vertical="center" wrapText="1"/>
      <protection locked="0"/>
    </xf>
    <xf numFmtId="14" fontId="4" fillId="3" borderId="19" xfId="0" applyNumberFormat="1" applyFont="1" applyFill="1" applyBorder="1" applyAlignment="1" applyProtection="1">
      <alignment horizontal="center" vertical="center" wrapText="1"/>
      <protection locked="0"/>
    </xf>
    <xf numFmtId="0" fontId="54" fillId="3" borderId="50" xfId="2" applyFont="1" applyFill="1" applyBorder="1" applyAlignment="1">
      <alignment horizontal="justify" vertical="center" wrapText="1"/>
    </xf>
    <xf numFmtId="0" fontId="54" fillId="3" borderId="51" xfId="2" applyFont="1" applyFill="1" applyBorder="1" applyAlignment="1">
      <alignment horizontal="justify" vertical="center" wrapText="1"/>
    </xf>
    <xf numFmtId="0" fontId="53" fillId="3" borderId="57" xfId="0" applyFont="1" applyFill="1" applyBorder="1" applyAlignment="1">
      <alignment horizontal="left" vertical="center" wrapText="1"/>
    </xf>
    <xf numFmtId="0" fontId="53" fillId="3" borderId="58" xfId="0" applyFont="1" applyFill="1" applyBorder="1" applyAlignment="1">
      <alignment horizontal="left" vertical="center" wrapText="1"/>
    </xf>
    <xf numFmtId="0" fontId="53" fillId="3" borderId="44" xfId="3" applyFont="1" applyFill="1" applyBorder="1" applyAlignment="1">
      <alignment horizontal="left" vertical="top" wrapText="1" readingOrder="1"/>
    </xf>
    <xf numFmtId="0" fontId="53" fillId="3" borderId="45" xfId="3" applyFont="1" applyFill="1" applyBorder="1" applyAlignment="1">
      <alignment horizontal="left" vertical="top" wrapText="1" readingOrder="1"/>
    </xf>
    <xf numFmtId="0" fontId="54" fillId="3" borderId="46" xfId="2" applyFont="1" applyFill="1" applyBorder="1" applyAlignment="1">
      <alignment horizontal="justify" vertical="center" wrapText="1"/>
    </xf>
    <xf numFmtId="0" fontId="54" fillId="3" borderId="47" xfId="2" applyFont="1" applyFill="1" applyBorder="1" applyAlignment="1">
      <alignment horizontal="justify" vertical="center" wrapText="1"/>
    </xf>
    <xf numFmtId="0" fontId="53" fillId="3" borderId="48" xfId="0" applyFont="1" applyFill="1" applyBorder="1" applyAlignment="1">
      <alignment horizontal="left" vertical="center" wrapText="1"/>
    </xf>
    <xf numFmtId="0" fontId="53" fillId="3" borderId="49" xfId="0" applyFont="1" applyFill="1" applyBorder="1" applyAlignment="1">
      <alignment horizontal="left" vertical="center" wrapText="1"/>
    </xf>
    <xf numFmtId="0" fontId="48" fillId="3" borderId="5"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6" xfId="2" applyFont="1" applyFill="1" applyBorder="1" applyAlignment="1">
      <alignment horizontal="left" vertical="top"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4" fillId="3" borderId="52" xfId="0" applyFont="1" applyFill="1" applyBorder="1" applyAlignment="1">
      <alignment horizontal="justify" vertical="center" wrapText="1"/>
    </xf>
    <xf numFmtId="0" fontId="54" fillId="3" borderId="53" xfId="0" applyFont="1" applyFill="1" applyBorder="1" applyAlignment="1">
      <alignment horizontal="justify" vertical="center" wrapText="1"/>
    </xf>
    <xf numFmtId="0" fontId="49" fillId="14" borderId="34" xfId="2" applyFont="1" applyFill="1" applyBorder="1" applyAlignment="1">
      <alignment horizontal="center" vertical="center" wrapText="1"/>
    </xf>
    <xf numFmtId="0" fontId="49" fillId="14" borderId="35" xfId="2" applyFont="1" applyFill="1" applyBorder="1" applyAlignment="1">
      <alignment horizontal="center" vertical="center" wrapText="1"/>
    </xf>
    <xf numFmtId="0" fontId="49" fillId="14" borderId="36" xfId="2" applyFont="1" applyFill="1" applyBorder="1" applyAlignment="1">
      <alignment horizontal="center" vertical="center" wrapText="1"/>
    </xf>
    <xf numFmtId="0" fontId="48" fillId="0" borderId="5"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6" xfId="2" quotePrefix="1" applyFont="1" applyBorder="1" applyAlignment="1">
      <alignment horizontal="left" vertical="center" wrapText="1"/>
    </xf>
    <xf numFmtId="0" fontId="48" fillId="0" borderId="54" xfId="2" quotePrefix="1" applyFont="1" applyBorder="1" applyAlignment="1">
      <alignment horizontal="left" vertical="center" wrapText="1"/>
    </xf>
    <xf numFmtId="0" fontId="48" fillId="0" borderId="55"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50" fillId="3" borderId="37" xfId="2" quotePrefix="1" applyFont="1" applyFill="1" applyBorder="1" applyAlignment="1">
      <alignment horizontal="left" vertical="top" wrapText="1"/>
    </xf>
    <xf numFmtId="0" fontId="51" fillId="3" borderId="38" xfId="2" quotePrefix="1" applyFont="1" applyFill="1" applyBorder="1" applyAlignment="1">
      <alignment horizontal="left" vertical="top" wrapText="1"/>
    </xf>
    <xf numFmtId="0" fontId="51" fillId="3" borderId="39" xfId="2" quotePrefix="1" applyFont="1" applyFill="1" applyBorder="1" applyAlignment="1">
      <alignment horizontal="left" vertical="top" wrapText="1"/>
    </xf>
    <xf numFmtId="0" fontId="48" fillId="0" borderId="5"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6" xfId="2" quotePrefix="1" applyFont="1" applyBorder="1" applyAlignment="1">
      <alignment horizontal="left" vertical="top" wrapText="1"/>
    </xf>
    <xf numFmtId="0" fontId="53" fillId="14" borderId="40" xfId="3" applyFont="1" applyFill="1" applyBorder="1" applyAlignment="1">
      <alignment horizontal="center" vertical="center" wrapText="1"/>
    </xf>
    <xf numFmtId="0" fontId="53" fillId="14" borderId="41" xfId="3" applyFont="1" applyFill="1" applyBorder="1" applyAlignment="1">
      <alignment horizontal="center" vertical="center" wrapText="1"/>
    </xf>
    <xf numFmtId="0" fontId="53" fillId="14" borderId="42" xfId="2" applyFont="1" applyFill="1" applyBorder="1" applyAlignment="1">
      <alignment horizontal="center" vertical="center"/>
    </xf>
    <xf numFmtId="0" fontId="53"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14" fontId="61" fillId="3" borderId="19" xfId="0" applyNumberFormat="1" applyFont="1" applyFill="1" applyBorder="1" applyAlignment="1">
      <alignment horizontal="center" vertical="center"/>
    </xf>
    <xf numFmtId="0" fontId="59" fillId="16" borderId="61" xfId="0" applyFont="1" applyFill="1" applyBorder="1" applyAlignment="1">
      <alignment horizontal="center" vertical="center" wrapText="1"/>
    </xf>
    <xf numFmtId="0" fontId="59" fillId="16" borderId="65" xfId="0" applyFont="1" applyFill="1" applyBorder="1" applyAlignment="1">
      <alignment horizontal="center" vertical="center" wrapText="1"/>
    </xf>
    <xf numFmtId="0" fontId="59" fillId="16" borderId="20" xfId="0" applyFont="1" applyFill="1" applyBorder="1" applyAlignment="1">
      <alignment horizontal="center" vertical="center" wrapText="1"/>
    </xf>
    <xf numFmtId="0" fontId="59" fillId="16" borderId="62"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64" xfId="0" applyFont="1" applyFill="1" applyBorder="1" applyAlignment="1">
      <alignment horizontal="center" vertical="center" wrapText="1"/>
    </xf>
    <xf numFmtId="0" fontId="59" fillId="17" borderId="19" xfId="0" applyFont="1" applyFill="1" applyBorder="1" applyAlignment="1">
      <alignment horizontal="center" vertical="center" wrapText="1"/>
    </xf>
    <xf numFmtId="0" fontId="59" fillId="0" borderId="19" xfId="0" applyFont="1" applyBorder="1" applyAlignment="1">
      <alignment horizontal="justify" vertical="center" wrapText="1"/>
    </xf>
    <xf numFmtId="0" fontId="46" fillId="0" borderId="19" xfId="0" quotePrefix="1" applyFont="1" applyBorder="1" applyAlignment="1">
      <alignment horizontal="center" vertical="center" wrapText="1"/>
    </xf>
    <xf numFmtId="0" fontId="46" fillId="0" borderId="61" xfId="0" quotePrefix="1" applyFont="1" applyBorder="1" applyAlignment="1">
      <alignment horizontal="center" vertical="center" wrapText="1"/>
    </xf>
    <xf numFmtId="0" fontId="46" fillId="0" borderId="19" xfId="4" applyFont="1" applyBorder="1" applyAlignment="1">
      <alignment horizontal="center" vertical="center" wrapText="1"/>
    </xf>
    <xf numFmtId="0" fontId="46" fillId="0" borderId="61" xfId="4" applyFont="1" applyBorder="1" applyAlignment="1">
      <alignment horizontal="center" vertical="center" wrapText="1"/>
    </xf>
    <xf numFmtId="0" fontId="46" fillId="0" borderId="61" xfId="0" applyFont="1" applyBorder="1" applyAlignment="1">
      <alignment horizontal="center" vertical="center" wrapText="1"/>
    </xf>
    <xf numFmtId="0" fontId="46" fillId="0" borderId="65"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65" xfId="4" applyFont="1" applyBorder="1" applyAlignment="1">
      <alignment horizontal="center" vertical="center" wrapText="1"/>
    </xf>
    <xf numFmtId="0" fontId="46" fillId="0" borderId="20" xfId="4" applyFont="1" applyBorder="1" applyAlignment="1">
      <alignment horizontal="center" vertical="center"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lignment horizontal="center" vertical="center" textRotation="90"/>
    </xf>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4" fillId="21" borderId="19"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9" fontId="1" fillId="0" borderId="19" xfId="0" applyNumberFormat="1" applyFont="1" applyBorder="1" applyAlignment="1">
      <alignment horizontal="center" vertical="center" wrapText="1"/>
    </xf>
    <xf numFmtId="9" fontId="1" fillId="0" borderId="61" xfId="0" applyNumberFormat="1" applyFont="1" applyBorder="1" applyAlignment="1" applyProtection="1">
      <alignment horizontal="center" vertical="center" wrapText="1"/>
      <protection hidden="1"/>
    </xf>
    <xf numFmtId="0" fontId="1" fillId="0" borderId="65" xfId="0" applyFont="1" applyBorder="1" applyAlignment="1">
      <alignment horizontal="center" vertical="center" wrapText="1"/>
    </xf>
    <xf numFmtId="0" fontId="1" fillId="0" borderId="20" xfId="0" applyFont="1" applyBorder="1" applyAlignment="1">
      <alignment horizontal="center" vertical="center" wrapText="1"/>
    </xf>
    <xf numFmtId="0" fontId="4" fillId="0" borderId="19" xfId="0"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9" fontId="2" fillId="0" borderId="79" xfId="0" applyNumberFormat="1" applyFont="1" applyBorder="1" applyAlignment="1">
      <alignment horizontal="center" vertical="center" wrapText="1"/>
    </xf>
    <xf numFmtId="0" fontId="2" fillId="0" borderId="8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79" xfId="0" applyFont="1" applyBorder="1" applyAlignment="1">
      <alignment horizontal="center" vertical="center" wrapText="1"/>
    </xf>
    <xf numFmtId="0" fontId="4" fillId="19" borderId="19" xfId="0" applyFont="1" applyFill="1" applyBorder="1" applyAlignment="1">
      <alignment horizontal="center" vertical="center" textRotation="90"/>
    </xf>
    <xf numFmtId="0" fontId="4" fillId="19" borderId="19" xfId="0" applyFont="1" applyFill="1" applyBorder="1" applyAlignment="1">
      <alignment horizontal="center" vertical="center" wrapText="1"/>
    </xf>
    <xf numFmtId="0" fontId="51"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1" fillId="0" borderId="19" xfId="0" applyFont="1" applyBorder="1" applyAlignment="1">
      <alignment vertical="center" wrapText="1"/>
    </xf>
    <xf numFmtId="0" fontId="2" fillId="0" borderId="19" xfId="0" applyFont="1" applyBorder="1" applyAlignment="1">
      <alignment horizontal="center" vertical="center"/>
    </xf>
    <xf numFmtId="0" fontId="4" fillId="17" borderId="19" xfId="0" applyFont="1" applyFill="1" applyBorder="1" applyAlignment="1">
      <alignment horizontal="center" vertical="center"/>
    </xf>
    <xf numFmtId="0" fontId="4" fillId="17" borderId="19" xfId="0" applyFont="1" applyFill="1" applyBorder="1" applyAlignment="1">
      <alignment horizontal="center" vertical="center" wrapText="1"/>
    </xf>
    <xf numFmtId="0" fontId="4" fillId="20" borderId="19" xfId="0" applyFont="1" applyFill="1" applyBorder="1" applyAlignment="1">
      <alignment horizontal="center" vertical="top" wrapText="1"/>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4" fillId="19" borderId="66" xfId="0" applyFont="1" applyFill="1" applyBorder="1" applyAlignment="1">
      <alignment horizontal="center" vertical="center"/>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51" fillId="22" borderId="66" xfId="0" applyFont="1" applyFill="1" applyBorder="1" applyAlignment="1" applyProtection="1">
      <alignment horizontal="center" vertical="center" wrapText="1"/>
      <protection hidden="1"/>
    </xf>
    <xf numFmtId="0" fontId="2" fillId="22" borderId="66" xfId="0" applyFont="1" applyFill="1" applyBorder="1" applyAlignment="1">
      <alignment horizontal="center" vertical="center" textRotation="90" wrapText="1"/>
    </xf>
    <xf numFmtId="0" fontId="2" fillId="22" borderId="66" xfId="0" applyFont="1" applyFill="1" applyBorder="1" applyAlignment="1" applyProtection="1">
      <alignment horizontal="center" vertical="center" wrapText="1"/>
      <protection hidden="1"/>
    </xf>
    <xf numFmtId="0" fontId="1" fillId="0" borderId="61" xfId="0" applyFont="1" applyBorder="1" applyAlignment="1">
      <alignment horizontal="center" vertical="center" wrapText="1"/>
    </xf>
    <xf numFmtId="0" fontId="51" fillId="19" borderId="61" xfId="0" applyFont="1" applyFill="1" applyBorder="1" applyAlignment="1">
      <alignment horizontal="center" vertical="center" wrapText="1"/>
    </xf>
    <xf numFmtId="0" fontId="51" fillId="19" borderId="20" xfId="0" applyFont="1" applyFill="1" applyBorder="1" applyAlignment="1">
      <alignment horizontal="center" vertical="center" wrapText="1"/>
    </xf>
    <xf numFmtId="0" fontId="51" fillId="0" borderId="66" xfId="0" applyFont="1" applyBorder="1" applyAlignment="1" applyProtection="1">
      <alignment horizontal="center" vertical="center" wrapText="1"/>
      <protection hidden="1"/>
    </xf>
    <xf numFmtId="0" fontId="2" fillId="0" borderId="66" xfId="0" applyFont="1" applyBorder="1" applyAlignment="1">
      <alignment horizontal="center" vertical="center" textRotation="90" wrapText="1"/>
    </xf>
    <xf numFmtId="0" fontId="51" fillId="17" borderId="19" xfId="0" applyFont="1" applyFill="1" applyBorder="1" applyAlignment="1">
      <alignment horizontal="center" vertical="center" wrapText="1"/>
    </xf>
    <xf numFmtId="0" fontId="51" fillId="19" borderId="19" xfId="0" applyFont="1" applyFill="1" applyBorder="1" applyAlignment="1">
      <alignment horizontal="center" vertical="center" textRotation="90" wrapText="1"/>
    </xf>
    <xf numFmtId="0" fontId="4" fillId="0" borderId="66" xfId="0" applyFont="1" applyBorder="1" applyAlignment="1">
      <alignment horizontal="center" vertical="center"/>
    </xf>
    <xf numFmtId="0" fontId="2" fillId="0" borderId="66" xfId="0" applyFont="1" applyBorder="1" applyAlignment="1" applyProtection="1">
      <alignment horizontal="center" vertical="center" wrapText="1"/>
      <protection hidden="1"/>
    </xf>
    <xf numFmtId="0" fontId="51" fillId="19" borderId="68" xfId="0" applyFont="1" applyFill="1" applyBorder="1" applyAlignment="1">
      <alignment horizontal="center" vertical="center" wrapText="1"/>
    </xf>
    <xf numFmtId="0" fontId="51" fillId="19" borderId="69" xfId="0" applyFont="1" applyFill="1" applyBorder="1" applyAlignment="1">
      <alignment horizontal="center" vertical="center" wrapText="1"/>
    </xf>
    <xf numFmtId="0" fontId="51" fillId="19" borderId="70" xfId="0" applyFont="1" applyFill="1" applyBorder="1" applyAlignment="1">
      <alignment horizontal="center" vertical="center" wrapText="1"/>
    </xf>
    <xf numFmtId="0" fontId="51" fillId="19" borderId="71" xfId="0" applyFont="1" applyFill="1" applyBorder="1" applyAlignment="1">
      <alignment horizontal="center" vertical="center" wrapText="1"/>
    </xf>
    <xf numFmtId="0" fontId="51" fillId="19" borderId="19" xfId="0" applyFont="1" applyFill="1" applyBorder="1" applyAlignment="1">
      <alignment horizontal="center" vertical="center" textRotation="90"/>
    </xf>
    <xf numFmtId="0" fontId="51" fillId="19" borderId="19" xfId="0" applyFont="1" applyFill="1" applyBorder="1" applyAlignment="1">
      <alignment horizontal="center" vertical="center"/>
    </xf>
    <xf numFmtId="0" fontId="4" fillId="21" borderId="19" xfId="0" applyFont="1" applyFill="1" applyBorder="1" applyAlignment="1" applyProtection="1">
      <alignment horizontal="center" vertical="center" wrapText="1"/>
      <protection locked="0"/>
    </xf>
    <xf numFmtId="0" fontId="4" fillId="21" borderId="61" xfId="0" applyFont="1" applyFill="1" applyBorder="1" applyAlignment="1" applyProtection="1">
      <alignment horizontal="center" vertical="center" wrapText="1"/>
      <protection locked="0"/>
    </xf>
    <xf numFmtId="0" fontId="4" fillId="21" borderId="20" xfId="0" applyFont="1" applyFill="1" applyBorder="1" applyAlignment="1" applyProtection="1">
      <alignment horizontal="center" vertical="center" wrapText="1"/>
      <protection locked="0"/>
    </xf>
    <xf numFmtId="0" fontId="4" fillId="20" borderId="19" xfId="0" applyFont="1" applyFill="1" applyBorder="1" applyAlignment="1" applyProtection="1">
      <alignment horizontal="center" vertical="center" wrapText="1"/>
      <protection locked="0"/>
    </xf>
    <xf numFmtId="0" fontId="25" fillId="19" borderId="19" xfId="0" applyFont="1" applyFill="1" applyBorder="1" applyAlignment="1">
      <alignment horizontal="center" vertical="center" textRotation="90"/>
    </xf>
    <xf numFmtId="0" fontId="4" fillId="17" borderId="19" xfId="0" applyFont="1" applyFill="1" applyBorder="1" applyAlignment="1" applyProtection="1">
      <alignment horizontal="center" vertical="center" wrapText="1"/>
      <protection locked="0"/>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0" xfId="0" applyFont="1" applyBorder="1" applyAlignment="1">
      <alignment horizontal="center" vertical="center" wrapText="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1" fillId="11" borderId="11" xfId="0" applyFont="1" applyFill="1" applyBorder="1" applyAlignment="1">
      <alignment horizontal="center" vertical="center" wrapText="1" readingOrder="1"/>
    </xf>
    <xf numFmtId="0" fontId="41" fillId="11" borderId="12" xfId="0" applyFont="1" applyFill="1" applyBorder="1" applyAlignment="1">
      <alignment horizontal="center" vertical="center" wrapText="1" readingOrder="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2" fillId="0" borderId="3" xfId="0" applyFont="1" applyBorder="1" applyAlignment="1">
      <alignment horizontal="center" vertical="center" wrapText="1"/>
    </xf>
    <xf numFmtId="0" fontId="42" fillId="0" borderId="10" xfId="0" applyFont="1" applyBorder="1" applyAlignment="1">
      <alignment horizontal="center" vertical="center"/>
    </xf>
    <xf numFmtId="0" fontId="42" fillId="0" borderId="5" xfId="0" applyFont="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1" fillId="12" borderId="11" xfId="0" applyFont="1" applyFill="1" applyBorder="1" applyAlignment="1">
      <alignment horizontal="center" vertical="center" wrapText="1" readingOrder="1"/>
    </xf>
    <xf numFmtId="0" fontId="41" fillId="12" borderId="12" xfId="0" applyFont="1" applyFill="1" applyBorder="1" applyAlignment="1">
      <alignment horizontal="center" vertical="center" wrapText="1" readingOrder="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0" fillId="0" borderId="0" xfId="0" applyFont="1" applyAlignment="1">
      <alignment horizontal="center" vertical="center" wrapText="1"/>
    </xf>
    <xf numFmtId="0" fontId="21" fillId="0" borderId="0" xfId="0" applyFont="1" applyAlignment="1">
      <alignment horizontal="center" vertical="center" wrapText="1"/>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1" fillId="5" borderId="11" xfId="0" applyFont="1" applyFill="1" applyBorder="1" applyAlignment="1">
      <alignment horizontal="center" vertical="center" wrapText="1" readingOrder="1"/>
    </xf>
    <xf numFmtId="0" fontId="41" fillId="5" borderId="12" xfId="0" applyFont="1" applyFill="1" applyBorder="1" applyAlignment="1">
      <alignment horizontal="center" vertical="center" wrapText="1" readingOrder="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13" borderId="11" xfId="0" applyFont="1" applyFill="1" applyBorder="1" applyAlignment="1">
      <alignment horizontal="center" vertical="center" wrapText="1" readingOrder="1"/>
    </xf>
    <xf numFmtId="0" fontId="41" fillId="13" borderId="12"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2" fillId="0" borderId="10" xfId="0" applyFont="1" applyBorder="1" applyAlignment="1">
      <alignment horizontal="center" vertical="center" wrapText="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21" xfId="0" applyFont="1" applyFill="1" applyBorder="1" applyAlignment="1">
      <alignment horizontal="center" vertical="center" wrapText="1" readingOrder="1"/>
    </xf>
    <xf numFmtId="0" fontId="39" fillId="15" borderId="22" xfId="0" applyFont="1" applyFill="1" applyBorder="1" applyAlignment="1">
      <alignment horizontal="center" vertical="center" wrapText="1" readingOrder="1"/>
    </xf>
    <xf numFmtId="0" fontId="39" fillId="15" borderId="33"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0" xfId="0" applyFont="1" applyFill="1" applyBorder="1" applyAlignment="1">
      <alignment horizontal="center" vertical="center" wrapText="1" readingOrder="1"/>
    </xf>
    <xf numFmtId="0" fontId="36" fillId="15" borderId="31"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6" fillId="3" borderId="23" xfId="0" applyFont="1" applyFill="1" applyBorder="1" applyAlignment="1">
      <alignment horizontal="center" vertical="center" wrapText="1" readingOrder="1"/>
    </xf>
    <xf numFmtId="0" fontId="36" fillId="3" borderId="20" xfId="0" applyFont="1" applyFill="1" applyBorder="1" applyAlignment="1">
      <alignment horizontal="center" vertical="center" wrapText="1" readingOrder="1"/>
    </xf>
    <xf numFmtId="0" fontId="36" fillId="3" borderId="19"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64" fillId="24" borderId="72" xfId="0" applyFont="1" applyFill="1" applyBorder="1" applyAlignment="1">
      <alignment horizontal="center" vertical="center"/>
    </xf>
    <xf numFmtId="0" fontId="64"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4" fillId="15" borderId="19" xfId="0" applyFont="1" applyFill="1" applyBorder="1" applyAlignment="1">
      <alignment horizontal="center" vertical="center"/>
    </xf>
    <xf numFmtId="0" fontId="49" fillId="19" borderId="19" xfId="0" applyFont="1" applyFill="1" applyBorder="1" applyAlignment="1">
      <alignment horizontal="center" vertical="center" textRotation="90"/>
    </xf>
    <xf numFmtId="0" fontId="1" fillId="3"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14" fontId="78" fillId="3" borderId="19" xfId="0" applyNumberFormat="1" applyFont="1" applyFill="1" applyBorder="1" applyAlignment="1" applyProtection="1">
      <alignment horizontal="center" vertical="center" wrapText="1"/>
      <protection locked="0"/>
    </xf>
    <xf numFmtId="0" fontId="2" fillId="0" borderId="80" xfId="0" applyFont="1" applyBorder="1" applyAlignment="1"/>
    <xf numFmtId="0" fontId="2" fillId="0" borderId="81" xfId="0" applyFont="1" applyBorder="1" applyAlignment="1"/>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17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2767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1.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defaultColWidth="11.42578125" defaultRowHeight="15"/>
  <cols>
    <col min="1" max="1" width="2.85546875" style="71" customWidth="1"/>
    <col min="2" max="3" width="24.7109375" style="71" customWidth="1"/>
    <col min="4" max="4" width="16" style="71" customWidth="1"/>
    <col min="5" max="5" width="24.7109375" style="71" customWidth="1"/>
    <col min="6" max="6" width="27.7109375" style="71" customWidth="1"/>
    <col min="7" max="8" width="24.7109375" style="71" customWidth="1"/>
    <col min="9" max="16384" width="11.42578125" style="71"/>
  </cols>
  <sheetData>
    <row r="1" spans="2:8" ht="15.75" thickBot="1"/>
    <row r="2" spans="2:8" ht="18">
      <c r="B2" s="413" t="s">
        <v>0</v>
      </c>
      <c r="C2" s="414"/>
      <c r="D2" s="414"/>
      <c r="E2" s="414"/>
      <c r="F2" s="414"/>
      <c r="G2" s="414"/>
      <c r="H2" s="415"/>
    </row>
    <row r="3" spans="2:8">
      <c r="B3" s="72"/>
      <c r="C3" s="73"/>
      <c r="D3" s="73"/>
      <c r="E3" s="73"/>
      <c r="F3" s="73"/>
      <c r="G3" s="73"/>
      <c r="H3" s="74"/>
    </row>
    <row r="4" spans="2:8" ht="63" customHeight="1">
      <c r="B4" s="416" t="s">
        <v>1</v>
      </c>
      <c r="C4" s="417"/>
      <c r="D4" s="417"/>
      <c r="E4" s="417"/>
      <c r="F4" s="417"/>
      <c r="G4" s="417"/>
      <c r="H4" s="418"/>
    </row>
    <row r="5" spans="2:8" ht="63" customHeight="1">
      <c r="B5" s="419"/>
      <c r="C5" s="420"/>
      <c r="D5" s="420"/>
      <c r="E5" s="420"/>
      <c r="F5" s="420"/>
      <c r="G5" s="420"/>
      <c r="H5" s="421"/>
    </row>
    <row r="6" spans="2:8" ht="16.5">
      <c r="B6" s="422" t="s">
        <v>2</v>
      </c>
      <c r="C6" s="423"/>
      <c r="D6" s="423"/>
      <c r="E6" s="423"/>
      <c r="F6" s="423"/>
      <c r="G6" s="423"/>
      <c r="H6" s="424"/>
    </row>
    <row r="7" spans="2:8" ht="95.25" customHeight="1">
      <c r="B7" s="432" t="s">
        <v>3</v>
      </c>
      <c r="C7" s="433"/>
      <c r="D7" s="433"/>
      <c r="E7" s="433"/>
      <c r="F7" s="433"/>
      <c r="G7" s="433"/>
      <c r="H7" s="434"/>
    </row>
    <row r="8" spans="2:8" ht="16.5">
      <c r="B8" s="108"/>
      <c r="C8" s="109"/>
      <c r="D8" s="109"/>
      <c r="E8" s="109"/>
      <c r="F8" s="109"/>
      <c r="G8" s="109"/>
      <c r="H8" s="110"/>
    </row>
    <row r="9" spans="2:8" ht="16.5" customHeight="1">
      <c r="B9" s="425" t="s">
        <v>4</v>
      </c>
      <c r="C9" s="426"/>
      <c r="D9" s="426"/>
      <c r="E9" s="426"/>
      <c r="F9" s="426"/>
      <c r="G9" s="426"/>
      <c r="H9" s="427"/>
    </row>
    <row r="10" spans="2:8" ht="44.25" customHeight="1">
      <c r="B10" s="425"/>
      <c r="C10" s="426"/>
      <c r="D10" s="426"/>
      <c r="E10" s="426"/>
      <c r="F10" s="426"/>
      <c r="G10" s="426"/>
      <c r="H10" s="427"/>
    </row>
    <row r="11" spans="2:8" ht="15.75" thickBot="1">
      <c r="B11" s="97"/>
      <c r="C11" s="100"/>
      <c r="D11" s="105"/>
      <c r="E11" s="106"/>
      <c r="F11" s="106"/>
      <c r="G11" s="107"/>
      <c r="H11" s="101"/>
    </row>
    <row r="12" spans="2:8" ht="15.75" thickTop="1">
      <c r="B12" s="97"/>
      <c r="C12" s="428" t="s">
        <v>5</v>
      </c>
      <c r="D12" s="429"/>
      <c r="E12" s="430" t="s">
        <v>6</v>
      </c>
      <c r="F12" s="431"/>
      <c r="G12" s="100"/>
      <c r="H12" s="101"/>
    </row>
    <row r="13" spans="2:8" ht="35.25" customHeight="1">
      <c r="B13" s="97"/>
      <c r="C13" s="400" t="s">
        <v>7</v>
      </c>
      <c r="D13" s="401"/>
      <c r="E13" s="402" t="s">
        <v>8</v>
      </c>
      <c r="F13" s="403"/>
      <c r="G13" s="100"/>
      <c r="H13" s="101"/>
    </row>
    <row r="14" spans="2:8" ht="17.25" customHeight="1">
      <c r="B14" s="97"/>
      <c r="C14" s="400" t="s">
        <v>9</v>
      </c>
      <c r="D14" s="401"/>
      <c r="E14" s="402" t="s">
        <v>10</v>
      </c>
      <c r="F14" s="403"/>
      <c r="G14" s="100"/>
      <c r="H14" s="101"/>
    </row>
    <row r="15" spans="2:8" ht="19.5" customHeight="1">
      <c r="B15" s="97"/>
      <c r="C15" s="400" t="s">
        <v>11</v>
      </c>
      <c r="D15" s="401"/>
      <c r="E15" s="402" t="s">
        <v>12</v>
      </c>
      <c r="F15" s="403"/>
      <c r="G15" s="100"/>
      <c r="H15" s="101"/>
    </row>
    <row r="16" spans="2:8" ht="69.75" customHeight="1">
      <c r="B16" s="97"/>
      <c r="C16" s="400" t="s">
        <v>13</v>
      </c>
      <c r="D16" s="401"/>
      <c r="E16" s="402" t="s">
        <v>14</v>
      </c>
      <c r="F16" s="403"/>
      <c r="G16" s="100"/>
      <c r="H16" s="101"/>
    </row>
    <row r="17" spans="2:8" ht="34.5" customHeight="1">
      <c r="B17" s="97"/>
      <c r="C17" s="404" t="s">
        <v>15</v>
      </c>
      <c r="D17" s="405"/>
      <c r="E17" s="396" t="s">
        <v>16</v>
      </c>
      <c r="F17" s="397"/>
      <c r="G17" s="100"/>
      <c r="H17" s="101"/>
    </row>
    <row r="18" spans="2:8" ht="27.75" customHeight="1">
      <c r="B18" s="97"/>
      <c r="C18" s="404" t="s">
        <v>17</v>
      </c>
      <c r="D18" s="405"/>
      <c r="E18" s="396" t="s">
        <v>18</v>
      </c>
      <c r="F18" s="397"/>
      <c r="G18" s="100"/>
      <c r="H18" s="101"/>
    </row>
    <row r="19" spans="2:8" ht="28.5" customHeight="1">
      <c r="B19" s="97"/>
      <c r="C19" s="404" t="s">
        <v>19</v>
      </c>
      <c r="D19" s="405"/>
      <c r="E19" s="396" t="s">
        <v>20</v>
      </c>
      <c r="F19" s="397"/>
      <c r="G19" s="100"/>
      <c r="H19" s="101"/>
    </row>
    <row r="20" spans="2:8" ht="72.75" customHeight="1">
      <c r="B20" s="97"/>
      <c r="C20" s="404" t="s">
        <v>21</v>
      </c>
      <c r="D20" s="405"/>
      <c r="E20" s="396" t="s">
        <v>22</v>
      </c>
      <c r="F20" s="397"/>
      <c r="G20" s="100"/>
      <c r="H20" s="101"/>
    </row>
    <row r="21" spans="2:8" ht="64.5" customHeight="1">
      <c r="B21" s="97"/>
      <c r="C21" s="404" t="s">
        <v>23</v>
      </c>
      <c r="D21" s="405"/>
      <c r="E21" s="396" t="s">
        <v>24</v>
      </c>
      <c r="F21" s="397"/>
      <c r="G21" s="100"/>
      <c r="H21" s="101"/>
    </row>
    <row r="22" spans="2:8" ht="71.25" customHeight="1">
      <c r="B22" s="97"/>
      <c r="C22" s="404" t="s">
        <v>25</v>
      </c>
      <c r="D22" s="405"/>
      <c r="E22" s="396" t="s">
        <v>26</v>
      </c>
      <c r="F22" s="397"/>
      <c r="G22" s="100"/>
      <c r="H22" s="101"/>
    </row>
    <row r="23" spans="2:8" ht="55.5" customHeight="1">
      <c r="B23" s="97"/>
      <c r="C23" s="398" t="s">
        <v>27</v>
      </c>
      <c r="D23" s="399"/>
      <c r="E23" s="396" t="s">
        <v>28</v>
      </c>
      <c r="F23" s="397"/>
      <c r="G23" s="100"/>
      <c r="H23" s="101"/>
    </row>
    <row r="24" spans="2:8" ht="42" customHeight="1">
      <c r="B24" s="97"/>
      <c r="C24" s="398" t="s">
        <v>29</v>
      </c>
      <c r="D24" s="399"/>
      <c r="E24" s="396" t="s">
        <v>30</v>
      </c>
      <c r="F24" s="397"/>
      <c r="G24" s="100"/>
      <c r="H24" s="101"/>
    </row>
    <row r="25" spans="2:8" ht="59.25" customHeight="1">
      <c r="B25" s="97"/>
      <c r="C25" s="398" t="s">
        <v>31</v>
      </c>
      <c r="D25" s="399"/>
      <c r="E25" s="396" t="s">
        <v>32</v>
      </c>
      <c r="F25" s="397"/>
      <c r="G25" s="100"/>
      <c r="H25" s="101"/>
    </row>
    <row r="26" spans="2:8" ht="23.25" customHeight="1">
      <c r="B26" s="97"/>
      <c r="C26" s="398" t="s">
        <v>33</v>
      </c>
      <c r="D26" s="399"/>
      <c r="E26" s="396" t="s">
        <v>34</v>
      </c>
      <c r="F26" s="397"/>
      <c r="G26" s="100"/>
      <c r="H26" s="101"/>
    </row>
    <row r="27" spans="2:8" ht="30.75" customHeight="1">
      <c r="B27" s="97"/>
      <c r="C27" s="398" t="s">
        <v>35</v>
      </c>
      <c r="D27" s="399"/>
      <c r="E27" s="396" t="s">
        <v>36</v>
      </c>
      <c r="F27" s="397"/>
      <c r="G27" s="100"/>
      <c r="H27" s="101"/>
    </row>
    <row r="28" spans="2:8" ht="35.25" customHeight="1">
      <c r="B28" s="97"/>
      <c r="C28" s="398" t="s">
        <v>37</v>
      </c>
      <c r="D28" s="399"/>
      <c r="E28" s="396" t="s">
        <v>38</v>
      </c>
      <c r="F28" s="397"/>
      <c r="G28" s="100"/>
      <c r="H28" s="101"/>
    </row>
    <row r="29" spans="2:8" ht="33" customHeight="1">
      <c r="B29" s="97"/>
      <c r="C29" s="398" t="s">
        <v>37</v>
      </c>
      <c r="D29" s="399"/>
      <c r="E29" s="396" t="s">
        <v>38</v>
      </c>
      <c r="F29" s="397"/>
      <c r="G29" s="100"/>
      <c r="H29" s="101"/>
    </row>
    <row r="30" spans="2:8" ht="30" customHeight="1">
      <c r="B30" s="97"/>
      <c r="C30" s="398" t="s">
        <v>39</v>
      </c>
      <c r="D30" s="399"/>
      <c r="E30" s="396" t="s">
        <v>40</v>
      </c>
      <c r="F30" s="397"/>
      <c r="G30" s="100"/>
      <c r="H30" s="101"/>
    </row>
    <row r="31" spans="2:8" ht="35.25" customHeight="1">
      <c r="B31" s="97"/>
      <c r="C31" s="398" t="s">
        <v>41</v>
      </c>
      <c r="D31" s="399"/>
      <c r="E31" s="396" t="s">
        <v>42</v>
      </c>
      <c r="F31" s="397"/>
      <c r="G31" s="100"/>
      <c r="H31" s="101"/>
    </row>
    <row r="32" spans="2:8" ht="31.5" customHeight="1">
      <c r="B32" s="97"/>
      <c r="C32" s="398" t="s">
        <v>43</v>
      </c>
      <c r="D32" s="399"/>
      <c r="E32" s="396" t="s">
        <v>44</v>
      </c>
      <c r="F32" s="397"/>
      <c r="G32" s="100"/>
      <c r="H32" s="101"/>
    </row>
    <row r="33" spans="2:8" ht="35.25" customHeight="1">
      <c r="B33" s="97"/>
      <c r="C33" s="398" t="s">
        <v>45</v>
      </c>
      <c r="D33" s="399"/>
      <c r="E33" s="396" t="s">
        <v>46</v>
      </c>
      <c r="F33" s="397"/>
      <c r="G33" s="100"/>
      <c r="H33" s="101"/>
    </row>
    <row r="34" spans="2:8" ht="59.25" customHeight="1">
      <c r="B34" s="97"/>
      <c r="C34" s="398" t="s">
        <v>47</v>
      </c>
      <c r="D34" s="399"/>
      <c r="E34" s="396" t="s">
        <v>48</v>
      </c>
      <c r="F34" s="397"/>
      <c r="G34" s="100"/>
      <c r="H34" s="101"/>
    </row>
    <row r="35" spans="2:8" ht="29.25" customHeight="1">
      <c r="B35" s="97"/>
      <c r="C35" s="398" t="s">
        <v>49</v>
      </c>
      <c r="D35" s="399"/>
      <c r="E35" s="396" t="s">
        <v>50</v>
      </c>
      <c r="F35" s="397"/>
      <c r="G35" s="100"/>
      <c r="H35" s="101"/>
    </row>
    <row r="36" spans="2:8" ht="82.5" customHeight="1">
      <c r="B36" s="97"/>
      <c r="C36" s="398" t="s">
        <v>51</v>
      </c>
      <c r="D36" s="399"/>
      <c r="E36" s="396" t="s">
        <v>52</v>
      </c>
      <c r="F36" s="397"/>
      <c r="G36" s="100"/>
      <c r="H36" s="101"/>
    </row>
    <row r="37" spans="2:8" ht="46.5" customHeight="1">
      <c r="B37" s="97"/>
      <c r="C37" s="398" t="s">
        <v>53</v>
      </c>
      <c r="D37" s="399"/>
      <c r="E37" s="396" t="s">
        <v>54</v>
      </c>
      <c r="F37" s="397"/>
      <c r="G37" s="100"/>
      <c r="H37" s="101"/>
    </row>
    <row r="38" spans="2:8" ht="6.75" customHeight="1" thickBot="1">
      <c r="B38" s="97"/>
      <c r="C38" s="409"/>
      <c r="D38" s="410"/>
      <c r="E38" s="411"/>
      <c r="F38" s="412"/>
      <c r="G38" s="100"/>
      <c r="H38" s="101"/>
    </row>
    <row r="39" spans="2:8" ht="15.75" thickTop="1">
      <c r="B39" s="97"/>
      <c r="C39" s="98"/>
      <c r="D39" s="98"/>
      <c r="E39" s="99"/>
      <c r="F39" s="99"/>
      <c r="G39" s="100"/>
      <c r="H39" s="101"/>
    </row>
    <row r="40" spans="2:8" ht="21" customHeight="1">
      <c r="B40" s="406" t="s">
        <v>55</v>
      </c>
      <c r="C40" s="407"/>
      <c r="D40" s="407"/>
      <c r="E40" s="407"/>
      <c r="F40" s="407"/>
      <c r="G40" s="407"/>
      <c r="H40" s="408"/>
    </row>
    <row r="41" spans="2:8" ht="20.25" customHeight="1">
      <c r="B41" s="406" t="s">
        <v>56</v>
      </c>
      <c r="C41" s="407"/>
      <c r="D41" s="407"/>
      <c r="E41" s="407"/>
      <c r="F41" s="407"/>
      <c r="G41" s="407"/>
      <c r="H41" s="408"/>
    </row>
    <row r="42" spans="2:8" ht="20.25" customHeight="1">
      <c r="B42" s="406" t="s">
        <v>57</v>
      </c>
      <c r="C42" s="407"/>
      <c r="D42" s="407"/>
      <c r="E42" s="407"/>
      <c r="F42" s="407"/>
      <c r="G42" s="407"/>
      <c r="H42" s="408"/>
    </row>
    <row r="43" spans="2:8" ht="20.25" customHeight="1">
      <c r="B43" s="406" t="s">
        <v>58</v>
      </c>
      <c r="C43" s="407"/>
      <c r="D43" s="407"/>
      <c r="E43" s="407"/>
      <c r="F43" s="407"/>
      <c r="G43" s="407"/>
      <c r="H43" s="408"/>
    </row>
    <row r="44" spans="2:8">
      <c r="B44" s="406" t="s">
        <v>59</v>
      </c>
      <c r="C44" s="407"/>
      <c r="D44" s="407"/>
      <c r="E44" s="407"/>
      <c r="F44" s="407"/>
      <c r="G44" s="407"/>
      <c r="H44" s="408"/>
    </row>
    <row r="45" spans="2:8" ht="15.75" thickBot="1">
      <c r="B45" s="102"/>
      <c r="C45" s="103"/>
      <c r="D45" s="103"/>
      <c r="E45" s="103"/>
      <c r="F45" s="103"/>
      <c r="G45" s="103"/>
      <c r="H45" s="10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defaultColWidth="14.28515625" defaultRowHeight="12.75"/>
  <cols>
    <col min="1" max="2" width="14.28515625" style="76"/>
    <col min="3" max="3" width="17" style="76" customWidth="1"/>
    <col min="4" max="4" width="14.28515625" style="76"/>
    <col min="5" max="5" width="46" style="76" customWidth="1"/>
    <col min="6" max="16384" width="14.28515625" style="76"/>
  </cols>
  <sheetData>
    <row r="1" spans="2:6" ht="24" customHeight="1" thickBot="1">
      <c r="B1" s="674" t="s">
        <v>630</v>
      </c>
      <c r="C1" s="675"/>
      <c r="D1" s="675"/>
      <c r="E1" s="675"/>
      <c r="F1" s="676"/>
    </row>
    <row r="2" spans="2:6" ht="16.5" thickBot="1">
      <c r="B2" s="77"/>
      <c r="C2" s="77"/>
      <c r="D2" s="77"/>
      <c r="E2" s="77"/>
      <c r="F2" s="77"/>
    </row>
    <row r="3" spans="2:6" ht="16.5" thickBot="1">
      <c r="B3" s="678" t="s">
        <v>631</v>
      </c>
      <c r="C3" s="679"/>
      <c r="D3" s="679"/>
      <c r="E3" s="89" t="s">
        <v>632</v>
      </c>
      <c r="F3" s="90" t="s">
        <v>633</v>
      </c>
    </row>
    <row r="4" spans="2:6" ht="31.5">
      <c r="B4" s="680" t="s">
        <v>634</v>
      </c>
      <c r="C4" s="682" t="s">
        <v>70</v>
      </c>
      <c r="D4" s="78" t="s">
        <v>190</v>
      </c>
      <c r="E4" s="79" t="s">
        <v>635</v>
      </c>
      <c r="F4" s="80">
        <v>0.25</v>
      </c>
    </row>
    <row r="5" spans="2:6" ht="47.25">
      <c r="B5" s="681"/>
      <c r="C5" s="683"/>
      <c r="D5" s="81" t="s">
        <v>445</v>
      </c>
      <c r="E5" s="82" t="s">
        <v>636</v>
      </c>
      <c r="F5" s="83">
        <v>0.15</v>
      </c>
    </row>
    <row r="6" spans="2:6" ht="47.25">
      <c r="B6" s="681"/>
      <c r="C6" s="683"/>
      <c r="D6" s="81" t="s">
        <v>637</v>
      </c>
      <c r="E6" s="82" t="s">
        <v>638</v>
      </c>
      <c r="F6" s="83">
        <v>0.1</v>
      </c>
    </row>
    <row r="7" spans="2:6" ht="63">
      <c r="B7" s="681"/>
      <c r="C7" s="683" t="s">
        <v>177</v>
      </c>
      <c r="D7" s="81" t="s">
        <v>483</v>
      </c>
      <c r="E7" s="82" t="s">
        <v>639</v>
      </c>
      <c r="F7" s="83">
        <v>0.25</v>
      </c>
    </row>
    <row r="8" spans="2:6" ht="31.5">
      <c r="B8" s="681"/>
      <c r="C8" s="683"/>
      <c r="D8" s="81" t="s">
        <v>191</v>
      </c>
      <c r="E8" s="82" t="s">
        <v>640</v>
      </c>
      <c r="F8" s="83">
        <v>0.15</v>
      </c>
    </row>
    <row r="9" spans="2:6" ht="47.25">
      <c r="B9" s="681" t="s">
        <v>641</v>
      </c>
      <c r="C9" s="683" t="s">
        <v>179</v>
      </c>
      <c r="D9" s="81" t="s">
        <v>192</v>
      </c>
      <c r="E9" s="82" t="s">
        <v>642</v>
      </c>
      <c r="F9" s="84" t="s">
        <v>643</v>
      </c>
    </row>
    <row r="10" spans="2:6" ht="63">
      <c r="B10" s="681"/>
      <c r="C10" s="683"/>
      <c r="D10" s="81" t="s">
        <v>644</v>
      </c>
      <c r="E10" s="82" t="s">
        <v>645</v>
      </c>
      <c r="F10" s="84" t="s">
        <v>643</v>
      </c>
    </row>
    <row r="11" spans="2:6" ht="47.25">
      <c r="B11" s="681"/>
      <c r="C11" s="683" t="s">
        <v>180</v>
      </c>
      <c r="D11" s="81" t="s">
        <v>193</v>
      </c>
      <c r="E11" s="82" t="s">
        <v>646</v>
      </c>
      <c r="F11" s="84" t="s">
        <v>643</v>
      </c>
    </row>
    <row r="12" spans="2:6" ht="47.25">
      <c r="B12" s="681"/>
      <c r="C12" s="683"/>
      <c r="D12" s="81" t="s">
        <v>647</v>
      </c>
      <c r="E12" s="82" t="s">
        <v>648</v>
      </c>
      <c r="F12" s="84" t="s">
        <v>643</v>
      </c>
    </row>
    <row r="13" spans="2:6" ht="31.5">
      <c r="B13" s="681"/>
      <c r="C13" s="683" t="s">
        <v>162</v>
      </c>
      <c r="D13" s="81" t="s">
        <v>649</v>
      </c>
      <c r="E13" s="82" t="s">
        <v>650</v>
      </c>
      <c r="F13" s="84" t="s">
        <v>643</v>
      </c>
    </row>
    <row r="14" spans="2:6" ht="32.25" thickBot="1">
      <c r="B14" s="684"/>
      <c r="C14" s="685"/>
      <c r="D14" s="85" t="s">
        <v>651</v>
      </c>
      <c r="E14" s="86" t="s">
        <v>652</v>
      </c>
      <c r="F14" s="87" t="s">
        <v>643</v>
      </c>
    </row>
    <row r="15" spans="2:6" ht="49.5" customHeight="1">
      <c r="B15" s="677" t="s">
        <v>653</v>
      </c>
      <c r="C15" s="677"/>
      <c r="D15" s="677"/>
      <c r="E15" s="677"/>
      <c r="F15" s="677"/>
    </row>
    <row r="16" spans="2:6" ht="27" customHeight="1">
      <c r="B16" s="8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defaultColWidth="11.42578125" defaultRowHeight="16.5"/>
  <cols>
    <col min="1" max="1" width="36.42578125" style="118" customWidth="1"/>
    <col min="2" max="2" width="155.5703125" style="118" customWidth="1"/>
    <col min="3" max="16384" width="11.42578125" style="118"/>
  </cols>
  <sheetData>
    <row r="1" spans="1:2" ht="17.25" thickBot="1">
      <c r="A1" s="116" t="s">
        <v>654</v>
      </c>
      <c r="B1" s="117" t="s">
        <v>655</v>
      </c>
    </row>
    <row r="2" spans="1:2" ht="41.25" customHeight="1">
      <c r="A2" s="119" t="s">
        <v>656</v>
      </c>
      <c r="B2" s="120" t="s">
        <v>657</v>
      </c>
    </row>
    <row r="3" spans="1:2">
      <c r="A3" s="121" t="s">
        <v>355</v>
      </c>
      <c r="B3" s="122" t="s">
        <v>658</v>
      </c>
    </row>
    <row r="4" spans="1:2">
      <c r="A4" s="121" t="s">
        <v>659</v>
      </c>
      <c r="B4" s="123" t="s">
        <v>660</v>
      </c>
    </row>
    <row r="5" spans="1:2" ht="31.5" customHeight="1">
      <c r="A5" s="121" t="s">
        <v>661</v>
      </c>
      <c r="B5" s="122" t="s">
        <v>662</v>
      </c>
    </row>
    <row r="6" spans="1:2" ht="25.5">
      <c r="A6" s="121" t="s">
        <v>663</v>
      </c>
      <c r="B6" s="122" t="s">
        <v>664</v>
      </c>
    </row>
    <row r="7" spans="1:2" ht="33.75" customHeight="1">
      <c r="A7" s="121" t="s">
        <v>665</v>
      </c>
      <c r="B7" s="122" t="s">
        <v>666</v>
      </c>
    </row>
    <row r="8" spans="1:2" ht="25.5">
      <c r="A8" s="121" t="s">
        <v>667</v>
      </c>
      <c r="B8" s="122" t="s">
        <v>668</v>
      </c>
    </row>
    <row r="9" spans="1:2" ht="17.25" thickBot="1">
      <c r="A9" s="124" t="s">
        <v>669</v>
      </c>
      <c r="B9" s="125" t="s">
        <v>670</v>
      </c>
    </row>
    <row r="10" spans="1:2" ht="17.25" thickBot="1"/>
    <row r="11" spans="1:2">
      <c r="A11" s="689" t="s">
        <v>671</v>
      </c>
      <c r="B11" s="690"/>
    </row>
    <row r="12" spans="1:2" ht="17.25" thickBot="1">
      <c r="A12" s="126" t="s">
        <v>672</v>
      </c>
      <c r="B12" s="127" t="s">
        <v>673</v>
      </c>
    </row>
    <row r="13" spans="1:2">
      <c r="A13" s="691" t="s">
        <v>674</v>
      </c>
      <c r="B13" s="128" t="s">
        <v>675</v>
      </c>
    </row>
    <row r="14" spans="1:2" ht="17.25" thickBot="1">
      <c r="A14" s="692"/>
      <c r="B14" s="129" t="s">
        <v>676</v>
      </c>
    </row>
    <row r="15" spans="1:2">
      <c r="A15" s="693" t="s">
        <v>677</v>
      </c>
      <c r="B15" s="128" t="s">
        <v>534</v>
      </c>
    </row>
    <row r="16" spans="1:2" ht="17.25" thickBot="1">
      <c r="A16" s="694"/>
      <c r="B16" s="129" t="s">
        <v>678</v>
      </c>
    </row>
    <row r="17" spans="1:2">
      <c r="A17" s="686" t="s">
        <v>679</v>
      </c>
      <c r="B17" s="128" t="s">
        <v>680</v>
      </c>
    </row>
    <row r="18" spans="1:2">
      <c r="A18" s="687"/>
      <c r="B18" s="130" t="s">
        <v>681</v>
      </c>
    </row>
    <row r="19" spans="1:2" ht="17.25" thickBot="1">
      <c r="A19" s="688"/>
      <c r="B19" s="129" t="s">
        <v>682</v>
      </c>
    </row>
    <row r="20" spans="1:2">
      <c r="A20" s="693" t="s">
        <v>683</v>
      </c>
      <c r="B20" s="128" t="s">
        <v>684</v>
      </c>
    </row>
    <row r="21" spans="1:2">
      <c r="A21" s="695"/>
      <c r="B21" s="130" t="s">
        <v>685</v>
      </c>
    </row>
    <row r="22" spans="1:2">
      <c r="A22" s="695"/>
      <c r="B22" s="130" t="s">
        <v>686</v>
      </c>
    </row>
    <row r="23" spans="1:2">
      <c r="A23" s="695"/>
      <c r="B23" s="130" t="s">
        <v>687</v>
      </c>
    </row>
    <row r="24" spans="1:2">
      <c r="A24" s="695"/>
      <c r="B24" s="130" t="s">
        <v>688</v>
      </c>
    </row>
    <row r="25" spans="1:2">
      <c r="A25" s="695"/>
      <c r="B25" s="130" t="s">
        <v>689</v>
      </c>
    </row>
    <row r="26" spans="1:2">
      <c r="A26" s="695"/>
      <c r="B26" s="130" t="s">
        <v>690</v>
      </c>
    </row>
    <row r="27" spans="1:2">
      <c r="A27" s="695"/>
      <c r="B27" s="130" t="s">
        <v>691</v>
      </c>
    </row>
    <row r="28" spans="1:2">
      <c r="A28" s="695"/>
      <c r="B28" s="130" t="s">
        <v>462</v>
      </c>
    </row>
    <row r="29" spans="1:2">
      <c r="A29" s="695"/>
      <c r="B29" s="130" t="s">
        <v>692</v>
      </c>
    </row>
    <row r="30" spans="1:2" ht="17.25" thickBot="1">
      <c r="A30" s="694"/>
      <c r="B30" s="129" t="s">
        <v>546</v>
      </c>
    </row>
    <row r="31" spans="1:2">
      <c r="A31" s="686" t="s">
        <v>693</v>
      </c>
      <c r="B31" s="128" t="s">
        <v>694</v>
      </c>
    </row>
    <row r="32" spans="1:2">
      <c r="A32" s="687"/>
      <c r="B32" s="130" t="s">
        <v>695</v>
      </c>
    </row>
    <row r="33" spans="1:2">
      <c r="A33" s="687"/>
      <c r="B33" s="130" t="s">
        <v>384</v>
      </c>
    </row>
    <row r="34" spans="1:2">
      <c r="A34" s="687"/>
      <c r="B34" s="130" t="s">
        <v>696</v>
      </c>
    </row>
    <row r="35" spans="1:2">
      <c r="A35" s="687"/>
      <c r="B35" s="130" t="s">
        <v>697</v>
      </c>
    </row>
    <row r="36" spans="1:2">
      <c r="A36" s="687"/>
      <c r="B36" s="130" t="s">
        <v>515</v>
      </c>
    </row>
    <row r="37" spans="1:2">
      <c r="A37" s="687"/>
      <c r="B37" s="130" t="s">
        <v>356</v>
      </c>
    </row>
    <row r="38" spans="1:2">
      <c r="A38" s="687"/>
      <c r="B38" s="130" t="s">
        <v>698</v>
      </c>
    </row>
    <row r="39" spans="1:2">
      <c r="A39" s="687"/>
      <c r="B39" s="130" t="s">
        <v>423</v>
      </c>
    </row>
    <row r="40" spans="1:2">
      <c r="A40" s="687"/>
      <c r="B40" s="130" t="s">
        <v>441</v>
      </c>
    </row>
    <row r="41" spans="1:2">
      <c r="A41" s="687"/>
      <c r="B41" s="130" t="s">
        <v>480</v>
      </c>
    </row>
    <row r="42" spans="1:2">
      <c r="A42" s="687"/>
      <c r="B42" s="130" t="s">
        <v>403</v>
      </c>
    </row>
    <row r="43" spans="1:2">
      <c r="A43" s="687"/>
      <c r="B43" s="130" t="s">
        <v>699</v>
      </c>
    </row>
    <row r="44" spans="1:2">
      <c r="A44" s="687"/>
      <c r="B44" s="130" t="s">
        <v>700</v>
      </c>
    </row>
    <row r="45" spans="1:2" ht="17.25" thickBot="1">
      <c r="A45" s="688"/>
      <c r="B45" s="129" t="s">
        <v>495</v>
      </c>
    </row>
    <row r="46" spans="1:2">
      <c r="A46" s="686" t="s">
        <v>701</v>
      </c>
      <c r="B46" s="128" t="s">
        <v>702</v>
      </c>
    </row>
    <row r="47" spans="1:2" ht="17.25" thickBot="1">
      <c r="A47" s="688"/>
      <c r="B47" s="129" t="s">
        <v>703</v>
      </c>
    </row>
    <row r="48" spans="1:2">
      <c r="A48" s="691" t="s">
        <v>704</v>
      </c>
      <c r="B48" s="131" t="s">
        <v>705</v>
      </c>
    </row>
    <row r="49" spans="1:2" ht="17.25" thickBot="1">
      <c r="A49" s="692"/>
      <c r="B49" s="132" t="s">
        <v>706</v>
      </c>
    </row>
    <row r="50" spans="1:2">
      <c r="A50" s="696" t="s">
        <v>707</v>
      </c>
      <c r="B50" s="131" t="s">
        <v>708</v>
      </c>
    </row>
    <row r="51" spans="1:2" ht="17.25" thickBot="1">
      <c r="A51" s="697"/>
      <c r="B51" s="132" t="s">
        <v>709</v>
      </c>
    </row>
    <row r="52" spans="1:2" ht="17.25" thickBot="1"/>
    <row r="53" spans="1:2">
      <c r="A53" s="689" t="s">
        <v>710</v>
      </c>
      <c r="B53" s="690"/>
    </row>
    <row r="54" spans="1:2" ht="17.25" thickBot="1">
      <c r="A54" s="126" t="s">
        <v>672</v>
      </c>
      <c r="B54" s="133" t="s">
        <v>711</v>
      </c>
    </row>
    <row r="55" spans="1:2">
      <c r="A55" s="693" t="s">
        <v>121</v>
      </c>
      <c r="B55" s="131" t="s">
        <v>547</v>
      </c>
    </row>
    <row r="56" spans="1:2">
      <c r="A56" s="695"/>
      <c r="B56" s="134" t="s">
        <v>712</v>
      </c>
    </row>
    <row r="57" spans="1:2">
      <c r="A57" s="695"/>
      <c r="B57" s="134" t="s">
        <v>713</v>
      </c>
    </row>
    <row r="58" spans="1:2">
      <c r="A58" s="695"/>
      <c r="B58" s="134" t="s">
        <v>714</v>
      </c>
    </row>
    <row r="59" spans="1:2">
      <c r="A59" s="695"/>
      <c r="B59" s="134" t="s">
        <v>715</v>
      </c>
    </row>
    <row r="60" spans="1:2">
      <c r="A60" s="695"/>
      <c r="B60" s="134" t="s">
        <v>716</v>
      </c>
    </row>
    <row r="61" spans="1:2">
      <c r="A61" s="695"/>
      <c r="B61" s="134" t="s">
        <v>717</v>
      </c>
    </row>
    <row r="62" spans="1:2">
      <c r="A62" s="695"/>
      <c r="B62" s="134" t="s">
        <v>718</v>
      </c>
    </row>
    <row r="63" spans="1:2">
      <c r="A63" s="695"/>
      <c r="B63" s="134" t="s">
        <v>719</v>
      </c>
    </row>
    <row r="64" spans="1:2">
      <c r="A64" s="695"/>
      <c r="B64" s="134" t="s">
        <v>535</v>
      </c>
    </row>
    <row r="65" spans="1:2">
      <c r="A65" s="695"/>
      <c r="B65" s="134" t="s">
        <v>720</v>
      </c>
    </row>
    <row r="66" spans="1:2">
      <c r="A66" s="695"/>
      <c r="B66" s="134" t="s">
        <v>721</v>
      </c>
    </row>
    <row r="67" spans="1:2">
      <c r="A67" s="695"/>
      <c r="B67" s="134" t="s">
        <v>722</v>
      </c>
    </row>
    <row r="68" spans="1:2" ht="17.25" thickBot="1">
      <c r="A68" s="694"/>
      <c r="B68" s="132" t="s">
        <v>723</v>
      </c>
    </row>
    <row r="69" spans="1:2">
      <c r="A69" s="693" t="s">
        <v>724</v>
      </c>
      <c r="B69" s="131" t="s">
        <v>463</v>
      </c>
    </row>
    <row r="70" spans="1:2">
      <c r="A70" s="695"/>
      <c r="B70" s="134" t="s">
        <v>725</v>
      </c>
    </row>
    <row r="71" spans="1:2">
      <c r="A71" s="695"/>
      <c r="B71" s="134" t="s">
        <v>726</v>
      </c>
    </row>
    <row r="72" spans="1:2">
      <c r="A72" s="695"/>
      <c r="B72" s="134" t="s">
        <v>727</v>
      </c>
    </row>
    <row r="73" spans="1:2">
      <c r="A73" s="695"/>
      <c r="B73" s="134" t="s">
        <v>385</v>
      </c>
    </row>
    <row r="74" spans="1:2">
      <c r="A74" s="695"/>
      <c r="B74" s="134" t="s">
        <v>728</v>
      </c>
    </row>
    <row r="75" spans="1:2">
      <c r="A75" s="695"/>
      <c r="B75" s="134" t="s">
        <v>729</v>
      </c>
    </row>
    <row r="76" spans="1:2">
      <c r="A76" s="695"/>
      <c r="B76" s="134" t="s">
        <v>730</v>
      </c>
    </row>
    <row r="77" spans="1:2">
      <c r="A77" s="695"/>
      <c r="B77" s="134" t="s">
        <v>731</v>
      </c>
    </row>
    <row r="78" spans="1:2">
      <c r="A78" s="695"/>
      <c r="B78" s="134" t="s">
        <v>732</v>
      </c>
    </row>
    <row r="79" spans="1:2">
      <c r="A79" s="695"/>
      <c r="B79" s="134" t="s">
        <v>733</v>
      </c>
    </row>
    <row r="80" spans="1:2">
      <c r="A80" s="695"/>
      <c r="B80" s="134" t="s">
        <v>734</v>
      </c>
    </row>
    <row r="81" spans="1:2">
      <c r="A81" s="695"/>
      <c r="B81" s="134" t="s">
        <v>735</v>
      </c>
    </row>
    <row r="82" spans="1:2">
      <c r="A82" s="695"/>
      <c r="B82" s="134" t="s">
        <v>442</v>
      </c>
    </row>
    <row r="83" spans="1:2">
      <c r="A83" s="695"/>
      <c r="B83" s="134" t="s">
        <v>736</v>
      </c>
    </row>
    <row r="84" spans="1:2" ht="17.25" thickBot="1">
      <c r="A84" s="694"/>
      <c r="B84" s="132" t="s">
        <v>404</v>
      </c>
    </row>
    <row r="85" spans="1:2">
      <c r="A85" s="693" t="s">
        <v>737</v>
      </c>
      <c r="B85" s="131" t="s">
        <v>738</v>
      </c>
    </row>
    <row r="86" spans="1:2">
      <c r="A86" s="695"/>
      <c r="B86" s="134" t="s">
        <v>357</v>
      </c>
    </row>
    <row r="87" spans="1:2">
      <c r="A87" s="695"/>
      <c r="B87" s="134" t="s">
        <v>739</v>
      </c>
    </row>
    <row r="88" spans="1:2">
      <c r="A88" s="695"/>
      <c r="B88" s="134" t="s">
        <v>740</v>
      </c>
    </row>
    <row r="89" spans="1:2">
      <c r="A89" s="695"/>
      <c r="B89" s="134" t="s">
        <v>741</v>
      </c>
    </row>
    <row r="90" spans="1:2" ht="16.5" customHeight="1">
      <c r="A90" s="695"/>
      <c r="B90" s="135" t="s">
        <v>742</v>
      </c>
    </row>
    <row r="91" spans="1:2" ht="17.25" thickBot="1">
      <c r="A91" s="694"/>
      <c r="B91" s="132" t="s">
        <v>743</v>
      </c>
    </row>
    <row r="92" spans="1:2">
      <c r="A92" s="693" t="s">
        <v>96</v>
      </c>
      <c r="B92" s="131" t="s">
        <v>744</v>
      </c>
    </row>
    <row r="93" spans="1:2" ht="15" customHeight="1">
      <c r="A93" s="695"/>
      <c r="B93" s="135" t="s">
        <v>745</v>
      </c>
    </row>
    <row r="94" spans="1:2" ht="16.5" customHeight="1">
      <c r="A94" s="695"/>
      <c r="B94" s="135" t="s">
        <v>746</v>
      </c>
    </row>
    <row r="95" spans="1:2">
      <c r="A95" s="695"/>
      <c r="B95" s="134" t="s">
        <v>496</v>
      </c>
    </row>
    <row r="96" spans="1:2">
      <c r="A96" s="695"/>
      <c r="B96" s="134" t="s">
        <v>747</v>
      </c>
    </row>
    <row r="97" spans="1:2" ht="17.25" thickBot="1">
      <c r="A97" s="694"/>
      <c r="B97" s="132" t="s">
        <v>748</v>
      </c>
    </row>
    <row r="98" spans="1:2">
      <c r="A98" s="693" t="s">
        <v>749</v>
      </c>
      <c r="B98" s="136" t="s">
        <v>424</v>
      </c>
    </row>
    <row r="99" spans="1:2">
      <c r="A99" s="695"/>
      <c r="B99" s="134" t="s">
        <v>750</v>
      </c>
    </row>
    <row r="100" spans="1:2">
      <c r="A100" s="695"/>
      <c r="B100" s="134" t="s">
        <v>751</v>
      </c>
    </row>
    <row r="101" spans="1:2">
      <c r="A101" s="695"/>
      <c r="B101" s="134" t="s">
        <v>752</v>
      </c>
    </row>
    <row r="102" spans="1:2">
      <c r="A102" s="695"/>
      <c r="B102" s="134" t="s">
        <v>753</v>
      </c>
    </row>
    <row r="103" spans="1:2" ht="17.25" thickBot="1">
      <c r="A103" s="694"/>
      <c r="B103" s="137" t="s">
        <v>754</v>
      </c>
    </row>
    <row r="104" spans="1:2">
      <c r="A104" s="693" t="s">
        <v>755</v>
      </c>
      <c r="B104" s="136" t="s">
        <v>756</v>
      </c>
    </row>
    <row r="105" spans="1:2">
      <c r="A105" s="695"/>
      <c r="B105" s="134" t="s">
        <v>757</v>
      </c>
    </row>
    <row r="106" spans="1:2">
      <c r="A106" s="695"/>
      <c r="B106" s="134" t="s">
        <v>481</v>
      </c>
    </row>
    <row r="107" spans="1:2">
      <c r="A107" s="695"/>
      <c r="B107" s="134" t="s">
        <v>758</v>
      </c>
    </row>
    <row r="108" spans="1:2">
      <c r="A108" s="695"/>
      <c r="B108" s="134" t="s">
        <v>516</v>
      </c>
    </row>
    <row r="109" spans="1:2" ht="17.25" thickBot="1">
      <c r="A109" s="694"/>
      <c r="B109" s="137" t="s">
        <v>759</v>
      </c>
    </row>
    <row r="110" spans="1:2" ht="17.25" thickBot="1">
      <c r="A110" s="138" t="s">
        <v>760</v>
      </c>
      <c r="B110" s="139" t="s">
        <v>761</v>
      </c>
    </row>
    <row r="111" spans="1:2" ht="15" customHeight="1"/>
    <row r="112" spans="1:2">
      <c r="A112" s="140" t="s">
        <v>762</v>
      </c>
    </row>
    <row r="113" spans="1:1">
      <c r="A113" s="141" t="s">
        <v>497</v>
      </c>
    </row>
    <row r="114" spans="1:1">
      <c r="A114" s="141" t="s">
        <v>359</v>
      </c>
    </row>
    <row r="115" spans="1:1">
      <c r="A115" s="141" t="s">
        <v>763</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defaultColWidth="11.42578125" defaultRowHeight="15"/>
  <sheetData>
    <row r="2" spans="2:5">
      <c r="B2" t="s">
        <v>764</v>
      </c>
      <c r="E2" t="s">
        <v>765</v>
      </c>
    </row>
    <row r="3" spans="2:5">
      <c r="B3" t="s">
        <v>766</v>
      </c>
      <c r="E3" t="s">
        <v>767</v>
      </c>
    </row>
    <row r="4" spans="2:5">
      <c r="B4" t="s">
        <v>768</v>
      </c>
      <c r="E4" t="s">
        <v>183</v>
      </c>
    </row>
    <row r="5" spans="2:5">
      <c r="B5" t="s">
        <v>195</v>
      </c>
    </row>
    <row r="8" spans="2:5">
      <c r="B8" t="s">
        <v>769</v>
      </c>
    </row>
    <row r="9" spans="2:5">
      <c r="B9" t="s">
        <v>770</v>
      </c>
    </row>
    <row r="10" spans="2:5">
      <c r="B10" t="s">
        <v>771</v>
      </c>
    </row>
    <row r="13" spans="2:5">
      <c r="B13" t="s">
        <v>772</v>
      </c>
    </row>
    <row r="14" spans="2:5">
      <c r="B14" t="s">
        <v>773</v>
      </c>
    </row>
    <row r="15" spans="2:5">
      <c r="B15" t="s">
        <v>774</v>
      </c>
    </row>
    <row r="16" spans="2:5">
      <c r="B16" t="s">
        <v>775</v>
      </c>
    </row>
    <row r="17" spans="2:2">
      <c r="B17" t="s">
        <v>776</v>
      </c>
    </row>
    <row r="20" spans="2:2">
      <c r="B20" t="s">
        <v>771</v>
      </c>
    </row>
    <row r="21" spans="2:2">
      <c r="B21" t="s">
        <v>777</v>
      </c>
    </row>
    <row r="22" spans="2:2">
      <c r="B22" t="s">
        <v>778</v>
      </c>
    </row>
    <row r="24" spans="2:2">
      <c r="B24" t="s">
        <v>779</v>
      </c>
    </row>
    <row r="25" spans="2:2">
      <c r="B25" t="s">
        <v>320</v>
      </c>
    </row>
    <row r="26" spans="2:2">
      <c r="B26" t="s">
        <v>780</v>
      </c>
    </row>
    <row r="27" spans="2:2">
      <c r="B27" t="s">
        <v>781</v>
      </c>
    </row>
    <row r="28" spans="2:2">
      <c r="B28" t="s">
        <v>189</v>
      </c>
    </row>
    <row r="29" spans="2:2">
      <c r="B29" t="s">
        <v>782</v>
      </c>
    </row>
  </sheetData>
  <sortState xmlns:xlrd2="http://schemas.microsoft.com/office/spreadsheetml/2017/richdata2" ref="B2:B5">
    <sortCondition ref="B2:B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defaultColWidth="11.42578125" defaultRowHeight="12.75"/>
  <cols>
    <col min="1" max="1" width="32.85546875" style="3" customWidth="1"/>
    <col min="2" max="16384" width="11.42578125" style="3"/>
  </cols>
  <sheetData>
    <row r="3" spans="1:1">
      <c r="A3" s="4" t="s">
        <v>190</v>
      </c>
    </row>
    <row r="4" spans="1:1">
      <c r="A4" s="4" t="s">
        <v>445</v>
      </c>
    </row>
    <row r="5" spans="1:1">
      <c r="A5" s="4" t="s">
        <v>637</v>
      </c>
    </row>
    <row r="6" spans="1:1">
      <c r="A6" s="4" t="s">
        <v>483</v>
      </c>
    </row>
    <row r="7" spans="1:1">
      <c r="A7" s="4" t="s">
        <v>191</v>
      </c>
    </row>
    <row r="8" spans="1:1">
      <c r="A8" s="4" t="s">
        <v>192</v>
      </c>
    </row>
    <row r="9" spans="1:1">
      <c r="A9" s="4" t="s">
        <v>644</v>
      </c>
    </row>
    <row r="10" spans="1:1">
      <c r="A10" s="4" t="s">
        <v>193</v>
      </c>
    </row>
    <row r="11" spans="1:1">
      <c r="A11" s="4" t="s">
        <v>647</v>
      </c>
    </row>
    <row r="12" spans="1:1">
      <c r="A12" s="4" t="s">
        <v>194</v>
      </c>
    </row>
    <row r="13" spans="1:1">
      <c r="A13" s="4" t="s">
        <v>783</v>
      </c>
    </row>
    <row r="14" spans="1:1">
      <c r="A14" s="4"/>
    </row>
    <row r="16" spans="1:1">
      <c r="A16" s="4" t="s">
        <v>325</v>
      </c>
    </row>
    <row r="17" spans="1:2">
      <c r="A17" s="4" t="s">
        <v>764</v>
      </c>
    </row>
    <row r="18" spans="1:2">
      <c r="A18" s="4" t="s">
        <v>766</v>
      </c>
    </row>
    <row r="20" spans="1:2">
      <c r="A20" s="4" t="s">
        <v>770</v>
      </c>
    </row>
    <row r="21" spans="1:2">
      <c r="A21" s="4" t="s">
        <v>771</v>
      </c>
    </row>
    <row r="23" spans="1:2">
      <c r="A23" s="3" t="s">
        <v>206</v>
      </c>
    </row>
    <row r="24" spans="1:2">
      <c r="A24" s="3" t="s">
        <v>551</v>
      </c>
    </row>
    <row r="26" spans="1:2">
      <c r="A26" s="111" t="s">
        <v>784</v>
      </c>
      <c r="B26" s="113" t="s">
        <v>785</v>
      </c>
    </row>
    <row r="27" spans="1:2">
      <c r="A27" s="111" t="s">
        <v>786</v>
      </c>
      <c r="B27" s="113" t="s">
        <v>787</v>
      </c>
    </row>
    <row r="28" spans="1:2" ht="25.5">
      <c r="A28" s="111" t="s">
        <v>788</v>
      </c>
      <c r="B28" s="113" t="s">
        <v>789</v>
      </c>
    </row>
    <row r="29" spans="1:2">
      <c r="A29" s="112" t="s">
        <v>790</v>
      </c>
      <c r="B29" s="113" t="s">
        <v>791</v>
      </c>
    </row>
    <row r="30" spans="1:2">
      <c r="A30" s="111" t="s">
        <v>792</v>
      </c>
      <c r="B30" s="113" t="s">
        <v>793</v>
      </c>
    </row>
    <row r="31" spans="1:2">
      <c r="A31" s="111" t="s">
        <v>794</v>
      </c>
      <c r="B31" s="113" t="s">
        <v>795</v>
      </c>
    </row>
    <row r="32" spans="1:2">
      <c r="A32" s="111" t="s">
        <v>796</v>
      </c>
      <c r="B32" s="113" t="s">
        <v>797</v>
      </c>
    </row>
    <row r="33" spans="1:4">
      <c r="A33" s="111" t="s">
        <v>798</v>
      </c>
      <c r="B33" s="113" t="s">
        <v>799</v>
      </c>
    </row>
    <row r="34" spans="1:4">
      <c r="A34" s="111" t="s">
        <v>800</v>
      </c>
      <c r="B34" s="113" t="s">
        <v>801</v>
      </c>
    </row>
    <row r="35" spans="1:4">
      <c r="A35" s="111" t="s">
        <v>802</v>
      </c>
      <c r="B35" s="113" t="s">
        <v>803</v>
      </c>
    </row>
    <row r="36" spans="1:4">
      <c r="A36" s="111" t="s">
        <v>804</v>
      </c>
      <c r="B36" s="113" t="s">
        <v>805</v>
      </c>
    </row>
    <row r="37" spans="1:4" ht="15.75" customHeight="1">
      <c r="A37" s="111" t="s">
        <v>72</v>
      </c>
      <c r="B37" s="113" t="s">
        <v>181</v>
      </c>
    </row>
    <row r="38" spans="1:4">
      <c r="A38" s="111" t="s">
        <v>806</v>
      </c>
      <c r="B38" s="113" t="s">
        <v>807</v>
      </c>
    </row>
    <row r="39" spans="1:4">
      <c r="A39" s="111" t="s">
        <v>808</v>
      </c>
      <c r="B39" s="113" t="s">
        <v>809</v>
      </c>
    </row>
    <row r="43" spans="1:4">
      <c r="A43" s="3">
        <v>1</v>
      </c>
    </row>
    <row r="44" spans="1:4">
      <c r="A44" s="3">
        <v>2</v>
      </c>
    </row>
    <row r="45" spans="1:4">
      <c r="A45" s="3">
        <v>3</v>
      </c>
      <c r="B45" s="3">
        <v>3</v>
      </c>
    </row>
    <row r="46" spans="1:4">
      <c r="A46" s="3">
        <v>4</v>
      </c>
      <c r="B46" s="3">
        <v>4</v>
      </c>
    </row>
    <row r="47" spans="1:4">
      <c r="A47" s="3">
        <v>5</v>
      </c>
      <c r="B47" s="3">
        <v>5</v>
      </c>
      <c r="C47" s="3">
        <f>25*4</f>
        <v>100</v>
      </c>
      <c r="D47" s="3">
        <f>5*4</f>
        <v>20</v>
      </c>
    </row>
    <row r="48" spans="1:4">
      <c r="C48" s="3">
        <f>12*4</f>
        <v>48</v>
      </c>
      <c r="D48" s="3">
        <f>4*4</f>
        <v>16</v>
      </c>
    </row>
    <row r="49" spans="1:4">
      <c r="C49" s="3">
        <f>6*4</f>
        <v>24</v>
      </c>
      <c r="D49" s="3">
        <f>3*4</f>
        <v>12</v>
      </c>
    </row>
    <row r="52" spans="1:4">
      <c r="A52" s="3">
        <v>0</v>
      </c>
      <c r="B52" s="3">
        <v>15</v>
      </c>
      <c r="C52" s="3">
        <v>0</v>
      </c>
    </row>
    <row r="53" spans="1:4">
      <c r="A53" s="3">
        <v>10</v>
      </c>
      <c r="B53" s="3">
        <v>0</v>
      </c>
      <c r="C53" s="3">
        <v>5</v>
      </c>
    </row>
    <row r="54" spans="1:4">
      <c r="A54" s="3">
        <v>15</v>
      </c>
      <c r="C54" s="3">
        <v>10</v>
      </c>
    </row>
    <row r="56" spans="1:4">
      <c r="A56" s="115" t="s">
        <v>322</v>
      </c>
    </row>
    <row r="57" spans="1:4">
      <c r="A57" s="115" t="s">
        <v>810</v>
      </c>
    </row>
    <row r="58" spans="1:4">
      <c r="A58" s="115" t="s">
        <v>811</v>
      </c>
    </row>
    <row r="60" spans="1:4">
      <c r="A60" s="3" t="s">
        <v>324</v>
      </c>
      <c r="B60" s="3" t="s">
        <v>324</v>
      </c>
    </row>
    <row r="61" spans="1:4">
      <c r="A61" s="3" t="s">
        <v>812</v>
      </c>
      <c r="B61" s="3" t="s">
        <v>813</v>
      </c>
    </row>
    <row r="62" spans="1:4">
      <c r="B62" s="3" t="s">
        <v>812</v>
      </c>
    </row>
    <row r="64" spans="1:4">
      <c r="A64" s="3" t="s">
        <v>325</v>
      </c>
    </row>
    <row r="65" spans="1:1">
      <c r="A65" s="3" t="s">
        <v>766</v>
      </c>
    </row>
    <row r="66" spans="1:1">
      <c r="A66" s="3" t="s">
        <v>814</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topLeftCell="P3" zoomScaleNormal="100" workbookViewId="0">
      <selection activeCell="X6" sqref="X6"/>
    </sheetView>
  </sheetViews>
  <sheetFormatPr defaultColWidth="11.42578125" defaultRowHeight="16.5"/>
  <cols>
    <col min="1" max="1" width="4" style="192" bestFit="1" customWidth="1"/>
    <col min="2" max="4" width="18.7109375" style="193" customWidth="1"/>
    <col min="5" max="5" width="14.140625" style="192" customWidth="1"/>
    <col min="6" max="6" width="13.140625" style="192" customWidth="1"/>
    <col min="7" max="7" width="32.42578125" style="1" customWidth="1"/>
    <col min="8" max="8" width="23" style="1" customWidth="1"/>
    <col min="9" max="9" width="18.85546875" style="1" customWidth="1"/>
    <col min="10" max="10" width="22.140625" style="1" customWidth="1"/>
    <col min="11" max="11" width="20.5703125" style="1" hidden="1" customWidth="1"/>
    <col min="12" max="12" width="18.5703125" style="1" hidden="1" customWidth="1"/>
    <col min="13" max="13" width="20.5703125" style="1" customWidth="1"/>
    <col min="14" max="14" width="40.140625" style="1" customWidth="1"/>
    <col min="15" max="15" width="20.5703125" style="1" customWidth="1"/>
    <col min="16" max="16" width="36.5703125" style="1" customWidth="1"/>
    <col min="17" max="17" width="20.5703125" style="1" hidden="1" customWidth="1"/>
    <col min="18" max="18" width="18.5703125" style="1" hidden="1" customWidth="1"/>
    <col min="19" max="19" width="21" style="1" hidden="1" customWidth="1"/>
    <col min="20" max="20" width="20.5703125" style="1" customWidth="1"/>
    <col min="21" max="21" width="23" style="1" customWidth="1"/>
    <col min="22" max="22" width="30.28515625" style="1" customWidth="1"/>
    <col min="23" max="23" width="20.5703125" style="1" customWidth="1"/>
    <col min="24" max="24" width="43.5703125" style="1" customWidth="1"/>
    <col min="25" max="25" width="21" style="1" customWidth="1"/>
  </cols>
  <sheetData>
    <row r="1" spans="1:25">
      <c r="H1" s="2"/>
      <c r="I1" s="2"/>
      <c r="J1" s="2"/>
      <c r="K1" s="2"/>
      <c r="L1" s="2"/>
      <c r="M1" s="2"/>
      <c r="N1" s="2"/>
      <c r="O1" s="2"/>
      <c r="P1" s="2"/>
      <c r="Q1" s="2"/>
      <c r="R1" s="2"/>
      <c r="S1" s="2"/>
      <c r="T1" s="2"/>
      <c r="U1" s="2"/>
      <c r="V1" s="2"/>
      <c r="W1" s="2"/>
      <c r="X1" s="2"/>
      <c r="Y1" s="2"/>
    </row>
    <row r="2" spans="1:25">
      <c r="A2" s="460" t="s">
        <v>815</v>
      </c>
      <c r="B2" s="461"/>
      <c r="C2" s="461"/>
      <c r="D2" s="461"/>
      <c r="E2" s="461"/>
      <c r="F2" s="461"/>
      <c r="G2" s="461"/>
      <c r="H2" s="504" t="s">
        <v>816</v>
      </c>
      <c r="I2" s="504"/>
      <c r="J2" s="504"/>
      <c r="K2" s="504"/>
      <c r="L2" s="504"/>
      <c r="M2" s="504"/>
      <c r="N2" s="504"/>
      <c r="O2" s="504"/>
      <c r="P2" s="504"/>
      <c r="Q2" s="504"/>
      <c r="R2" s="504"/>
      <c r="S2" s="504"/>
      <c r="T2" s="466" t="s">
        <v>134</v>
      </c>
      <c r="U2" s="466"/>
      <c r="V2" s="466"/>
      <c r="W2" s="698" t="s">
        <v>817</v>
      </c>
      <c r="X2" s="698"/>
      <c r="Y2" s="698"/>
    </row>
    <row r="3" spans="1:25" ht="15" customHeight="1">
      <c r="A3" s="699" t="s">
        <v>136</v>
      </c>
      <c r="B3" s="493" t="s">
        <v>7</v>
      </c>
      <c r="C3" s="493" t="s">
        <v>9</v>
      </c>
      <c r="D3" s="493" t="s">
        <v>11</v>
      </c>
      <c r="E3" s="530" t="s">
        <v>15</v>
      </c>
      <c r="F3" s="493" t="s">
        <v>818</v>
      </c>
      <c r="G3" s="530" t="s">
        <v>819</v>
      </c>
      <c r="H3" s="472" t="s">
        <v>152</v>
      </c>
      <c r="I3" s="472" t="s">
        <v>153</v>
      </c>
      <c r="J3" s="472" t="s">
        <v>154</v>
      </c>
      <c r="K3" s="472" t="s">
        <v>155</v>
      </c>
      <c r="L3" s="472" t="s">
        <v>156</v>
      </c>
      <c r="M3" s="472" t="s">
        <v>155</v>
      </c>
      <c r="N3" s="472" t="s">
        <v>157</v>
      </c>
      <c r="O3" s="472" t="s">
        <v>155</v>
      </c>
      <c r="P3" s="472" t="s">
        <v>158</v>
      </c>
      <c r="Q3" s="472" t="s">
        <v>155</v>
      </c>
      <c r="R3" s="472" t="s">
        <v>159</v>
      </c>
      <c r="S3" s="472" t="s">
        <v>53</v>
      </c>
      <c r="T3" s="467" t="s">
        <v>155</v>
      </c>
      <c r="U3" s="467" t="s">
        <v>167</v>
      </c>
      <c r="V3" s="467" t="s">
        <v>820</v>
      </c>
      <c r="W3" s="507" t="s">
        <v>155</v>
      </c>
      <c r="X3" s="507" t="s">
        <v>821</v>
      </c>
      <c r="Y3" s="507" t="s">
        <v>53</v>
      </c>
    </row>
    <row r="4" spans="1:25" ht="15" customHeight="1">
      <c r="A4" s="699"/>
      <c r="B4" s="493"/>
      <c r="C4" s="493"/>
      <c r="D4" s="493"/>
      <c r="E4" s="530"/>
      <c r="F4" s="493"/>
      <c r="G4" s="530"/>
      <c r="H4" s="472"/>
      <c r="I4" s="472"/>
      <c r="J4" s="472"/>
      <c r="K4" s="472"/>
      <c r="L4" s="472"/>
      <c r="M4" s="472"/>
      <c r="N4" s="472"/>
      <c r="O4" s="472"/>
      <c r="P4" s="472"/>
      <c r="Q4" s="472"/>
      <c r="R4" s="472"/>
      <c r="S4" s="472"/>
      <c r="T4" s="467"/>
      <c r="U4" s="467"/>
      <c r="V4" s="467"/>
      <c r="W4" s="507"/>
      <c r="X4" s="507"/>
      <c r="Y4" s="507"/>
    </row>
    <row r="5" spans="1:25" s="154" customFormat="1" ht="99.75" customHeight="1">
      <c r="A5" s="455">
        <v>1</v>
      </c>
      <c r="B5" s="700" t="s">
        <v>72</v>
      </c>
      <c r="C5" s="700" t="s">
        <v>181</v>
      </c>
      <c r="D5" s="700" t="s">
        <v>182</v>
      </c>
      <c r="E5" s="700" t="s">
        <v>822</v>
      </c>
      <c r="F5" s="700" t="s">
        <v>823</v>
      </c>
      <c r="G5" s="701" t="s">
        <v>824</v>
      </c>
      <c r="H5" s="196" t="s">
        <v>825</v>
      </c>
      <c r="I5" s="194" t="s">
        <v>826</v>
      </c>
      <c r="J5" s="197">
        <v>45291</v>
      </c>
      <c r="K5" s="197">
        <v>44967</v>
      </c>
      <c r="L5" s="196" t="s">
        <v>827</v>
      </c>
      <c r="M5" s="230" t="s">
        <v>828</v>
      </c>
      <c r="N5" s="196" t="s">
        <v>829</v>
      </c>
      <c r="O5" s="143" t="s">
        <v>332</v>
      </c>
      <c r="P5" s="142" t="s">
        <v>830</v>
      </c>
      <c r="Q5" s="114"/>
      <c r="R5" s="142"/>
      <c r="S5" s="173"/>
      <c r="T5" s="143" t="s">
        <v>214</v>
      </c>
      <c r="U5" s="142"/>
      <c r="V5" s="142" t="s">
        <v>831</v>
      </c>
      <c r="W5" s="391" t="s">
        <v>832</v>
      </c>
      <c r="X5" s="331" t="s">
        <v>833</v>
      </c>
      <c r="Y5" s="331" t="s">
        <v>834</v>
      </c>
    </row>
    <row r="6" spans="1:25" s="154" customFormat="1" ht="96.75" customHeight="1">
      <c r="A6" s="455"/>
      <c r="B6" s="700"/>
      <c r="C6" s="700"/>
      <c r="D6" s="700"/>
      <c r="E6" s="700"/>
      <c r="F6" s="700"/>
      <c r="G6" s="701"/>
      <c r="H6" s="196" t="s">
        <v>835</v>
      </c>
      <c r="I6" s="194" t="s">
        <v>826</v>
      </c>
      <c r="J6" s="197">
        <v>45291</v>
      </c>
      <c r="K6" s="197">
        <v>44967</v>
      </c>
      <c r="L6" s="196" t="s">
        <v>836</v>
      </c>
      <c r="M6" s="230" t="s">
        <v>828</v>
      </c>
      <c r="N6" s="196" t="s">
        <v>837</v>
      </c>
      <c r="O6" s="143" t="s">
        <v>838</v>
      </c>
      <c r="P6" s="142" t="s">
        <v>839</v>
      </c>
      <c r="Q6" s="114"/>
      <c r="R6" s="142"/>
      <c r="S6" s="173"/>
      <c r="T6" s="143" t="s">
        <v>214</v>
      </c>
      <c r="U6" s="142"/>
      <c r="V6" s="142" t="s">
        <v>831</v>
      </c>
      <c r="W6" s="391" t="s">
        <v>832</v>
      </c>
      <c r="X6" s="331" t="s">
        <v>840</v>
      </c>
      <c r="Y6" s="331" t="s">
        <v>841</v>
      </c>
    </row>
    <row r="7" spans="1:25" s="154" customFormat="1" ht="15" customHeight="1">
      <c r="A7" s="455"/>
      <c r="B7" s="700"/>
      <c r="C7" s="700"/>
      <c r="D7" s="700"/>
      <c r="E7" s="700"/>
      <c r="F7" s="700"/>
      <c r="G7" s="701"/>
      <c r="H7" s="196"/>
      <c r="I7" s="194"/>
      <c r="J7" s="197"/>
      <c r="K7" s="114"/>
      <c r="L7" s="142"/>
      <c r="M7" s="197"/>
      <c r="N7" s="196"/>
      <c r="O7" s="114"/>
      <c r="P7" s="142"/>
      <c r="Q7" s="114"/>
      <c r="R7" s="142"/>
      <c r="S7" s="173"/>
      <c r="T7" s="114"/>
      <c r="U7" s="142"/>
      <c r="V7" s="142"/>
      <c r="W7" s="114"/>
      <c r="X7" s="142"/>
      <c r="Y7" s="173"/>
    </row>
    <row r="8" spans="1:25" s="154" customFormat="1" ht="15" customHeight="1">
      <c r="A8" s="455"/>
      <c r="B8" s="700"/>
      <c r="C8" s="700"/>
      <c r="D8" s="700"/>
      <c r="E8" s="700"/>
      <c r="F8" s="700"/>
      <c r="G8" s="701"/>
      <c r="H8" s="196"/>
      <c r="I8" s="194"/>
      <c r="J8" s="197"/>
      <c r="K8" s="114"/>
      <c r="L8" s="142"/>
      <c r="M8" s="197"/>
      <c r="N8" s="196"/>
      <c r="O8" s="114"/>
      <c r="P8" s="142"/>
      <c r="Q8" s="114"/>
      <c r="R8" s="142"/>
      <c r="S8" s="173"/>
      <c r="T8" s="114"/>
      <c r="U8" s="142"/>
      <c r="V8" s="142"/>
      <c r="W8" s="114"/>
      <c r="X8" s="142"/>
      <c r="Y8" s="173"/>
    </row>
    <row r="9" spans="1:25" s="154" customFormat="1" ht="15" customHeight="1">
      <c r="A9" s="455"/>
      <c r="B9" s="700"/>
      <c r="C9" s="700"/>
      <c r="D9" s="700"/>
      <c r="E9" s="700"/>
      <c r="F9" s="700"/>
      <c r="G9" s="701"/>
      <c r="H9" s="196"/>
      <c r="I9" s="194"/>
      <c r="J9" s="197"/>
      <c r="K9" s="114"/>
      <c r="L9" s="142"/>
      <c r="M9" s="197"/>
      <c r="N9" s="196"/>
      <c r="O9" s="114"/>
      <c r="P9" s="142"/>
      <c r="Q9" s="114"/>
      <c r="R9" s="142"/>
      <c r="S9" s="173"/>
      <c r="T9" s="114"/>
      <c r="U9" s="142"/>
      <c r="V9" s="142"/>
      <c r="W9" s="114"/>
      <c r="X9" s="142"/>
      <c r="Y9" s="173"/>
    </row>
    <row r="10" spans="1:25" s="154" customFormat="1" ht="18" customHeight="1">
      <c r="A10" s="455"/>
      <c r="B10" s="700"/>
      <c r="C10" s="700"/>
      <c r="D10" s="700"/>
      <c r="E10" s="700"/>
      <c r="F10" s="700"/>
      <c r="G10" s="701"/>
      <c r="H10" s="196"/>
      <c r="I10" s="194"/>
      <c r="J10" s="197"/>
      <c r="K10" s="114"/>
      <c r="L10" s="142"/>
      <c r="M10" s="197"/>
      <c r="N10" s="196"/>
      <c r="O10" s="114"/>
      <c r="P10" s="142"/>
      <c r="Q10" s="114"/>
      <c r="R10" s="142"/>
      <c r="S10" s="173"/>
      <c r="T10" s="114"/>
      <c r="U10" s="142"/>
      <c r="V10" s="142"/>
      <c r="W10" s="114"/>
      <c r="X10" s="142"/>
      <c r="Y10" s="173"/>
    </row>
    <row r="11" spans="1:25" s="154" customFormat="1" ht="15" customHeight="1">
      <c r="A11" s="455">
        <v>2</v>
      </c>
      <c r="B11" s="456"/>
      <c r="C11" s="456"/>
      <c r="D11" s="456"/>
      <c r="E11" s="456"/>
      <c r="F11" s="456"/>
      <c r="G11" s="482"/>
      <c r="H11" s="196"/>
      <c r="I11" s="194"/>
      <c r="J11" s="197"/>
      <c r="K11" s="114"/>
      <c r="L11" s="142"/>
      <c r="M11" s="197"/>
      <c r="N11" s="196"/>
      <c r="O11" s="114"/>
      <c r="P11" s="142"/>
      <c r="Q11" s="114"/>
      <c r="R11" s="142"/>
      <c r="S11" s="173"/>
      <c r="T11" s="114"/>
      <c r="U11" s="142"/>
      <c r="V11" s="142"/>
      <c r="W11" s="114"/>
      <c r="X11" s="142"/>
      <c r="Y11" s="173"/>
    </row>
    <row r="12" spans="1:25" s="154" customFormat="1" ht="15" customHeight="1">
      <c r="A12" s="455"/>
      <c r="B12" s="456"/>
      <c r="C12" s="456"/>
      <c r="D12" s="456"/>
      <c r="E12" s="456"/>
      <c r="F12" s="456"/>
      <c r="G12" s="482"/>
      <c r="H12" s="196"/>
      <c r="I12" s="194"/>
      <c r="J12" s="197"/>
      <c r="K12" s="114"/>
      <c r="L12" s="142"/>
      <c r="M12" s="197"/>
      <c r="N12" s="196"/>
      <c r="O12" s="114"/>
      <c r="P12" s="142"/>
      <c r="Q12" s="114"/>
      <c r="R12" s="142"/>
      <c r="S12" s="173"/>
      <c r="T12" s="114"/>
      <c r="U12" s="142"/>
      <c r="V12" s="142"/>
      <c r="W12" s="114"/>
      <c r="X12" s="142"/>
      <c r="Y12" s="173"/>
    </row>
    <row r="13" spans="1:25" s="154" customFormat="1" ht="15" customHeight="1">
      <c r="A13" s="455"/>
      <c r="B13" s="456"/>
      <c r="C13" s="456"/>
      <c r="D13" s="456"/>
      <c r="E13" s="456"/>
      <c r="F13" s="456"/>
      <c r="G13" s="482"/>
      <c r="H13" s="196"/>
      <c r="I13" s="194"/>
      <c r="J13" s="197"/>
      <c r="K13" s="114"/>
      <c r="L13" s="142"/>
      <c r="M13" s="197"/>
      <c r="N13" s="196"/>
      <c r="O13" s="114"/>
      <c r="P13" s="142"/>
      <c r="Q13" s="114"/>
      <c r="R13" s="142"/>
      <c r="S13" s="173"/>
      <c r="T13" s="114"/>
      <c r="U13" s="142"/>
      <c r="V13" s="142"/>
      <c r="W13" s="114"/>
      <c r="X13" s="142"/>
      <c r="Y13" s="173"/>
    </row>
    <row r="14" spans="1:25" s="154" customFormat="1" ht="15" customHeight="1">
      <c r="A14" s="455"/>
      <c r="B14" s="456"/>
      <c r="C14" s="456"/>
      <c r="D14" s="456"/>
      <c r="E14" s="456"/>
      <c r="F14" s="456"/>
      <c r="G14" s="482"/>
      <c r="H14" s="196"/>
      <c r="I14" s="194"/>
      <c r="J14" s="197"/>
      <c r="K14" s="114"/>
      <c r="L14" s="142"/>
      <c r="M14" s="197"/>
      <c r="N14" s="196"/>
      <c r="O14" s="114"/>
      <c r="P14" s="142"/>
      <c r="Q14" s="114"/>
      <c r="R14" s="142"/>
      <c r="S14" s="173"/>
      <c r="T14" s="114"/>
      <c r="U14" s="142"/>
      <c r="V14" s="142"/>
      <c r="W14" s="114"/>
      <c r="X14" s="142"/>
      <c r="Y14" s="173"/>
    </row>
    <row r="15" spans="1:25" s="154" customFormat="1" ht="15" customHeight="1">
      <c r="A15" s="455"/>
      <c r="B15" s="456"/>
      <c r="C15" s="456"/>
      <c r="D15" s="456"/>
      <c r="E15" s="456"/>
      <c r="F15" s="456"/>
      <c r="G15" s="482"/>
      <c r="H15" s="196"/>
      <c r="I15" s="194"/>
      <c r="J15" s="197"/>
      <c r="K15" s="114"/>
      <c r="L15" s="142"/>
      <c r="M15" s="197"/>
      <c r="N15" s="196"/>
      <c r="O15" s="114"/>
      <c r="P15" s="142"/>
      <c r="Q15" s="114"/>
      <c r="R15" s="142"/>
      <c r="S15" s="173"/>
      <c r="T15" s="114"/>
      <c r="U15" s="142"/>
      <c r="V15" s="142"/>
      <c r="W15" s="114"/>
      <c r="X15" s="142"/>
      <c r="Y15" s="173"/>
    </row>
    <row r="16" spans="1:25" s="154" customFormat="1" ht="15" customHeight="1">
      <c r="A16" s="455"/>
      <c r="B16" s="456"/>
      <c r="C16" s="456"/>
      <c r="D16" s="456"/>
      <c r="E16" s="456"/>
      <c r="F16" s="456"/>
      <c r="G16" s="482"/>
      <c r="H16" s="196"/>
      <c r="I16" s="194"/>
      <c r="J16" s="197"/>
      <c r="K16" s="114"/>
      <c r="L16" s="142"/>
      <c r="M16" s="114"/>
      <c r="N16" s="142"/>
      <c r="O16" s="114"/>
      <c r="P16" s="142"/>
      <c r="Q16" s="114"/>
      <c r="R16" s="142"/>
      <c r="S16" s="173"/>
      <c r="T16" s="114"/>
      <c r="U16" s="142"/>
      <c r="V16" s="142"/>
      <c r="W16" s="114"/>
      <c r="X16" s="142"/>
      <c r="Y16" s="173"/>
    </row>
    <row r="17" spans="1:25" s="154" customFormat="1" ht="15" customHeight="1">
      <c r="A17" s="455">
        <v>3</v>
      </c>
      <c r="B17" s="456"/>
      <c r="C17" s="456"/>
      <c r="D17" s="456"/>
      <c r="E17" s="456"/>
      <c r="F17" s="456"/>
      <c r="G17" s="482"/>
      <c r="H17" s="196"/>
      <c r="I17" s="194"/>
      <c r="J17" s="197"/>
      <c r="K17" s="114"/>
      <c r="L17" s="142"/>
      <c r="M17" s="114"/>
      <c r="N17" s="142"/>
      <c r="O17" s="114"/>
      <c r="P17" s="142"/>
      <c r="Q17" s="114"/>
      <c r="R17" s="142"/>
      <c r="S17" s="173"/>
      <c r="T17" s="114"/>
      <c r="U17" s="142"/>
      <c r="V17" s="142"/>
      <c r="W17" s="114"/>
      <c r="X17" s="142"/>
      <c r="Y17" s="173"/>
    </row>
    <row r="18" spans="1:25" s="154" customFormat="1" ht="15" customHeight="1">
      <c r="A18" s="455"/>
      <c r="B18" s="456"/>
      <c r="C18" s="456"/>
      <c r="D18" s="456"/>
      <c r="E18" s="456"/>
      <c r="F18" s="456"/>
      <c r="G18" s="482"/>
      <c r="H18" s="196"/>
      <c r="I18" s="194"/>
      <c r="J18" s="197"/>
      <c r="K18" s="114"/>
      <c r="L18" s="142"/>
      <c r="M18" s="114"/>
      <c r="N18" s="142"/>
      <c r="O18" s="114"/>
      <c r="P18" s="142"/>
      <c r="Q18" s="114"/>
      <c r="R18" s="142"/>
      <c r="S18" s="173"/>
      <c r="T18" s="114"/>
      <c r="U18" s="142"/>
      <c r="V18" s="142"/>
      <c r="W18" s="114"/>
      <c r="X18" s="142"/>
      <c r="Y18" s="173"/>
    </row>
    <row r="19" spans="1:25" s="154" customFormat="1" ht="15" customHeight="1">
      <c r="A19" s="455"/>
      <c r="B19" s="456"/>
      <c r="C19" s="456"/>
      <c r="D19" s="456"/>
      <c r="E19" s="456"/>
      <c r="F19" s="456"/>
      <c r="G19" s="482"/>
      <c r="H19" s="196"/>
      <c r="I19" s="194"/>
      <c r="J19" s="197"/>
      <c r="K19" s="114"/>
      <c r="L19" s="142"/>
      <c r="M19" s="114"/>
      <c r="N19" s="142"/>
      <c r="O19" s="114"/>
      <c r="P19" s="142"/>
      <c r="Q19" s="114"/>
      <c r="R19" s="142"/>
      <c r="S19" s="173"/>
      <c r="T19" s="114"/>
      <c r="U19" s="142"/>
      <c r="V19" s="142"/>
      <c r="W19" s="114"/>
      <c r="X19" s="142"/>
      <c r="Y19" s="173"/>
    </row>
    <row r="20" spans="1:25" s="154" customFormat="1" ht="15" customHeight="1">
      <c r="A20" s="455"/>
      <c r="B20" s="456"/>
      <c r="C20" s="456"/>
      <c r="D20" s="456"/>
      <c r="E20" s="456"/>
      <c r="F20" s="456"/>
      <c r="G20" s="482"/>
      <c r="H20" s="196"/>
      <c r="I20" s="194"/>
      <c r="J20" s="197"/>
      <c r="K20" s="114"/>
      <c r="L20" s="142"/>
      <c r="M20" s="114"/>
      <c r="N20" s="142"/>
      <c r="O20" s="114"/>
      <c r="P20" s="142"/>
      <c r="Q20" s="114"/>
      <c r="R20" s="142"/>
      <c r="S20" s="173"/>
      <c r="T20" s="114"/>
      <c r="U20" s="142"/>
      <c r="V20" s="142"/>
      <c r="W20" s="114"/>
      <c r="X20" s="142"/>
      <c r="Y20" s="173"/>
    </row>
    <row r="21" spans="1:25" s="154" customFormat="1" ht="15" customHeight="1">
      <c r="A21" s="455"/>
      <c r="B21" s="456"/>
      <c r="C21" s="456"/>
      <c r="D21" s="456"/>
      <c r="E21" s="456"/>
      <c r="F21" s="456"/>
      <c r="G21" s="482"/>
      <c r="H21" s="196"/>
      <c r="I21" s="194"/>
      <c r="J21" s="197"/>
      <c r="K21" s="114"/>
      <c r="L21" s="142"/>
      <c r="M21" s="114"/>
      <c r="N21" s="142"/>
      <c r="O21" s="114"/>
      <c r="P21" s="142"/>
      <c r="Q21" s="114"/>
      <c r="R21" s="142"/>
      <c r="S21" s="173"/>
      <c r="T21" s="114"/>
      <c r="U21" s="142"/>
      <c r="V21" s="142"/>
      <c r="W21" s="114"/>
      <c r="X21" s="142"/>
      <c r="Y21" s="173"/>
    </row>
    <row r="22" spans="1:25" s="154" customFormat="1" ht="15" customHeight="1">
      <c r="A22" s="455"/>
      <c r="B22" s="456"/>
      <c r="C22" s="456"/>
      <c r="D22" s="456"/>
      <c r="E22" s="456"/>
      <c r="F22" s="456"/>
      <c r="G22" s="482"/>
      <c r="H22" s="196"/>
      <c r="I22" s="194"/>
      <c r="J22" s="197"/>
      <c r="K22" s="114"/>
      <c r="L22" s="142"/>
      <c r="M22" s="114"/>
      <c r="N22" s="142"/>
      <c r="O22" s="114"/>
      <c r="P22" s="142"/>
      <c r="Q22" s="114"/>
      <c r="R22" s="142"/>
      <c r="S22" s="173"/>
      <c r="T22" s="114"/>
      <c r="U22" s="142"/>
      <c r="V22" s="142"/>
      <c r="W22" s="114"/>
      <c r="X22" s="142"/>
      <c r="Y22" s="173"/>
    </row>
    <row r="23" spans="1:25" s="154" customFormat="1" ht="15" customHeight="1">
      <c r="A23" s="455">
        <v>4</v>
      </c>
      <c r="B23" s="456"/>
      <c r="C23" s="456"/>
      <c r="D23" s="456"/>
      <c r="E23" s="456"/>
      <c r="F23" s="456"/>
      <c r="G23" s="482"/>
      <c r="H23" s="196"/>
      <c r="I23" s="194"/>
      <c r="J23" s="197"/>
      <c r="K23" s="114"/>
      <c r="L23" s="142"/>
      <c r="M23" s="114"/>
      <c r="N23" s="142"/>
      <c r="O23" s="114"/>
      <c r="P23" s="142"/>
      <c r="Q23" s="114"/>
      <c r="R23" s="142"/>
      <c r="S23" s="173"/>
      <c r="T23" s="114"/>
      <c r="U23" s="142"/>
      <c r="V23" s="142"/>
      <c r="W23" s="114"/>
      <c r="X23" s="142"/>
      <c r="Y23" s="173"/>
    </row>
    <row r="24" spans="1:25" s="154" customFormat="1" ht="15" customHeight="1">
      <c r="A24" s="455"/>
      <c r="B24" s="456"/>
      <c r="C24" s="456"/>
      <c r="D24" s="456"/>
      <c r="E24" s="456"/>
      <c r="F24" s="456"/>
      <c r="G24" s="482"/>
      <c r="H24" s="196"/>
      <c r="I24" s="194"/>
      <c r="J24" s="197"/>
      <c r="K24" s="114"/>
      <c r="L24" s="142"/>
      <c r="M24" s="114"/>
      <c r="N24" s="142"/>
      <c r="O24" s="114"/>
      <c r="P24" s="142"/>
      <c r="Q24" s="114"/>
      <c r="R24" s="142"/>
      <c r="S24" s="173"/>
      <c r="T24" s="114"/>
      <c r="U24" s="142"/>
      <c r="V24" s="142"/>
      <c r="W24" s="114"/>
      <c r="X24" s="142"/>
      <c r="Y24" s="173"/>
    </row>
    <row r="25" spans="1:25" s="154" customFormat="1" ht="15" customHeight="1">
      <c r="A25" s="455"/>
      <c r="B25" s="456"/>
      <c r="C25" s="456"/>
      <c r="D25" s="456"/>
      <c r="E25" s="456"/>
      <c r="F25" s="456"/>
      <c r="G25" s="482"/>
      <c r="H25" s="196"/>
      <c r="I25" s="194"/>
      <c r="J25" s="197"/>
      <c r="K25" s="114"/>
      <c r="L25" s="142"/>
      <c r="M25" s="114"/>
      <c r="N25" s="142"/>
      <c r="O25" s="114"/>
      <c r="P25" s="142"/>
      <c r="Q25" s="114"/>
      <c r="R25" s="142"/>
      <c r="S25" s="173"/>
      <c r="T25" s="114"/>
      <c r="U25" s="142"/>
      <c r="V25" s="142"/>
      <c r="W25" s="114"/>
      <c r="X25" s="142"/>
      <c r="Y25" s="173"/>
    </row>
    <row r="26" spans="1:25" s="154" customFormat="1" ht="15" customHeight="1">
      <c r="A26" s="455"/>
      <c r="B26" s="456"/>
      <c r="C26" s="456"/>
      <c r="D26" s="456"/>
      <c r="E26" s="456"/>
      <c r="F26" s="456"/>
      <c r="G26" s="482"/>
      <c r="H26" s="196"/>
      <c r="I26" s="194"/>
      <c r="J26" s="197"/>
      <c r="K26" s="114"/>
      <c r="L26" s="142"/>
      <c r="M26" s="114"/>
      <c r="N26" s="142"/>
      <c r="O26" s="114"/>
      <c r="P26" s="142"/>
      <c r="Q26" s="114"/>
      <c r="R26" s="142"/>
      <c r="S26" s="173"/>
      <c r="T26" s="114"/>
      <c r="U26" s="142"/>
      <c r="V26" s="142"/>
      <c r="W26" s="114"/>
      <c r="X26" s="142"/>
      <c r="Y26" s="173"/>
    </row>
    <row r="27" spans="1:25" s="154" customFormat="1" ht="15" customHeight="1">
      <c r="A27" s="455"/>
      <c r="B27" s="456"/>
      <c r="C27" s="456"/>
      <c r="D27" s="456"/>
      <c r="E27" s="456"/>
      <c r="F27" s="456"/>
      <c r="G27" s="482"/>
      <c r="H27" s="196"/>
      <c r="I27" s="194"/>
      <c r="J27" s="197"/>
      <c r="K27" s="114"/>
      <c r="L27" s="142"/>
      <c r="M27" s="114"/>
      <c r="N27" s="142"/>
      <c r="O27" s="114"/>
      <c r="P27" s="142"/>
      <c r="Q27" s="114"/>
      <c r="R27" s="142"/>
      <c r="S27" s="173"/>
      <c r="T27" s="114"/>
      <c r="U27" s="142"/>
      <c r="V27" s="142"/>
      <c r="W27" s="114"/>
      <c r="X27" s="142"/>
      <c r="Y27" s="173"/>
    </row>
    <row r="28" spans="1:25" s="154" customFormat="1" ht="15" customHeight="1">
      <c r="A28" s="455"/>
      <c r="B28" s="456"/>
      <c r="C28" s="456"/>
      <c r="D28" s="456"/>
      <c r="E28" s="456"/>
      <c r="F28" s="456"/>
      <c r="G28" s="482"/>
      <c r="H28" s="196"/>
      <c r="I28" s="194"/>
      <c r="J28" s="197"/>
      <c r="K28" s="114"/>
      <c r="L28" s="142"/>
      <c r="M28" s="114"/>
      <c r="N28" s="142"/>
      <c r="O28" s="114"/>
      <c r="P28" s="142"/>
      <c r="Q28" s="114"/>
      <c r="R28" s="142"/>
      <c r="S28" s="173"/>
      <c r="T28" s="114"/>
      <c r="U28" s="142"/>
      <c r="V28" s="142"/>
      <c r="W28" s="114"/>
      <c r="X28" s="142"/>
      <c r="Y28" s="173"/>
    </row>
    <row r="29" spans="1:25" s="154" customFormat="1" ht="15" customHeight="1">
      <c r="A29" s="455">
        <v>5</v>
      </c>
      <c r="B29" s="456"/>
      <c r="C29" s="456"/>
      <c r="D29" s="456"/>
      <c r="E29" s="456"/>
      <c r="F29" s="456"/>
      <c r="G29" s="482"/>
      <c r="H29" s="196"/>
      <c r="I29" s="194"/>
      <c r="J29" s="197"/>
      <c r="K29" s="114"/>
      <c r="L29" s="142"/>
      <c r="M29" s="114"/>
      <c r="N29" s="142"/>
      <c r="O29" s="114"/>
      <c r="P29" s="142"/>
      <c r="Q29" s="114"/>
      <c r="R29" s="142"/>
      <c r="S29" s="173"/>
      <c r="T29" s="114"/>
      <c r="U29" s="142"/>
      <c r="V29" s="142"/>
      <c r="W29" s="114"/>
      <c r="X29" s="142"/>
      <c r="Y29" s="173"/>
    </row>
    <row r="30" spans="1:25" s="154" customFormat="1" ht="15" customHeight="1">
      <c r="A30" s="455"/>
      <c r="B30" s="456"/>
      <c r="C30" s="456"/>
      <c r="D30" s="456"/>
      <c r="E30" s="456"/>
      <c r="F30" s="456"/>
      <c r="G30" s="482"/>
      <c r="H30" s="196"/>
      <c r="I30" s="194"/>
      <c r="J30" s="197"/>
      <c r="K30" s="114"/>
      <c r="L30" s="142"/>
      <c r="M30" s="114"/>
      <c r="N30" s="142"/>
      <c r="O30" s="114"/>
      <c r="P30" s="142"/>
      <c r="Q30" s="114"/>
      <c r="R30" s="142"/>
      <c r="S30" s="173"/>
      <c r="T30" s="114"/>
      <c r="U30" s="142"/>
      <c r="V30" s="142"/>
      <c r="W30" s="114"/>
      <c r="X30" s="142"/>
      <c r="Y30" s="173"/>
    </row>
    <row r="31" spans="1:25" s="154" customFormat="1" ht="15" customHeight="1">
      <c r="A31" s="455"/>
      <c r="B31" s="456"/>
      <c r="C31" s="456"/>
      <c r="D31" s="456"/>
      <c r="E31" s="456"/>
      <c r="F31" s="456"/>
      <c r="G31" s="482"/>
      <c r="H31" s="196"/>
      <c r="I31" s="194"/>
      <c r="J31" s="197"/>
      <c r="K31" s="114"/>
      <c r="L31" s="142"/>
      <c r="M31" s="114"/>
      <c r="N31" s="142"/>
      <c r="O31" s="114"/>
      <c r="P31" s="142"/>
      <c r="Q31" s="114"/>
      <c r="R31" s="142"/>
      <c r="S31" s="173"/>
      <c r="T31" s="114"/>
      <c r="U31" s="142"/>
      <c r="V31" s="142"/>
      <c r="W31" s="114"/>
      <c r="X31" s="142"/>
      <c r="Y31" s="173"/>
    </row>
    <row r="32" spans="1:25" s="154" customFormat="1" ht="15" customHeight="1">
      <c r="A32" s="455"/>
      <c r="B32" s="456"/>
      <c r="C32" s="456"/>
      <c r="D32" s="456"/>
      <c r="E32" s="456"/>
      <c r="F32" s="456"/>
      <c r="G32" s="482"/>
      <c r="H32" s="196"/>
      <c r="I32" s="194"/>
      <c r="J32" s="197"/>
      <c r="K32" s="114"/>
      <c r="L32" s="142"/>
      <c r="M32" s="114"/>
      <c r="N32" s="142"/>
      <c r="O32" s="114"/>
      <c r="P32" s="142"/>
      <c r="Q32" s="114"/>
      <c r="R32" s="142"/>
      <c r="S32" s="173"/>
      <c r="T32" s="114"/>
      <c r="U32" s="142"/>
      <c r="V32" s="142"/>
      <c r="W32" s="114"/>
      <c r="X32" s="142"/>
      <c r="Y32" s="173"/>
    </row>
    <row r="33" spans="1:25" s="154" customFormat="1" ht="15" customHeight="1">
      <c r="A33" s="455"/>
      <c r="B33" s="456"/>
      <c r="C33" s="456"/>
      <c r="D33" s="456"/>
      <c r="E33" s="456"/>
      <c r="F33" s="456"/>
      <c r="G33" s="482"/>
      <c r="H33" s="196"/>
      <c r="I33" s="194"/>
      <c r="J33" s="197"/>
      <c r="K33" s="114"/>
      <c r="L33" s="142"/>
      <c r="M33" s="114"/>
      <c r="N33" s="142"/>
      <c r="O33" s="114"/>
      <c r="P33" s="142"/>
      <c r="Q33" s="114"/>
      <c r="R33" s="142"/>
      <c r="S33" s="173"/>
      <c r="T33" s="114"/>
      <c r="U33" s="142"/>
      <c r="V33" s="142"/>
      <c r="W33" s="114"/>
      <c r="X33" s="142"/>
      <c r="Y33" s="173"/>
    </row>
    <row r="34" spans="1:25" s="154" customFormat="1" ht="15" customHeight="1">
      <c r="A34" s="455"/>
      <c r="B34" s="456"/>
      <c r="C34" s="456"/>
      <c r="D34" s="456"/>
      <c r="E34" s="456"/>
      <c r="F34" s="456"/>
      <c r="G34" s="482"/>
      <c r="H34" s="196"/>
      <c r="I34" s="194"/>
      <c r="J34" s="197"/>
      <c r="K34" s="114"/>
      <c r="L34" s="142"/>
      <c r="M34" s="114"/>
      <c r="N34" s="142"/>
      <c r="O34" s="114"/>
      <c r="P34" s="142"/>
      <c r="Q34" s="114"/>
      <c r="R34" s="142"/>
      <c r="S34" s="173"/>
      <c r="T34" s="114"/>
      <c r="U34" s="142"/>
      <c r="V34" s="142"/>
      <c r="W34" s="114"/>
      <c r="X34" s="142"/>
      <c r="Y34" s="173"/>
    </row>
    <row r="35" spans="1:25" s="154" customFormat="1" ht="15" customHeight="1">
      <c r="A35" s="455">
        <v>6</v>
      </c>
      <c r="B35" s="456"/>
      <c r="C35" s="456"/>
      <c r="D35" s="456"/>
      <c r="E35" s="456"/>
      <c r="F35" s="456"/>
      <c r="G35" s="482"/>
      <c r="H35" s="196"/>
      <c r="I35" s="194"/>
      <c r="J35" s="197"/>
      <c r="K35" s="114"/>
      <c r="L35" s="142"/>
      <c r="M35" s="114"/>
      <c r="N35" s="142"/>
      <c r="O35" s="114"/>
      <c r="P35" s="142"/>
      <c r="Q35" s="114"/>
      <c r="R35" s="142"/>
      <c r="S35" s="173"/>
      <c r="T35" s="114"/>
      <c r="U35" s="142"/>
      <c r="V35" s="142"/>
      <c r="W35" s="114"/>
      <c r="X35" s="142"/>
      <c r="Y35" s="173"/>
    </row>
    <row r="36" spans="1:25" s="154" customFormat="1" ht="15" customHeight="1">
      <c r="A36" s="455"/>
      <c r="B36" s="456"/>
      <c r="C36" s="456"/>
      <c r="D36" s="456"/>
      <c r="E36" s="456"/>
      <c r="F36" s="456"/>
      <c r="G36" s="482"/>
      <c r="H36" s="196"/>
      <c r="I36" s="194"/>
      <c r="J36" s="197"/>
      <c r="K36" s="114"/>
      <c r="L36" s="142"/>
      <c r="M36" s="114"/>
      <c r="N36" s="142"/>
      <c r="O36" s="114"/>
      <c r="P36" s="142"/>
      <c r="Q36" s="114"/>
      <c r="R36" s="142"/>
      <c r="S36" s="173"/>
      <c r="T36" s="114"/>
      <c r="U36" s="142"/>
      <c r="V36" s="142"/>
      <c r="W36" s="114"/>
      <c r="X36" s="142"/>
      <c r="Y36" s="173"/>
    </row>
    <row r="37" spans="1:25" s="154" customFormat="1" ht="15" customHeight="1">
      <c r="A37" s="455"/>
      <c r="B37" s="456"/>
      <c r="C37" s="456"/>
      <c r="D37" s="456"/>
      <c r="E37" s="456"/>
      <c r="F37" s="456"/>
      <c r="G37" s="482"/>
      <c r="H37" s="196"/>
      <c r="I37" s="194"/>
      <c r="J37" s="197"/>
      <c r="K37" s="114"/>
      <c r="L37" s="142"/>
      <c r="M37" s="114"/>
      <c r="N37" s="142"/>
      <c r="O37" s="114"/>
      <c r="P37" s="142"/>
      <c r="Q37" s="114"/>
      <c r="R37" s="142"/>
      <c r="S37" s="173"/>
      <c r="T37" s="114"/>
      <c r="U37" s="142"/>
      <c r="V37" s="142"/>
      <c r="W37" s="114"/>
      <c r="X37" s="142"/>
      <c r="Y37" s="173"/>
    </row>
    <row r="38" spans="1:25" s="154" customFormat="1" ht="15" customHeight="1">
      <c r="A38" s="455"/>
      <c r="B38" s="456"/>
      <c r="C38" s="456"/>
      <c r="D38" s="456"/>
      <c r="E38" s="456"/>
      <c r="F38" s="456"/>
      <c r="G38" s="482"/>
      <c r="H38" s="196"/>
      <c r="I38" s="194"/>
      <c r="J38" s="197"/>
      <c r="K38" s="114"/>
      <c r="L38" s="142"/>
      <c r="M38" s="114"/>
      <c r="N38" s="142"/>
      <c r="O38" s="114"/>
      <c r="P38" s="142"/>
      <c r="Q38" s="114"/>
      <c r="R38" s="142"/>
      <c r="S38" s="173"/>
      <c r="T38" s="114"/>
      <c r="U38" s="142"/>
      <c r="V38" s="142"/>
      <c r="W38" s="114"/>
      <c r="X38" s="142"/>
      <c r="Y38" s="173"/>
    </row>
    <row r="39" spans="1:25" s="154" customFormat="1" ht="15" customHeight="1">
      <c r="A39" s="455"/>
      <c r="B39" s="456"/>
      <c r="C39" s="456"/>
      <c r="D39" s="456"/>
      <c r="E39" s="456"/>
      <c r="F39" s="456"/>
      <c r="G39" s="482"/>
      <c r="H39" s="196"/>
      <c r="I39" s="194"/>
      <c r="J39" s="197"/>
      <c r="K39" s="114"/>
      <c r="L39" s="142"/>
      <c r="M39" s="114"/>
      <c r="N39" s="142"/>
      <c r="O39" s="114"/>
      <c r="P39" s="142"/>
      <c r="Q39" s="114"/>
      <c r="R39" s="142"/>
      <c r="S39" s="173"/>
      <c r="T39" s="114"/>
      <c r="U39" s="142"/>
      <c r="V39" s="142"/>
      <c r="W39" s="114"/>
      <c r="X39" s="142"/>
      <c r="Y39" s="173"/>
    </row>
    <row r="40" spans="1:25" s="154" customFormat="1" ht="15" customHeight="1">
      <c r="A40" s="455"/>
      <c r="B40" s="456"/>
      <c r="C40" s="456"/>
      <c r="D40" s="456"/>
      <c r="E40" s="456"/>
      <c r="F40" s="456"/>
      <c r="G40" s="482"/>
      <c r="H40" s="196"/>
      <c r="I40" s="194"/>
      <c r="J40" s="197"/>
      <c r="K40" s="114"/>
      <c r="L40" s="142"/>
      <c r="M40" s="114"/>
      <c r="N40" s="142"/>
      <c r="O40" s="114"/>
      <c r="P40" s="142"/>
      <c r="Q40" s="114"/>
      <c r="R40" s="142"/>
      <c r="S40" s="173"/>
      <c r="T40" s="114"/>
      <c r="U40" s="142"/>
      <c r="V40" s="142"/>
      <c r="W40" s="114"/>
      <c r="X40" s="142"/>
      <c r="Y40" s="173"/>
    </row>
    <row r="41" spans="1:25" s="154" customFormat="1" ht="15" customHeight="1">
      <c r="A41" s="455">
        <v>7</v>
      </c>
      <c r="B41" s="456"/>
      <c r="C41" s="456"/>
      <c r="D41" s="456"/>
      <c r="E41" s="456"/>
      <c r="F41" s="456"/>
      <c r="G41" s="482"/>
      <c r="H41" s="196"/>
      <c r="I41" s="194"/>
      <c r="J41" s="197"/>
      <c r="K41" s="114"/>
      <c r="L41" s="142"/>
      <c r="M41" s="114"/>
      <c r="N41" s="142"/>
      <c r="O41" s="114"/>
      <c r="P41" s="142"/>
      <c r="Q41" s="114"/>
      <c r="R41" s="142"/>
      <c r="S41" s="173"/>
      <c r="T41" s="114"/>
      <c r="U41" s="142"/>
      <c r="V41" s="142"/>
      <c r="W41" s="114"/>
      <c r="X41" s="142"/>
      <c r="Y41" s="173"/>
    </row>
    <row r="42" spans="1:25" s="154" customFormat="1" ht="15" customHeight="1">
      <c r="A42" s="455"/>
      <c r="B42" s="456"/>
      <c r="C42" s="456"/>
      <c r="D42" s="456"/>
      <c r="E42" s="456"/>
      <c r="F42" s="456"/>
      <c r="G42" s="482"/>
      <c r="H42" s="196"/>
      <c r="I42" s="194"/>
      <c r="J42" s="197"/>
      <c r="K42" s="114"/>
      <c r="L42" s="142"/>
      <c r="M42" s="114"/>
      <c r="N42" s="142"/>
      <c r="O42" s="114"/>
      <c r="P42" s="142"/>
      <c r="Q42" s="114"/>
      <c r="R42" s="142"/>
      <c r="S42" s="173"/>
      <c r="T42" s="114"/>
      <c r="U42" s="142"/>
      <c r="V42" s="142"/>
      <c r="W42" s="114"/>
      <c r="X42" s="142"/>
      <c r="Y42" s="173"/>
    </row>
    <row r="43" spans="1:25" s="154" customFormat="1" ht="15" customHeight="1">
      <c r="A43" s="455"/>
      <c r="B43" s="456"/>
      <c r="C43" s="456"/>
      <c r="D43" s="456"/>
      <c r="E43" s="456"/>
      <c r="F43" s="456"/>
      <c r="G43" s="482"/>
      <c r="H43" s="196"/>
      <c r="I43" s="194"/>
      <c r="J43" s="197"/>
      <c r="K43" s="114"/>
      <c r="L43" s="142"/>
      <c r="M43" s="114"/>
      <c r="N43" s="142"/>
      <c r="O43" s="114"/>
      <c r="P43" s="142"/>
      <c r="Q43" s="114"/>
      <c r="R43" s="142"/>
      <c r="S43" s="173"/>
      <c r="T43" s="114"/>
      <c r="U43" s="142"/>
      <c r="V43" s="142"/>
      <c r="W43" s="114"/>
      <c r="X43" s="142"/>
      <c r="Y43" s="173"/>
    </row>
    <row r="44" spans="1:25" s="154" customFormat="1" ht="15" customHeight="1">
      <c r="A44" s="455"/>
      <c r="B44" s="456"/>
      <c r="C44" s="456"/>
      <c r="D44" s="456"/>
      <c r="E44" s="456"/>
      <c r="F44" s="456"/>
      <c r="G44" s="482"/>
      <c r="H44" s="196"/>
      <c r="I44" s="194"/>
      <c r="J44" s="197"/>
      <c r="K44" s="114"/>
      <c r="L44" s="142"/>
      <c r="M44" s="114"/>
      <c r="N44" s="142"/>
      <c r="O44" s="114"/>
      <c r="P44" s="142"/>
      <c r="Q44" s="114"/>
      <c r="R44" s="142"/>
      <c r="S44" s="173"/>
      <c r="T44" s="114"/>
      <c r="U44" s="142"/>
      <c r="V44" s="142"/>
      <c r="W44" s="114"/>
      <c r="X44" s="142"/>
      <c r="Y44" s="173"/>
    </row>
    <row r="45" spans="1:25" s="154" customFormat="1" ht="15" customHeight="1">
      <c r="A45" s="455"/>
      <c r="B45" s="456"/>
      <c r="C45" s="456"/>
      <c r="D45" s="456"/>
      <c r="E45" s="456"/>
      <c r="F45" s="456"/>
      <c r="G45" s="482"/>
      <c r="H45" s="196"/>
      <c r="I45" s="194"/>
      <c r="J45" s="197"/>
      <c r="K45" s="114"/>
      <c r="L45" s="142"/>
      <c r="M45" s="114"/>
      <c r="N45" s="142"/>
      <c r="O45" s="114"/>
      <c r="P45" s="142"/>
      <c r="Q45" s="114"/>
      <c r="R45" s="142"/>
      <c r="S45" s="173"/>
      <c r="T45" s="114"/>
      <c r="U45" s="142"/>
      <c r="V45" s="142"/>
      <c r="W45" s="114"/>
      <c r="X45" s="142"/>
      <c r="Y45" s="173"/>
    </row>
    <row r="46" spans="1:25" s="154" customFormat="1" ht="15" customHeight="1">
      <c r="A46" s="455"/>
      <c r="B46" s="456"/>
      <c r="C46" s="456"/>
      <c r="D46" s="456"/>
      <c r="E46" s="456"/>
      <c r="F46" s="456"/>
      <c r="G46" s="482"/>
      <c r="H46" s="196"/>
      <c r="I46" s="194"/>
      <c r="J46" s="197"/>
      <c r="K46" s="114"/>
      <c r="L46" s="142"/>
      <c r="M46" s="114"/>
      <c r="N46" s="142"/>
      <c r="O46" s="114"/>
      <c r="P46" s="142"/>
      <c r="Q46" s="114"/>
      <c r="R46" s="142"/>
      <c r="S46" s="173"/>
      <c r="T46" s="114"/>
      <c r="U46" s="142"/>
      <c r="V46" s="142"/>
      <c r="W46" s="114"/>
      <c r="X46" s="142"/>
      <c r="Y46" s="173"/>
    </row>
    <row r="47" spans="1:25" s="154" customFormat="1" ht="15" customHeight="1">
      <c r="A47" s="455">
        <v>8</v>
      </c>
      <c r="B47" s="456"/>
      <c r="C47" s="456"/>
      <c r="D47" s="456"/>
      <c r="E47" s="456"/>
      <c r="F47" s="456"/>
      <c r="G47" s="482"/>
      <c r="H47" s="196"/>
      <c r="I47" s="194"/>
      <c r="J47" s="197"/>
      <c r="K47" s="114"/>
      <c r="L47" s="142"/>
      <c r="M47" s="114"/>
      <c r="N47" s="142"/>
      <c r="O47" s="114"/>
      <c r="P47" s="142"/>
      <c r="Q47" s="114"/>
      <c r="R47" s="142"/>
      <c r="S47" s="173"/>
      <c r="T47" s="114"/>
      <c r="U47" s="142"/>
      <c r="V47" s="142"/>
      <c r="W47" s="114"/>
      <c r="X47" s="142"/>
      <c r="Y47" s="173"/>
    </row>
    <row r="48" spans="1:25" s="154" customFormat="1" ht="15" customHeight="1">
      <c r="A48" s="455"/>
      <c r="B48" s="456"/>
      <c r="C48" s="456"/>
      <c r="D48" s="456"/>
      <c r="E48" s="456"/>
      <c r="F48" s="456"/>
      <c r="G48" s="482"/>
      <c r="H48" s="196"/>
      <c r="I48" s="194"/>
      <c r="J48" s="197"/>
      <c r="K48" s="114"/>
      <c r="L48" s="142"/>
      <c r="M48" s="114"/>
      <c r="N48" s="142"/>
      <c r="O48" s="114"/>
      <c r="P48" s="142"/>
      <c r="Q48" s="114"/>
      <c r="R48" s="142"/>
      <c r="S48" s="173"/>
      <c r="T48" s="114"/>
      <c r="U48" s="142"/>
      <c r="V48" s="142"/>
      <c r="W48" s="114"/>
      <c r="X48" s="142"/>
      <c r="Y48" s="173"/>
    </row>
    <row r="49" spans="1:25" s="154" customFormat="1" ht="15" customHeight="1">
      <c r="A49" s="455"/>
      <c r="B49" s="456"/>
      <c r="C49" s="456"/>
      <c r="D49" s="456"/>
      <c r="E49" s="456"/>
      <c r="F49" s="456"/>
      <c r="G49" s="482"/>
      <c r="H49" s="196"/>
      <c r="I49" s="194"/>
      <c r="J49" s="197"/>
      <c r="K49" s="114"/>
      <c r="L49" s="142"/>
      <c r="M49" s="114"/>
      <c r="N49" s="142"/>
      <c r="O49" s="114"/>
      <c r="P49" s="142"/>
      <c r="Q49" s="114"/>
      <c r="R49" s="142"/>
      <c r="S49" s="173"/>
      <c r="T49" s="114"/>
      <c r="U49" s="142"/>
      <c r="V49" s="142"/>
      <c r="W49" s="114"/>
      <c r="X49" s="142"/>
      <c r="Y49" s="173"/>
    </row>
    <row r="50" spans="1:25" s="154" customFormat="1" ht="15" customHeight="1">
      <c r="A50" s="455"/>
      <c r="B50" s="456"/>
      <c r="C50" s="456"/>
      <c r="D50" s="456"/>
      <c r="E50" s="456"/>
      <c r="F50" s="456"/>
      <c r="G50" s="482"/>
      <c r="H50" s="196"/>
      <c r="I50" s="194"/>
      <c r="J50" s="197"/>
      <c r="K50" s="114"/>
      <c r="L50" s="142"/>
      <c r="M50" s="114"/>
      <c r="N50" s="142"/>
      <c r="O50" s="114"/>
      <c r="P50" s="142"/>
      <c r="Q50" s="114"/>
      <c r="R50" s="142"/>
      <c r="S50" s="173"/>
      <c r="T50" s="114"/>
      <c r="U50" s="142"/>
      <c r="V50" s="142"/>
      <c r="W50" s="114"/>
      <c r="X50" s="142"/>
      <c r="Y50" s="173"/>
    </row>
    <row r="51" spans="1:25" s="154" customFormat="1" ht="15" customHeight="1">
      <c r="A51" s="455"/>
      <c r="B51" s="456"/>
      <c r="C51" s="456"/>
      <c r="D51" s="456"/>
      <c r="E51" s="456"/>
      <c r="F51" s="456"/>
      <c r="G51" s="482"/>
      <c r="H51" s="196"/>
      <c r="I51" s="194"/>
      <c r="J51" s="197"/>
      <c r="K51" s="114"/>
      <c r="L51" s="142"/>
      <c r="M51" s="114"/>
      <c r="N51" s="142"/>
      <c r="O51" s="114"/>
      <c r="P51" s="142"/>
      <c r="Q51" s="114"/>
      <c r="R51" s="142"/>
      <c r="S51" s="173"/>
      <c r="T51" s="114"/>
      <c r="U51" s="142"/>
      <c r="V51" s="142"/>
      <c r="W51" s="114"/>
      <c r="X51" s="142"/>
      <c r="Y51" s="173"/>
    </row>
    <row r="52" spans="1:25" s="154" customFormat="1" ht="15" customHeight="1">
      <c r="A52" s="455"/>
      <c r="B52" s="456"/>
      <c r="C52" s="456"/>
      <c r="D52" s="456"/>
      <c r="E52" s="456"/>
      <c r="F52" s="456"/>
      <c r="G52" s="482"/>
      <c r="H52" s="196"/>
      <c r="I52" s="194"/>
      <c r="J52" s="197"/>
      <c r="K52" s="114"/>
      <c r="L52" s="142"/>
      <c r="M52" s="114"/>
      <c r="N52" s="142"/>
      <c r="O52" s="114"/>
      <c r="P52" s="142"/>
      <c r="Q52" s="114"/>
      <c r="R52" s="142"/>
      <c r="S52" s="173"/>
      <c r="T52" s="114"/>
      <c r="U52" s="142"/>
      <c r="V52" s="142"/>
      <c r="W52" s="114"/>
      <c r="X52" s="142"/>
      <c r="Y52" s="173"/>
    </row>
    <row r="53" spans="1:25" s="154" customFormat="1" ht="15" customHeight="1">
      <c r="A53" s="455">
        <v>9</v>
      </c>
      <c r="B53" s="456"/>
      <c r="C53" s="456"/>
      <c r="D53" s="456"/>
      <c r="E53" s="456"/>
      <c r="F53" s="456"/>
      <c r="G53" s="482"/>
      <c r="H53" s="196"/>
      <c r="I53" s="194"/>
      <c r="J53" s="197"/>
      <c r="K53" s="114"/>
      <c r="L53" s="142"/>
      <c r="M53" s="114"/>
      <c r="N53" s="142"/>
      <c r="O53" s="114"/>
      <c r="P53" s="142"/>
      <c r="Q53" s="114"/>
      <c r="R53" s="142"/>
      <c r="S53" s="173"/>
      <c r="T53" s="114"/>
      <c r="U53" s="142"/>
      <c r="V53" s="142"/>
      <c r="W53" s="114"/>
      <c r="X53" s="142"/>
      <c r="Y53" s="173"/>
    </row>
    <row r="54" spans="1:25" s="154" customFormat="1" ht="15" customHeight="1">
      <c r="A54" s="455"/>
      <c r="B54" s="456"/>
      <c r="C54" s="456"/>
      <c r="D54" s="456"/>
      <c r="E54" s="456"/>
      <c r="F54" s="456"/>
      <c r="G54" s="482"/>
      <c r="H54" s="196"/>
      <c r="I54" s="194"/>
      <c r="J54" s="197"/>
      <c r="K54" s="114"/>
      <c r="L54" s="142"/>
      <c r="M54" s="114"/>
      <c r="N54" s="142"/>
      <c r="O54" s="114"/>
      <c r="P54" s="142"/>
      <c r="Q54" s="114"/>
      <c r="R54" s="142"/>
      <c r="S54" s="173"/>
      <c r="T54" s="114"/>
      <c r="U54" s="142"/>
      <c r="V54" s="142"/>
      <c r="W54" s="114"/>
      <c r="X54" s="142"/>
      <c r="Y54" s="173"/>
    </row>
    <row r="55" spans="1:25" s="154" customFormat="1" ht="15" customHeight="1">
      <c r="A55" s="455"/>
      <c r="B55" s="456"/>
      <c r="C55" s="456"/>
      <c r="D55" s="456"/>
      <c r="E55" s="456"/>
      <c r="F55" s="456"/>
      <c r="G55" s="482"/>
      <c r="H55" s="196"/>
      <c r="I55" s="194"/>
      <c r="J55" s="197"/>
      <c r="K55" s="114"/>
      <c r="L55" s="142"/>
      <c r="M55" s="114"/>
      <c r="N55" s="142"/>
      <c r="O55" s="114"/>
      <c r="P55" s="142"/>
      <c r="Q55" s="114"/>
      <c r="R55" s="142"/>
      <c r="S55" s="173"/>
      <c r="T55" s="114"/>
      <c r="U55" s="142"/>
      <c r="V55" s="142"/>
      <c r="W55" s="114"/>
      <c r="X55" s="142"/>
      <c r="Y55" s="173"/>
    </row>
    <row r="56" spans="1:25" s="154" customFormat="1" ht="15" customHeight="1">
      <c r="A56" s="455"/>
      <c r="B56" s="456"/>
      <c r="C56" s="456"/>
      <c r="D56" s="456"/>
      <c r="E56" s="456"/>
      <c r="F56" s="456"/>
      <c r="G56" s="482"/>
      <c r="H56" s="196"/>
      <c r="I56" s="194"/>
      <c r="J56" s="197"/>
      <c r="K56" s="114"/>
      <c r="L56" s="142"/>
      <c r="M56" s="114"/>
      <c r="N56" s="142"/>
      <c r="O56" s="114"/>
      <c r="P56" s="142"/>
      <c r="Q56" s="114"/>
      <c r="R56" s="142"/>
      <c r="S56" s="173"/>
      <c r="T56" s="114"/>
      <c r="U56" s="142"/>
      <c r="V56" s="142"/>
      <c r="W56" s="114"/>
      <c r="X56" s="142"/>
      <c r="Y56" s="173"/>
    </row>
    <row r="57" spans="1:25" s="154" customFormat="1" ht="15" customHeight="1">
      <c r="A57" s="455"/>
      <c r="B57" s="456"/>
      <c r="C57" s="456"/>
      <c r="D57" s="456"/>
      <c r="E57" s="456"/>
      <c r="F57" s="456"/>
      <c r="G57" s="482"/>
      <c r="H57" s="196"/>
      <c r="I57" s="194"/>
      <c r="J57" s="197"/>
      <c r="K57" s="114"/>
      <c r="L57" s="142"/>
      <c r="M57" s="114"/>
      <c r="N57" s="142"/>
      <c r="O57" s="114"/>
      <c r="P57" s="142"/>
      <c r="Q57" s="114"/>
      <c r="R57" s="142"/>
      <c r="S57" s="173"/>
      <c r="T57" s="114"/>
      <c r="U57" s="142"/>
      <c r="V57" s="142"/>
      <c r="W57" s="114"/>
      <c r="X57" s="142"/>
      <c r="Y57" s="173"/>
    </row>
    <row r="58" spans="1:25" s="154" customFormat="1" ht="15" customHeight="1">
      <c r="A58" s="455"/>
      <c r="B58" s="456"/>
      <c r="C58" s="456"/>
      <c r="D58" s="456"/>
      <c r="E58" s="456"/>
      <c r="F58" s="456"/>
      <c r="G58" s="482"/>
      <c r="H58" s="196"/>
      <c r="I58" s="194"/>
      <c r="J58" s="197"/>
      <c r="K58" s="114"/>
      <c r="L58" s="142"/>
      <c r="M58" s="114"/>
      <c r="N58" s="142"/>
      <c r="O58" s="114"/>
      <c r="P58" s="142"/>
      <c r="Q58" s="114"/>
      <c r="R58" s="142"/>
      <c r="S58" s="173"/>
      <c r="T58" s="114"/>
      <c r="U58" s="142"/>
      <c r="V58" s="142"/>
      <c r="W58" s="114"/>
      <c r="X58" s="142"/>
      <c r="Y58" s="173"/>
    </row>
    <row r="59" spans="1:25" s="154" customFormat="1" ht="15" customHeight="1">
      <c r="A59" s="455">
        <v>10</v>
      </c>
      <c r="B59" s="456"/>
      <c r="C59" s="456"/>
      <c r="D59" s="456"/>
      <c r="E59" s="456"/>
      <c r="F59" s="456"/>
      <c r="G59" s="482"/>
      <c r="H59" s="196"/>
      <c r="I59" s="194"/>
      <c r="J59" s="197"/>
      <c r="K59" s="114"/>
      <c r="L59" s="142"/>
      <c r="M59" s="114"/>
      <c r="N59" s="142"/>
      <c r="O59" s="114"/>
      <c r="P59" s="142"/>
      <c r="Q59" s="114"/>
      <c r="R59" s="142"/>
      <c r="S59" s="173"/>
      <c r="T59" s="114"/>
      <c r="U59" s="142"/>
      <c r="V59" s="142"/>
      <c r="W59" s="114"/>
      <c r="X59" s="142"/>
      <c r="Y59" s="173"/>
    </row>
    <row r="60" spans="1:25" s="154" customFormat="1" ht="15" customHeight="1">
      <c r="A60" s="455"/>
      <c r="B60" s="456"/>
      <c r="C60" s="456"/>
      <c r="D60" s="456"/>
      <c r="E60" s="456"/>
      <c r="F60" s="456"/>
      <c r="G60" s="482"/>
      <c r="H60" s="196"/>
      <c r="I60" s="194"/>
      <c r="J60" s="197"/>
      <c r="K60" s="114"/>
      <c r="L60" s="142"/>
      <c r="M60" s="114"/>
      <c r="N60" s="142"/>
      <c r="O60" s="114"/>
      <c r="P60" s="142"/>
      <c r="Q60" s="114"/>
      <c r="R60" s="142"/>
      <c r="S60" s="173"/>
      <c r="T60" s="114"/>
      <c r="U60" s="142"/>
      <c r="V60" s="142"/>
      <c r="W60" s="114"/>
      <c r="X60" s="142"/>
      <c r="Y60" s="173"/>
    </row>
    <row r="61" spans="1:25" s="154" customFormat="1" ht="15" customHeight="1">
      <c r="A61" s="455"/>
      <c r="B61" s="456"/>
      <c r="C61" s="456"/>
      <c r="D61" s="456"/>
      <c r="E61" s="456"/>
      <c r="F61" s="456"/>
      <c r="G61" s="482"/>
      <c r="H61" s="196"/>
      <c r="I61" s="194"/>
      <c r="J61" s="197"/>
      <c r="K61" s="114"/>
      <c r="L61" s="142"/>
      <c r="M61" s="114"/>
      <c r="N61" s="142"/>
      <c r="O61" s="114"/>
      <c r="P61" s="142"/>
      <c r="Q61" s="114"/>
      <c r="R61" s="142"/>
      <c r="S61" s="173"/>
      <c r="T61" s="114"/>
      <c r="U61" s="142"/>
      <c r="V61" s="142"/>
      <c r="W61" s="114"/>
      <c r="X61" s="142"/>
      <c r="Y61" s="173"/>
    </row>
    <row r="62" spans="1:25" s="154" customFormat="1" ht="15" customHeight="1">
      <c r="A62" s="455"/>
      <c r="B62" s="456"/>
      <c r="C62" s="456"/>
      <c r="D62" s="456"/>
      <c r="E62" s="456"/>
      <c r="F62" s="456"/>
      <c r="G62" s="482"/>
      <c r="H62" s="196"/>
      <c r="I62" s="194"/>
      <c r="J62" s="197"/>
      <c r="K62" s="114"/>
      <c r="L62" s="142"/>
      <c r="M62" s="114"/>
      <c r="N62" s="142"/>
      <c r="O62" s="114"/>
      <c r="P62" s="142"/>
      <c r="Q62" s="114"/>
      <c r="R62" s="142"/>
      <c r="S62" s="173"/>
      <c r="T62" s="114"/>
      <c r="U62" s="142"/>
      <c r="V62" s="142"/>
      <c r="W62" s="114"/>
      <c r="X62" s="142"/>
      <c r="Y62" s="173"/>
    </row>
    <row r="63" spans="1:25" s="154" customFormat="1" ht="15" customHeight="1">
      <c r="A63" s="455"/>
      <c r="B63" s="456"/>
      <c r="C63" s="456"/>
      <c r="D63" s="456"/>
      <c r="E63" s="456"/>
      <c r="F63" s="456"/>
      <c r="G63" s="482"/>
      <c r="H63" s="196"/>
      <c r="I63" s="194"/>
      <c r="J63" s="197"/>
      <c r="K63" s="114"/>
      <c r="L63" s="142"/>
      <c r="M63" s="114"/>
      <c r="N63" s="142"/>
      <c r="O63" s="114"/>
      <c r="P63" s="142"/>
      <c r="Q63" s="114"/>
      <c r="R63" s="142"/>
      <c r="S63" s="173"/>
      <c r="T63" s="114"/>
      <c r="U63" s="142"/>
      <c r="V63" s="142"/>
      <c r="W63" s="114"/>
      <c r="X63" s="142"/>
      <c r="Y63" s="173"/>
    </row>
    <row r="64" spans="1:25" s="154" customFormat="1" ht="15" customHeight="1">
      <c r="A64" s="455"/>
      <c r="B64" s="456"/>
      <c r="C64" s="456"/>
      <c r="D64" s="456"/>
      <c r="E64" s="456"/>
      <c r="F64" s="456"/>
      <c r="G64" s="482"/>
      <c r="H64" s="196"/>
      <c r="I64" s="194"/>
      <c r="J64" s="197"/>
      <c r="K64" s="114"/>
      <c r="L64" s="142"/>
      <c r="M64" s="114"/>
      <c r="N64" s="142"/>
      <c r="O64" s="114"/>
      <c r="P64" s="142"/>
      <c r="Q64" s="114"/>
      <c r="R64" s="142"/>
      <c r="S64" s="173"/>
      <c r="T64" s="114"/>
      <c r="U64" s="142"/>
      <c r="V64" s="142"/>
      <c r="W64" s="114"/>
      <c r="X64" s="142"/>
      <c r="Y64" s="173"/>
    </row>
  </sheetData>
  <sheetProtection algorithmName="SHA-512" hashValue="9dlhOc2dMgK6RjQwCDkDF+EkNYQtNfOrhoFvjynAaRSTwDCbbaJeBp7QtGliuG0JvzNENB7fAFo29GUmceRyJw==" saltValue="/uiNKXMKLg7yZDmSFWO0iw==" spinCount="100000" sheet="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zoomScaleNormal="100" zoomScalePageLayoutView="55" workbookViewId="0">
      <selection activeCell="C6" sqref="C6"/>
    </sheetView>
  </sheetViews>
  <sheetFormatPr defaultColWidth="17.42578125" defaultRowHeight="12.75"/>
  <cols>
    <col min="1" max="1" width="17.42578125" style="241"/>
    <col min="2" max="2" width="36.28515625" style="241" customWidth="1"/>
    <col min="3" max="3" width="23" style="241" customWidth="1"/>
    <col min="4" max="4" width="38.7109375" style="241" customWidth="1"/>
    <col min="5" max="5" width="22.42578125" style="241" customWidth="1"/>
    <col min="6" max="6" width="30.42578125" style="241" customWidth="1"/>
    <col min="7" max="7" width="17.42578125" style="241"/>
    <col min="8" max="8" width="41.42578125" style="241" customWidth="1"/>
    <col min="9" max="10" width="17.42578125" style="241"/>
    <col min="11" max="11" width="44.5703125" style="241" customWidth="1"/>
    <col min="12" max="16384" width="17.42578125" style="241"/>
  </cols>
  <sheetData>
    <row r="1" spans="1:11" s="233" customFormat="1" ht="39" customHeight="1">
      <c r="A1" s="231" t="s">
        <v>60</v>
      </c>
      <c r="B1" s="232"/>
      <c r="C1" s="435" t="s">
        <v>61</v>
      </c>
      <c r="D1" s="435"/>
      <c r="E1" s="435"/>
      <c r="F1" s="435"/>
      <c r="G1" s="435"/>
      <c r="H1" s="435"/>
      <c r="I1" s="435"/>
      <c r="J1" s="435"/>
      <c r="K1" s="435"/>
    </row>
    <row r="2" spans="1:11" s="234" customFormat="1" ht="25.5" customHeight="1">
      <c r="A2" s="436" t="s">
        <v>62</v>
      </c>
      <c r="B2" s="439" t="s">
        <v>63</v>
      </c>
      <c r="C2" s="440"/>
      <c r="D2" s="440"/>
      <c r="E2" s="440"/>
      <c r="F2" s="440"/>
      <c r="G2" s="440"/>
      <c r="H2" s="440"/>
      <c r="I2" s="441"/>
      <c r="J2" s="436" t="s">
        <v>64</v>
      </c>
      <c r="K2" s="436" t="s">
        <v>65</v>
      </c>
    </row>
    <row r="3" spans="1:11" s="234" customFormat="1" ht="22.5" customHeight="1">
      <c r="A3" s="437"/>
      <c r="B3" s="442" t="s">
        <v>66</v>
      </c>
      <c r="C3" s="442"/>
      <c r="D3" s="442" t="s">
        <v>67</v>
      </c>
      <c r="E3" s="442"/>
      <c r="F3" s="442" t="s">
        <v>68</v>
      </c>
      <c r="G3" s="442"/>
      <c r="H3" s="442" t="s">
        <v>69</v>
      </c>
      <c r="I3" s="442"/>
      <c r="J3" s="437"/>
      <c r="K3" s="437"/>
    </row>
    <row r="4" spans="1:11" s="237" customFormat="1" ht="27" customHeight="1">
      <c r="A4" s="438"/>
      <c r="B4" s="235" t="s">
        <v>70</v>
      </c>
      <c r="C4" s="236" t="s">
        <v>71</v>
      </c>
      <c r="D4" s="235" t="s">
        <v>70</v>
      </c>
      <c r="E4" s="236" t="s">
        <v>71</v>
      </c>
      <c r="F4" s="235" t="s">
        <v>70</v>
      </c>
      <c r="G4" s="236" t="s">
        <v>71</v>
      </c>
      <c r="H4" s="235" t="s">
        <v>70</v>
      </c>
      <c r="I4" s="236" t="s">
        <v>71</v>
      </c>
      <c r="J4" s="438"/>
      <c r="K4" s="438"/>
    </row>
    <row r="5" spans="1:11" ht="80.099999999999994" customHeight="1">
      <c r="A5" s="238" t="s">
        <v>72</v>
      </c>
      <c r="B5" s="238" t="s">
        <v>73</v>
      </c>
      <c r="C5" s="239" t="s">
        <v>74</v>
      </c>
      <c r="D5" s="238" t="s">
        <v>75</v>
      </c>
      <c r="E5" s="238" t="s">
        <v>76</v>
      </c>
      <c r="F5" s="238" t="s">
        <v>77</v>
      </c>
      <c r="G5" s="240" t="s">
        <v>78</v>
      </c>
      <c r="H5" s="238"/>
      <c r="I5" s="240"/>
      <c r="J5" s="444" t="s">
        <v>79</v>
      </c>
      <c r="K5" s="446" t="s">
        <v>80</v>
      </c>
    </row>
    <row r="6" spans="1:11" ht="80.099999999999994" customHeight="1">
      <c r="A6" s="238" t="s">
        <v>72</v>
      </c>
      <c r="B6" s="238" t="s">
        <v>81</v>
      </c>
      <c r="C6" s="242" t="s">
        <v>82</v>
      </c>
      <c r="D6" s="238" t="s">
        <v>83</v>
      </c>
      <c r="E6" s="238" t="s">
        <v>84</v>
      </c>
      <c r="F6" s="238" t="s">
        <v>85</v>
      </c>
      <c r="G6" s="238" t="s">
        <v>86</v>
      </c>
      <c r="H6" s="238"/>
      <c r="I6" s="238"/>
      <c r="J6" s="444"/>
      <c r="K6" s="446"/>
    </row>
    <row r="7" spans="1:11" ht="80.099999999999994" customHeight="1">
      <c r="A7" s="238" t="s">
        <v>72</v>
      </c>
      <c r="B7" s="238" t="s">
        <v>87</v>
      </c>
      <c r="C7" s="242" t="s">
        <v>88</v>
      </c>
      <c r="D7" s="238" t="s">
        <v>89</v>
      </c>
      <c r="E7" s="238" t="s">
        <v>90</v>
      </c>
      <c r="F7" s="238" t="s">
        <v>91</v>
      </c>
      <c r="G7" s="238" t="s">
        <v>92</v>
      </c>
      <c r="H7" s="238"/>
      <c r="I7" s="238"/>
      <c r="J7" s="444"/>
      <c r="K7" s="446"/>
    </row>
    <row r="8" spans="1:11" ht="80.099999999999994" customHeight="1">
      <c r="A8" s="238" t="s">
        <v>72</v>
      </c>
      <c r="B8" s="243" t="s">
        <v>81</v>
      </c>
      <c r="C8" s="244" t="s">
        <v>93</v>
      </c>
      <c r="D8" s="245"/>
      <c r="E8" s="245"/>
      <c r="F8" s="238" t="s">
        <v>94</v>
      </c>
      <c r="G8" s="238" t="s">
        <v>95</v>
      </c>
      <c r="H8" s="238"/>
      <c r="I8" s="245"/>
      <c r="J8" s="444"/>
      <c r="K8" s="446"/>
    </row>
    <row r="9" spans="1:11" ht="80.099999999999994" customHeight="1">
      <c r="A9" s="243" t="s">
        <v>72</v>
      </c>
      <c r="B9" s="243" t="s">
        <v>96</v>
      </c>
      <c r="C9" s="244" t="s">
        <v>97</v>
      </c>
      <c r="D9" s="238"/>
      <c r="E9" s="238"/>
      <c r="F9" s="238"/>
      <c r="G9" s="238"/>
      <c r="H9" s="238"/>
      <c r="I9" s="246"/>
      <c r="J9" s="444"/>
      <c r="K9" s="446"/>
    </row>
    <row r="10" spans="1:11" ht="80.099999999999994" customHeight="1">
      <c r="A10" s="243" t="s">
        <v>72</v>
      </c>
      <c r="B10" s="243" t="s">
        <v>68</v>
      </c>
      <c r="C10" s="244" t="s">
        <v>98</v>
      </c>
      <c r="D10" s="238"/>
      <c r="E10" s="238"/>
      <c r="F10" s="245"/>
      <c r="G10" s="245"/>
      <c r="H10" s="238"/>
      <c r="I10" s="238"/>
      <c r="J10" s="444"/>
      <c r="K10" s="446"/>
    </row>
    <row r="11" spans="1:11" ht="80.099999999999994" customHeight="1">
      <c r="A11" s="243" t="s">
        <v>72</v>
      </c>
      <c r="B11" s="247" t="s">
        <v>87</v>
      </c>
      <c r="C11" s="248" t="s">
        <v>99</v>
      </c>
      <c r="D11" s="249"/>
      <c r="E11" s="249"/>
      <c r="F11" s="250"/>
      <c r="G11" s="250"/>
      <c r="H11" s="249"/>
      <c r="I11" s="251"/>
      <c r="J11" s="445"/>
      <c r="K11" s="447"/>
    </row>
    <row r="12" spans="1:11" ht="80.099999999999994" customHeight="1">
      <c r="A12" s="244" t="s">
        <v>72</v>
      </c>
      <c r="B12" s="238" t="s">
        <v>73</v>
      </c>
      <c r="C12" s="239" t="s">
        <v>74</v>
      </c>
      <c r="D12" s="238" t="s">
        <v>89</v>
      </c>
      <c r="E12" s="238" t="s">
        <v>100</v>
      </c>
      <c r="F12" s="238" t="s">
        <v>85</v>
      </c>
      <c r="G12" s="238" t="s">
        <v>101</v>
      </c>
      <c r="H12" s="238"/>
      <c r="I12" s="238"/>
      <c r="J12" s="448" t="s">
        <v>102</v>
      </c>
      <c r="K12" s="447" t="s">
        <v>103</v>
      </c>
    </row>
    <row r="13" spans="1:11" ht="80.099999999999994" customHeight="1">
      <c r="A13" s="244" t="s">
        <v>72</v>
      </c>
      <c r="B13" s="243" t="s">
        <v>96</v>
      </c>
      <c r="C13" s="240" t="s">
        <v>104</v>
      </c>
      <c r="D13" s="238" t="s">
        <v>83</v>
      </c>
      <c r="E13" s="245" t="s">
        <v>105</v>
      </c>
      <c r="F13" s="243" t="s">
        <v>91</v>
      </c>
      <c r="G13" s="240" t="s">
        <v>106</v>
      </c>
      <c r="H13" s="238"/>
      <c r="I13" s="238"/>
      <c r="J13" s="449"/>
      <c r="K13" s="451"/>
    </row>
    <row r="14" spans="1:11" ht="80.099999999999994" customHeight="1">
      <c r="A14" s="244" t="s">
        <v>72</v>
      </c>
      <c r="B14" s="245"/>
      <c r="C14" s="245"/>
      <c r="D14" s="238"/>
      <c r="E14" s="238"/>
      <c r="F14" s="243" t="s">
        <v>107</v>
      </c>
      <c r="G14" s="243" t="s">
        <v>108</v>
      </c>
      <c r="H14" s="238"/>
      <c r="I14" s="246"/>
      <c r="J14" s="450"/>
      <c r="K14" s="452"/>
    </row>
    <row r="15" spans="1:11" ht="117.75" customHeight="1">
      <c r="A15" s="244" t="s">
        <v>72</v>
      </c>
      <c r="B15" s="243" t="s">
        <v>96</v>
      </c>
      <c r="C15" s="240" t="s">
        <v>109</v>
      </c>
      <c r="D15" s="238" t="s">
        <v>110</v>
      </c>
      <c r="E15" s="238" t="s">
        <v>111</v>
      </c>
      <c r="F15" s="243" t="s">
        <v>91</v>
      </c>
      <c r="G15" s="243" t="s">
        <v>112</v>
      </c>
      <c r="H15" s="252"/>
      <c r="I15" s="253"/>
      <c r="J15" s="447" t="s">
        <v>113</v>
      </c>
      <c r="K15" s="447" t="s">
        <v>114</v>
      </c>
    </row>
    <row r="16" spans="1:11" ht="80.099999999999994" customHeight="1">
      <c r="A16" s="244" t="s">
        <v>72</v>
      </c>
      <c r="B16" s="243"/>
      <c r="C16" s="247"/>
      <c r="D16" s="247" t="s">
        <v>115</v>
      </c>
      <c r="E16" s="247" t="s">
        <v>116</v>
      </c>
      <c r="F16" s="243"/>
      <c r="G16" s="243"/>
      <c r="H16" s="243"/>
      <c r="I16" s="248"/>
      <c r="J16" s="452"/>
      <c r="K16" s="452"/>
    </row>
    <row r="17" spans="1:11" ht="38.1" customHeight="1">
      <c r="A17" s="243"/>
      <c r="B17" s="254"/>
      <c r="C17" s="254"/>
      <c r="D17" s="254"/>
      <c r="E17" s="255"/>
      <c r="F17" s="254"/>
      <c r="G17" s="254"/>
      <c r="H17" s="243"/>
      <c r="I17" s="256"/>
      <c r="J17" s="257"/>
      <c r="K17" s="258"/>
    </row>
    <row r="18" spans="1:11" ht="24.95" customHeight="1">
      <c r="A18" s="243"/>
      <c r="B18" s="254"/>
      <c r="C18" s="254"/>
      <c r="D18" s="254"/>
      <c r="E18" s="255"/>
      <c r="F18" s="254"/>
      <c r="G18" s="254"/>
      <c r="H18" s="243"/>
      <c r="I18" s="256"/>
      <c r="J18" s="257"/>
      <c r="K18" s="258"/>
    </row>
    <row r="19" spans="1:11" ht="42" customHeight="1">
      <c r="A19" s="243"/>
      <c r="B19" s="254"/>
      <c r="C19" s="254"/>
      <c r="D19" s="254"/>
      <c r="E19" s="255"/>
      <c r="F19" s="254"/>
      <c r="G19" s="254"/>
      <c r="H19" s="243"/>
      <c r="I19" s="256"/>
      <c r="J19" s="257"/>
      <c r="K19" s="258"/>
    </row>
    <row r="20" spans="1:11" ht="33" customHeight="1">
      <c r="A20" s="243"/>
      <c r="B20" s="254"/>
      <c r="C20" s="254"/>
      <c r="D20" s="254"/>
      <c r="E20" s="255"/>
      <c r="F20" s="254"/>
      <c r="G20" s="254"/>
      <c r="H20" s="255"/>
      <c r="I20" s="259"/>
      <c r="J20" s="257"/>
      <c r="K20" s="258"/>
    </row>
    <row r="21" spans="1:11" ht="36.950000000000003" customHeight="1">
      <c r="A21" s="238"/>
      <c r="B21" s="254"/>
      <c r="C21" s="260"/>
      <c r="D21" s="254"/>
      <c r="E21" s="261"/>
      <c r="F21" s="254"/>
      <c r="G21" s="260"/>
      <c r="H21" s="255"/>
      <c r="I21" s="262"/>
      <c r="J21" s="263"/>
      <c r="K21" s="257"/>
    </row>
    <row r="22" spans="1:11" ht="36.950000000000003" customHeight="1">
      <c r="A22" s="238"/>
      <c r="B22" s="254"/>
      <c r="C22" s="257"/>
      <c r="D22" s="254"/>
      <c r="E22" s="261"/>
      <c r="F22" s="254"/>
      <c r="G22" s="257"/>
      <c r="H22" s="255"/>
      <c r="I22" s="264"/>
      <c r="J22" s="263"/>
      <c r="K22" s="257"/>
    </row>
    <row r="23" spans="1:11" ht="36.950000000000003" customHeight="1">
      <c r="A23" s="238"/>
      <c r="B23" s="254"/>
      <c r="C23" s="257"/>
      <c r="D23" s="254"/>
      <c r="E23" s="261"/>
      <c r="F23" s="254"/>
      <c r="G23" s="257"/>
      <c r="H23" s="255"/>
      <c r="I23" s="264"/>
      <c r="J23" s="263"/>
      <c r="K23" s="257"/>
    </row>
    <row r="24" spans="1:11" ht="36.950000000000003" customHeight="1">
      <c r="A24" s="238"/>
      <c r="B24" s="254"/>
      <c r="C24" s="260"/>
      <c r="D24" s="254"/>
      <c r="E24" s="261"/>
      <c r="F24" s="254"/>
      <c r="G24" s="265"/>
      <c r="H24" s="255"/>
      <c r="I24" s="266"/>
      <c r="J24" s="263"/>
      <c r="K24" s="257"/>
    </row>
    <row r="25" spans="1:11" ht="36.950000000000003" customHeight="1">
      <c r="A25" s="238"/>
      <c r="B25" s="254"/>
      <c r="C25" s="257"/>
      <c r="D25" s="254"/>
      <c r="E25" s="261"/>
      <c r="F25" s="254"/>
      <c r="G25" s="257"/>
      <c r="H25" s="255"/>
      <c r="I25" s="264"/>
      <c r="J25" s="263"/>
      <c r="K25" s="257"/>
    </row>
    <row r="26" spans="1:11" ht="47.25" customHeight="1">
      <c r="A26" s="238"/>
      <c r="B26" s="254"/>
      <c r="C26" s="257"/>
      <c r="D26" s="254"/>
      <c r="E26" s="261"/>
      <c r="F26" s="254"/>
      <c r="G26" s="257"/>
      <c r="H26" s="255"/>
      <c r="I26" s="266"/>
      <c r="J26" s="263"/>
      <c r="K26" s="257"/>
    </row>
    <row r="27" spans="1:11" ht="36.950000000000003" customHeight="1">
      <c r="A27" s="238"/>
      <c r="B27" s="254"/>
      <c r="C27" s="257"/>
      <c r="D27" s="254"/>
      <c r="E27" s="261"/>
      <c r="F27" s="254"/>
      <c r="H27" s="255"/>
      <c r="I27" s="264"/>
      <c r="J27" s="263"/>
      <c r="K27" s="257"/>
    </row>
    <row r="28" spans="1:11" ht="36.950000000000003" customHeight="1">
      <c r="A28" s="238"/>
      <c r="B28" s="257"/>
      <c r="C28" s="260"/>
      <c r="D28" s="254"/>
      <c r="E28" s="260"/>
      <c r="F28" s="254"/>
      <c r="G28" s="260"/>
      <c r="H28" s="267"/>
      <c r="I28" s="262"/>
      <c r="J28" s="263"/>
      <c r="K28" s="257"/>
    </row>
    <row r="29" spans="1:11" ht="36.950000000000003" customHeight="1">
      <c r="A29" s="238"/>
      <c r="B29" s="257"/>
      <c r="C29" s="257"/>
      <c r="D29" s="254"/>
      <c r="E29" s="261"/>
      <c r="F29" s="254"/>
      <c r="G29" s="257"/>
      <c r="H29" s="267"/>
      <c r="I29" s="264"/>
      <c r="J29" s="268"/>
      <c r="K29" s="268"/>
    </row>
    <row r="30" spans="1:11" ht="36.950000000000003" customHeight="1">
      <c r="A30" s="238"/>
      <c r="B30" s="257"/>
      <c r="C30" s="257"/>
      <c r="D30" s="254"/>
      <c r="E30" s="261"/>
      <c r="F30" s="254"/>
      <c r="G30" s="257"/>
      <c r="H30" s="267"/>
      <c r="I30" s="264"/>
      <c r="J30" s="268"/>
      <c r="K30" s="268"/>
    </row>
    <row r="31" spans="1:11" ht="36.950000000000003" customHeight="1">
      <c r="A31" s="238"/>
      <c r="B31" s="257"/>
      <c r="C31" s="260"/>
      <c r="D31" s="269"/>
      <c r="E31" s="261"/>
      <c r="F31" s="254"/>
      <c r="G31" s="270"/>
      <c r="H31" s="267"/>
      <c r="I31" s="271"/>
      <c r="J31" s="268"/>
      <c r="K31" s="268"/>
    </row>
    <row r="32" spans="1:11" ht="36.950000000000003" customHeight="1">
      <c r="A32" s="238"/>
      <c r="B32" s="257"/>
      <c r="C32" s="257"/>
      <c r="D32" s="269"/>
      <c r="E32" s="261"/>
      <c r="F32" s="254"/>
      <c r="G32" s="257"/>
      <c r="H32" s="267"/>
      <c r="I32" s="272"/>
      <c r="J32" s="257"/>
      <c r="K32" s="257"/>
    </row>
    <row r="33" spans="1:11" ht="36.950000000000003" customHeight="1">
      <c r="A33" s="238"/>
      <c r="B33" s="257"/>
      <c r="C33" s="257"/>
      <c r="D33" s="269"/>
      <c r="E33" s="261"/>
      <c r="F33" s="254"/>
      <c r="G33" s="257"/>
      <c r="H33" s="267"/>
      <c r="I33" s="271"/>
      <c r="J33" s="268"/>
      <c r="K33" s="268"/>
    </row>
    <row r="34" spans="1:11" ht="36.950000000000003" customHeight="1">
      <c r="A34" s="238"/>
      <c r="B34" s="254"/>
      <c r="C34" s="273"/>
      <c r="D34" s="257"/>
      <c r="E34" s="261"/>
      <c r="F34" s="254"/>
      <c r="G34" s="265"/>
      <c r="H34" s="265"/>
      <c r="I34" s="266"/>
      <c r="J34" s="274"/>
      <c r="K34" s="261"/>
    </row>
    <row r="35" spans="1:11" ht="36.950000000000003" customHeight="1">
      <c r="A35" s="238"/>
      <c r="B35" s="254"/>
      <c r="C35" s="273"/>
      <c r="D35" s="257"/>
      <c r="E35" s="261"/>
      <c r="F35" s="257"/>
      <c r="G35" s="265"/>
      <c r="H35" s="265"/>
      <c r="I35" s="266"/>
      <c r="J35" s="274"/>
      <c r="K35" s="261"/>
    </row>
    <row r="36" spans="1:11" ht="36.950000000000003" customHeight="1">
      <c r="A36" s="238"/>
      <c r="B36" s="254"/>
      <c r="C36" s="273"/>
      <c r="D36" s="257"/>
      <c r="E36" s="261"/>
      <c r="F36" s="257"/>
      <c r="G36" s="265"/>
      <c r="H36" s="265"/>
      <c r="I36" s="266"/>
      <c r="J36" s="274"/>
      <c r="K36" s="261"/>
    </row>
    <row r="37" spans="1:11" ht="36.950000000000003" customHeight="1">
      <c r="A37" s="238"/>
      <c r="B37" s="254"/>
      <c r="C37" s="273"/>
      <c r="D37" s="257"/>
      <c r="E37" s="261"/>
      <c r="F37" s="257"/>
      <c r="G37" s="265"/>
      <c r="H37" s="265"/>
      <c r="I37" s="266"/>
      <c r="J37" s="274"/>
      <c r="K37" s="261"/>
    </row>
    <row r="38" spans="1:11" ht="36.950000000000003" customHeight="1">
      <c r="A38" s="238"/>
      <c r="B38" s="254"/>
      <c r="C38" s="273"/>
      <c r="D38" s="257"/>
      <c r="E38" s="261"/>
      <c r="F38" s="257"/>
      <c r="G38" s="265"/>
      <c r="H38" s="265"/>
      <c r="I38" s="266"/>
      <c r="J38" s="274"/>
      <c r="K38" s="261"/>
    </row>
    <row r="39" spans="1:11" ht="36.950000000000003" customHeight="1">
      <c r="A39" s="238"/>
      <c r="B39" s="254"/>
      <c r="C39" s="273"/>
      <c r="D39" s="257"/>
      <c r="E39" s="261"/>
      <c r="F39" s="257"/>
      <c r="G39" s="265"/>
      <c r="H39" s="265"/>
      <c r="I39" s="266"/>
      <c r="J39" s="274"/>
      <c r="K39" s="261"/>
    </row>
    <row r="40" spans="1:11" ht="36.950000000000003" customHeight="1">
      <c r="A40" s="238"/>
      <c r="B40" s="254"/>
      <c r="C40" s="273"/>
      <c r="D40" s="257"/>
      <c r="E40" s="261"/>
      <c r="F40" s="257"/>
      <c r="G40" s="265"/>
      <c r="H40" s="265"/>
      <c r="I40" s="266"/>
      <c r="J40" s="274"/>
      <c r="K40" s="261"/>
    </row>
    <row r="41" spans="1:11" ht="36.950000000000003" customHeight="1">
      <c r="A41" s="238"/>
      <c r="B41" s="254"/>
      <c r="C41" s="273"/>
      <c r="D41" s="257"/>
      <c r="E41" s="261"/>
      <c r="F41" s="257"/>
      <c r="G41" s="265"/>
      <c r="H41" s="265"/>
      <c r="I41" s="266"/>
      <c r="J41" s="274"/>
      <c r="K41" s="261"/>
    </row>
    <row r="42" spans="1:11" ht="36.950000000000003" customHeight="1">
      <c r="A42" s="238"/>
      <c r="B42" s="254"/>
      <c r="C42" s="273"/>
      <c r="D42" s="257"/>
      <c r="E42" s="261"/>
      <c r="F42" s="257"/>
      <c r="G42" s="265"/>
      <c r="H42" s="265"/>
      <c r="I42" s="266"/>
      <c r="J42" s="274"/>
      <c r="K42" s="261"/>
    </row>
    <row r="43" spans="1:11" ht="36.950000000000003" customHeight="1">
      <c r="A43" s="238"/>
      <c r="B43" s="254"/>
      <c r="C43" s="273"/>
      <c r="D43" s="257"/>
      <c r="E43" s="261"/>
      <c r="F43" s="257"/>
      <c r="G43" s="265"/>
      <c r="H43" s="265"/>
      <c r="I43" s="266"/>
      <c r="J43" s="274"/>
      <c r="K43" s="261"/>
    </row>
    <row r="44" spans="1:11" ht="36.950000000000003" customHeight="1">
      <c r="A44" s="238"/>
      <c r="B44" s="254"/>
      <c r="C44" s="273"/>
      <c r="D44" s="257"/>
      <c r="E44" s="261"/>
      <c r="F44" s="257"/>
      <c r="G44" s="265"/>
      <c r="H44" s="265"/>
      <c r="I44" s="266"/>
      <c r="J44" s="274"/>
      <c r="K44" s="261"/>
    </row>
    <row r="45" spans="1:11" ht="42.95" customHeight="1">
      <c r="A45" s="275" t="s">
        <v>117</v>
      </c>
      <c r="B45" s="443"/>
      <c r="C45" s="443"/>
      <c r="D45" s="443"/>
      <c r="E45" s="443"/>
      <c r="F45" s="443"/>
      <c r="G45" s="443"/>
      <c r="H45" s="443"/>
      <c r="I45" s="443"/>
      <c r="J45" s="443"/>
      <c r="K45" s="443"/>
    </row>
    <row r="49" spans="1:8" hidden="1">
      <c r="A49" s="241" t="s">
        <v>75</v>
      </c>
      <c r="B49" s="241" t="s">
        <v>73</v>
      </c>
      <c r="C49" s="241" t="s">
        <v>118</v>
      </c>
      <c r="D49" s="241" t="s">
        <v>119</v>
      </c>
      <c r="F49" s="241" t="s">
        <v>119</v>
      </c>
      <c r="H49" s="241" t="s">
        <v>119</v>
      </c>
    </row>
    <row r="50" spans="1:8" hidden="1">
      <c r="A50" s="241" t="s">
        <v>115</v>
      </c>
      <c r="B50" s="241" t="s">
        <v>96</v>
      </c>
      <c r="C50" s="241" t="s">
        <v>77</v>
      </c>
      <c r="D50" s="241" t="s">
        <v>120</v>
      </c>
      <c r="F50" s="241" t="s">
        <v>120</v>
      </c>
      <c r="H50" s="241" t="s">
        <v>120</v>
      </c>
    </row>
    <row r="51" spans="1:8" hidden="1">
      <c r="A51" s="241" t="s">
        <v>110</v>
      </c>
      <c r="B51" s="241" t="s">
        <v>68</v>
      </c>
      <c r="C51" s="241" t="s">
        <v>94</v>
      </c>
      <c r="D51" s="241" t="s">
        <v>121</v>
      </c>
      <c r="F51" s="241" t="s">
        <v>121</v>
      </c>
      <c r="H51" s="241" t="s">
        <v>121</v>
      </c>
    </row>
    <row r="52" spans="1:8" hidden="1">
      <c r="A52" s="241" t="s">
        <v>89</v>
      </c>
      <c r="B52" s="241" t="s">
        <v>87</v>
      </c>
      <c r="C52" s="241" t="s">
        <v>91</v>
      </c>
    </row>
    <row r="53" spans="1:8" hidden="1">
      <c r="A53" s="241" t="s">
        <v>122</v>
      </c>
      <c r="B53" s="241" t="s">
        <v>81</v>
      </c>
      <c r="C53" s="241" t="s">
        <v>107</v>
      </c>
    </row>
    <row r="54" spans="1:8" hidden="1">
      <c r="A54" s="241" t="s">
        <v>83</v>
      </c>
      <c r="B54" s="241" t="s">
        <v>123</v>
      </c>
      <c r="C54" s="241" t="s">
        <v>85</v>
      </c>
    </row>
    <row r="55" spans="1:8" hidden="1"/>
    <row r="56" spans="1:8" s="276" customFormat="1"/>
    <row r="57" spans="1:8" s="276" customFormat="1"/>
    <row r="58" spans="1:8" s="276" customFormat="1" ht="15">
      <c r="A58" s="277"/>
      <c r="B58" s="277"/>
      <c r="C58" s="277"/>
    </row>
    <row r="59" spans="1:8" s="276" customFormat="1" ht="14.25">
      <c r="A59" s="278"/>
      <c r="B59" s="279"/>
      <c r="C59" s="280"/>
    </row>
    <row r="60" spans="1:8" s="276" customFormat="1" ht="14.25">
      <c r="A60" s="278"/>
      <c r="B60" s="279"/>
      <c r="C60" s="280"/>
    </row>
    <row r="61" spans="1:8" s="276" customFormat="1" ht="14.25">
      <c r="A61" s="278"/>
      <c r="B61" s="279"/>
      <c r="C61" s="280"/>
    </row>
    <row r="62" spans="1:8" s="276" customFormat="1" ht="14.25">
      <c r="A62" s="278"/>
      <c r="B62" s="279"/>
      <c r="C62" s="280"/>
    </row>
    <row r="63" spans="1:8" s="276" customFormat="1" ht="14.25">
      <c r="A63" s="278"/>
      <c r="B63" s="279"/>
      <c r="C63" s="280"/>
    </row>
    <row r="64" spans="1:8" ht="14.25">
      <c r="A64" s="281"/>
      <c r="B64" s="282"/>
      <c r="C64" s="283"/>
    </row>
    <row r="65" spans="1:3" ht="14.25">
      <c r="A65" s="281"/>
      <c r="B65" s="282"/>
      <c r="C65" s="283"/>
    </row>
    <row r="66" spans="1:3" ht="14.25">
      <c r="A66" s="281"/>
      <c r="B66" s="282"/>
      <c r="C66" s="283"/>
    </row>
    <row r="67" spans="1:3" ht="14.25">
      <c r="A67" s="281"/>
      <c r="B67" s="282"/>
      <c r="C67" s="283"/>
    </row>
    <row r="68" spans="1:3" ht="14.25">
      <c r="A68" s="281"/>
      <c r="B68" s="282"/>
      <c r="C68" s="283"/>
    </row>
    <row r="69" spans="1:3" ht="14.25">
      <c r="A69" s="281"/>
      <c r="B69" s="282"/>
      <c r="C69" s="283"/>
    </row>
    <row r="70" spans="1:3" ht="14.25">
      <c r="A70" s="281"/>
      <c r="B70" s="282"/>
    </row>
    <row r="71" spans="1:3" ht="14.25">
      <c r="A71" s="281"/>
      <c r="B71" s="282"/>
    </row>
    <row r="72" spans="1:3" ht="14.25">
      <c r="A72" s="281"/>
      <c r="B72" s="282"/>
    </row>
    <row r="144" s="284" customFormat="1" ht="25.5" customHeight="1"/>
    <row r="145" s="284" customFormat="1" ht="24" customHeight="1"/>
    <row r="146" s="284" customFormat="1" ht="22.5" customHeight="1"/>
    <row r="147" s="241" customFormat="1" ht="31.5" customHeight="1"/>
  </sheetData>
  <sheetProtection algorithmName="SHA-512" hashValue="IpI+3HPF+T5pcZ5woa26EApl33Nnw9pbVwZDNbm3NmnkF/fQ8CaSVXKJnDDqKhiC8EYEUkObYeK/RXP70ktsZg==" saltValue="R+QptMH6C/Xp2c5Q7kj5XQ==" spinCount="100000" sheet="1" formatCells="0" formatColumns="0" formatRows="0"/>
  <mergeCells count="16">
    <mergeCell ref="B45:K45"/>
    <mergeCell ref="J2:J4"/>
    <mergeCell ref="K2:K4"/>
    <mergeCell ref="J5:J11"/>
    <mergeCell ref="K5:K11"/>
    <mergeCell ref="J12:J14"/>
    <mergeCell ref="K12:K14"/>
    <mergeCell ref="J15:J16"/>
    <mergeCell ref="K15:K16"/>
    <mergeCell ref="C1:K1"/>
    <mergeCell ref="A2:A4"/>
    <mergeCell ref="B2:I2"/>
    <mergeCell ref="B3:C3"/>
    <mergeCell ref="D3:E3"/>
    <mergeCell ref="F3:G3"/>
    <mergeCell ref="H3:I3"/>
  </mergeCells>
  <dataValidations count="7">
    <dataValidation type="list" allowBlank="1" showInputMessage="1" showErrorMessage="1" sqref="H34:H44 H5:H27" xr:uid="{2D34C4E7-9D48-4FFB-841A-82D68755C1EA}">
      <formula1>$D$49:$D$51</formula1>
    </dataValidation>
    <dataValidation type="list" allowBlank="1" showInputMessage="1" showErrorMessage="1" sqref="B34:B44 B15:B27 B5:B13" xr:uid="{698B2120-12C5-4352-A2BA-F3891FCBE2FC}">
      <formula1>$B$49:$B$54</formula1>
    </dataValidation>
    <dataValidation type="list" allowBlank="1" showInputMessage="1" showErrorMessage="1" sqref="D34:D44 D9:D30 D5:D7 B12"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12:F44 F5:F9"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A17:A44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view="pageBreakPreview" topLeftCell="AR2" zoomScale="80" zoomScaleNormal="100" zoomScaleSheetLayoutView="80" zoomScalePageLayoutView="55" workbookViewId="0">
      <pane ySplit="1" topLeftCell="BV7" activePane="bottomLeft" state="frozen"/>
      <selection pane="bottomLeft" activeCell="CA8" sqref="CA8"/>
    </sheetView>
  </sheetViews>
  <sheetFormatPr defaultColWidth="11.42578125" defaultRowHeight="16.5" customHeight="1"/>
  <cols>
    <col min="1" max="1" width="4" style="192" bestFit="1" customWidth="1"/>
    <col min="2" max="4" width="18.7109375" style="193" customWidth="1"/>
    <col min="5" max="5" width="41.5703125" style="1" customWidth="1"/>
    <col min="6" max="6" width="18.42578125" style="192" customWidth="1"/>
    <col min="7" max="7" width="16.42578125" style="192" customWidth="1"/>
    <col min="8" max="8" width="16.140625" style="192" customWidth="1"/>
    <col min="9" max="9" width="19" style="219" customWidth="1"/>
    <col min="10" max="10" width="24.42578125" style="1" customWidth="1"/>
    <col min="11" max="11" width="16.5703125" style="1" customWidth="1"/>
    <col min="12" max="12" width="6.28515625" style="1" bestFit="1" customWidth="1"/>
    <col min="13" max="13" width="27" style="1" customWidth="1"/>
    <col min="14" max="14" width="21.28515625" style="1" hidden="1" customWidth="1"/>
    <col min="15" max="15" width="17.5703125" style="1" customWidth="1"/>
    <col min="16" max="16" width="6.28515625" style="1" bestFit="1" customWidth="1"/>
    <col min="17" max="17" width="20.42578125" style="1" customWidth="1"/>
    <col min="18" max="18" width="5.85546875" style="1" customWidth="1"/>
    <col min="19" max="19" width="32.85546875" style="1" customWidth="1"/>
    <col min="20" max="20" width="15.140625" style="1" hidden="1" customWidth="1"/>
    <col min="21" max="21" width="18.42578125" style="219" hidden="1" customWidth="1"/>
    <col min="22" max="22" width="21" style="219" hidden="1" customWidth="1"/>
    <col min="23" max="23" width="19.28515625" style="219" hidden="1" customWidth="1"/>
    <col min="24" max="24" width="28.42578125" style="219" hidden="1" customWidth="1"/>
    <col min="25" max="25" width="6.85546875" style="1" hidden="1" customWidth="1"/>
    <col min="26" max="26" width="5" style="1" hidden="1" customWidth="1"/>
    <col min="27" max="27" width="5.5703125" style="1" hidden="1" customWidth="1"/>
    <col min="28" max="28" width="7.140625" style="1" hidden="1" customWidth="1"/>
    <col min="29" max="29" width="6.7109375" style="1" hidden="1" customWidth="1"/>
    <col min="30" max="30" width="7.5703125" style="1" hidden="1" customWidth="1"/>
    <col min="31" max="31" width="15.28515625" style="1" hidden="1" customWidth="1"/>
    <col min="32" max="32" width="12" style="1" hidden="1" customWidth="1"/>
    <col min="33" max="33" width="10.42578125" style="1" hidden="1" customWidth="1"/>
    <col min="34" max="34" width="9.28515625" style="1" hidden="1" customWidth="1"/>
    <col min="35" max="35" width="9.140625" style="1" hidden="1" customWidth="1"/>
    <col min="36" max="36" width="8.42578125" style="1" hidden="1" customWidth="1"/>
    <col min="37" max="37" width="7.28515625" style="1" hidden="1" customWidth="1"/>
    <col min="38" max="38" width="32.85546875" style="1" customWidth="1"/>
    <col min="39" max="39" width="18.85546875" style="1" customWidth="1"/>
    <col min="40" max="40" width="22.140625" style="1" customWidth="1"/>
    <col min="41" max="41" width="20.5703125" style="145" hidden="1" customWidth="1"/>
    <col min="42" max="42" width="54.5703125" style="145" hidden="1" customWidth="1"/>
    <col min="43" max="43" width="20.5703125" style="145" customWidth="1"/>
    <col min="44" max="44" width="33.7109375" style="145" customWidth="1"/>
    <col min="45" max="45" width="20.5703125" style="145" customWidth="1"/>
    <col min="46" max="46" width="32.85546875" style="145" customWidth="1"/>
    <col min="47" max="47" width="20.5703125" style="145" hidden="1" customWidth="1"/>
    <col min="48" max="48" width="18.5703125" style="145" hidden="1" customWidth="1"/>
    <col min="49" max="49" width="21" style="145" hidden="1" customWidth="1"/>
    <col min="50" max="50" width="23" style="1" hidden="1" customWidth="1"/>
    <col min="51" max="51" width="160.5703125" style="162" hidden="1" customWidth="1"/>
    <col min="52" max="52" width="18.85546875" style="1" hidden="1" customWidth="1"/>
    <col min="53" max="53" width="30.28515625" style="1" hidden="1" customWidth="1"/>
    <col min="54" max="54" width="19.5703125" style="1" hidden="1" customWidth="1"/>
    <col min="55" max="55" width="23" style="145" customWidth="1"/>
    <col min="56" max="56" width="47.5703125" style="145" customWidth="1"/>
    <col min="57" max="57" width="18.85546875" style="145" customWidth="1"/>
    <col min="58" max="58" width="57" style="145" customWidth="1"/>
    <col min="59" max="59" width="19.5703125" style="145" customWidth="1"/>
    <col min="60" max="60" width="23" style="145" customWidth="1"/>
    <col min="61" max="61" width="64.140625" style="145" customWidth="1"/>
    <col min="62" max="62" width="18.85546875" style="145" customWidth="1"/>
    <col min="63" max="63" width="44.42578125" style="145" customWidth="1"/>
    <col min="64" max="64" width="19.5703125" style="145" customWidth="1"/>
    <col min="65" max="66" width="23" style="145" hidden="1" customWidth="1"/>
    <col min="67" max="67" width="18.85546875" style="145" hidden="1" customWidth="1"/>
    <col min="68" max="68" width="16.85546875" style="145" hidden="1" customWidth="1"/>
    <col min="69" max="69" width="19.5703125" style="145" hidden="1" customWidth="1"/>
    <col min="70" max="70" width="20.5703125" style="156" hidden="1" customWidth="1"/>
    <col min="71" max="72" width="23" style="145" hidden="1" customWidth="1"/>
    <col min="73" max="73" width="18.5703125" style="145" hidden="1" customWidth="1"/>
    <col min="74" max="74" width="20.5703125" style="1" customWidth="1"/>
    <col min="75" max="75" width="44.140625" style="1" customWidth="1"/>
    <col min="76" max="76" width="18.5703125" style="1" customWidth="1"/>
    <col min="77" max="77" width="20.5703125" style="145" customWidth="1"/>
    <col min="78" max="78" width="33.140625" style="145" customWidth="1"/>
    <col min="79" max="79" width="41.140625" style="145" customWidth="1"/>
    <col min="80" max="80" width="30" style="145" customWidth="1"/>
    <col min="81" max="16384" width="11.42578125" style="145"/>
  </cols>
  <sheetData>
    <row r="1" spans="1:106" ht="16.5" customHeight="1">
      <c r="A1" s="198"/>
      <c r="B1" s="199"/>
      <c r="C1" s="199"/>
      <c r="E1" s="2"/>
      <c r="F1" s="200"/>
      <c r="G1" s="198"/>
      <c r="H1" s="198"/>
      <c r="I1" s="224"/>
      <c r="J1" s="2"/>
      <c r="K1" s="2"/>
      <c r="L1" s="2"/>
      <c r="M1" s="2"/>
      <c r="N1" s="2"/>
      <c r="O1" s="2"/>
      <c r="P1" s="2"/>
      <c r="Q1" s="2"/>
      <c r="R1" s="2"/>
      <c r="S1" s="2"/>
      <c r="T1" s="2"/>
      <c r="U1" s="224"/>
      <c r="V1" s="224"/>
      <c r="W1" s="224"/>
      <c r="X1" s="224"/>
      <c r="Y1" s="2"/>
      <c r="Z1" s="2"/>
      <c r="AA1" s="2"/>
      <c r="AB1" s="2"/>
      <c r="AC1" s="2"/>
      <c r="AD1" s="2"/>
      <c r="AE1" s="2"/>
      <c r="AF1" s="2"/>
      <c r="AG1" s="2"/>
      <c r="AH1" s="2"/>
      <c r="AI1" s="2"/>
      <c r="AJ1" s="2"/>
      <c r="AK1" s="2"/>
      <c r="AL1" s="144"/>
      <c r="AM1" s="144"/>
      <c r="AN1" s="144"/>
      <c r="AO1" s="144"/>
      <c r="AP1" s="144"/>
      <c r="AQ1" s="144"/>
      <c r="AR1" s="144"/>
      <c r="AS1" s="144"/>
      <c r="AT1" s="144"/>
      <c r="AU1" s="144"/>
      <c r="AV1" s="144"/>
      <c r="AW1" s="144"/>
      <c r="AX1" s="2"/>
      <c r="AY1" s="161"/>
      <c r="AZ1" s="2"/>
      <c r="BA1" s="2"/>
      <c r="BB1" s="2"/>
      <c r="BC1" s="144"/>
      <c r="BD1" s="144"/>
      <c r="BE1" s="144"/>
      <c r="BF1" s="144"/>
      <c r="BG1" s="144"/>
      <c r="BH1" s="144"/>
      <c r="BI1" s="144"/>
      <c r="BJ1" s="144"/>
      <c r="BK1" s="144"/>
      <c r="BL1" s="144"/>
      <c r="BM1" s="144"/>
      <c r="BN1" s="144"/>
      <c r="BO1" s="144"/>
      <c r="BP1" s="144"/>
      <c r="BQ1" s="144"/>
      <c r="BR1" s="155"/>
      <c r="BS1" s="144"/>
      <c r="BT1" s="144"/>
      <c r="BU1" s="144"/>
      <c r="BV1" s="2"/>
      <c r="BW1" s="2"/>
      <c r="BX1" s="2"/>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row>
    <row r="2" spans="1:106" ht="16.5" customHeight="1">
      <c r="A2" s="460" t="s">
        <v>124</v>
      </c>
      <c r="B2" s="461"/>
      <c r="C2" s="461"/>
      <c r="D2" s="461"/>
      <c r="E2" s="461"/>
      <c r="F2" s="461"/>
      <c r="G2" s="461"/>
      <c r="H2" s="461"/>
      <c r="I2" s="462"/>
      <c r="J2" s="460" t="s">
        <v>125</v>
      </c>
      <c r="K2" s="461"/>
      <c r="L2" s="461"/>
      <c r="M2" s="461"/>
      <c r="N2" s="461"/>
      <c r="O2" s="461"/>
      <c r="P2" s="461"/>
      <c r="Q2" s="462"/>
      <c r="R2" s="495" t="s">
        <v>126</v>
      </c>
      <c r="S2" s="495"/>
      <c r="T2" s="495"/>
      <c r="U2" s="495"/>
      <c r="V2" s="495"/>
      <c r="W2" s="495"/>
      <c r="X2" s="495"/>
      <c r="Y2" s="495"/>
      <c r="Z2" s="495"/>
      <c r="AA2" s="495"/>
      <c r="AB2" s="495"/>
      <c r="AC2" s="495"/>
      <c r="AD2" s="495"/>
      <c r="AE2" s="495" t="s">
        <v>127</v>
      </c>
      <c r="AF2" s="495"/>
      <c r="AG2" s="495"/>
      <c r="AH2" s="495"/>
      <c r="AI2" s="495"/>
      <c r="AJ2" s="495"/>
      <c r="AK2" s="495"/>
      <c r="AL2" s="504" t="s">
        <v>128</v>
      </c>
      <c r="AM2" s="504"/>
      <c r="AN2" s="504"/>
      <c r="AO2" s="504"/>
      <c r="AP2" s="504"/>
      <c r="AQ2" s="504"/>
      <c r="AR2" s="504"/>
      <c r="AS2" s="504"/>
      <c r="AT2" s="504"/>
      <c r="AU2" s="504"/>
      <c r="AV2" s="504"/>
      <c r="AW2" s="504"/>
      <c r="AX2" s="453" t="s">
        <v>129</v>
      </c>
      <c r="AY2" s="453"/>
      <c r="AZ2" s="453"/>
      <c r="BA2" s="453"/>
      <c r="BB2" s="453"/>
      <c r="BC2" s="453" t="s">
        <v>130</v>
      </c>
      <c r="BD2" s="453"/>
      <c r="BE2" s="453"/>
      <c r="BF2" s="453"/>
      <c r="BG2" s="453"/>
      <c r="BH2" s="453" t="s">
        <v>131</v>
      </c>
      <c r="BI2" s="453"/>
      <c r="BJ2" s="453"/>
      <c r="BK2" s="453"/>
      <c r="BL2" s="453"/>
      <c r="BM2" s="453" t="s">
        <v>132</v>
      </c>
      <c r="BN2" s="453"/>
      <c r="BO2" s="453"/>
      <c r="BP2" s="453"/>
      <c r="BQ2" s="453"/>
      <c r="BR2" s="501" t="s">
        <v>133</v>
      </c>
      <c r="BS2" s="501"/>
      <c r="BT2" s="501"/>
      <c r="BU2" s="501"/>
      <c r="BV2" s="466" t="s">
        <v>134</v>
      </c>
      <c r="BW2" s="466"/>
      <c r="BX2" s="466"/>
      <c r="BY2" s="457" t="s">
        <v>135</v>
      </c>
      <c r="BZ2" s="458"/>
      <c r="CA2" s="458"/>
      <c r="CB2" s="459"/>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row>
    <row r="3" spans="1:106" ht="16.5" customHeight="1">
      <c r="A3" s="491" t="s">
        <v>136</v>
      </c>
      <c r="B3" s="492" t="s">
        <v>7</v>
      </c>
      <c r="C3" s="492" t="s">
        <v>9</v>
      </c>
      <c r="D3" s="493" t="s">
        <v>137</v>
      </c>
      <c r="E3" s="493" t="s">
        <v>21</v>
      </c>
      <c r="F3" s="495" t="s">
        <v>15</v>
      </c>
      <c r="G3" s="492" t="s">
        <v>17</v>
      </c>
      <c r="H3" s="492" t="s">
        <v>138</v>
      </c>
      <c r="I3" s="492" t="s">
        <v>23</v>
      </c>
      <c r="J3" s="492" t="s">
        <v>139</v>
      </c>
      <c r="K3" s="492" t="s">
        <v>140</v>
      </c>
      <c r="L3" s="493" t="s">
        <v>141</v>
      </c>
      <c r="M3" s="492" t="s">
        <v>142</v>
      </c>
      <c r="N3" s="505" t="s">
        <v>143</v>
      </c>
      <c r="O3" s="492" t="s">
        <v>144</v>
      </c>
      <c r="P3" s="495" t="s">
        <v>141</v>
      </c>
      <c r="Q3" s="492" t="s">
        <v>29</v>
      </c>
      <c r="R3" s="494" t="s">
        <v>145</v>
      </c>
      <c r="S3" s="492" t="s">
        <v>31</v>
      </c>
      <c r="T3" s="492" t="s">
        <v>33</v>
      </c>
      <c r="U3" s="496" t="s">
        <v>146</v>
      </c>
      <c r="V3" s="497"/>
      <c r="W3" s="497"/>
      <c r="X3" s="498"/>
      <c r="Y3" s="492" t="s">
        <v>147</v>
      </c>
      <c r="Z3" s="492"/>
      <c r="AA3" s="492"/>
      <c r="AB3" s="492"/>
      <c r="AC3" s="492"/>
      <c r="AD3" s="492"/>
      <c r="AE3" s="494" t="s">
        <v>148</v>
      </c>
      <c r="AF3" s="494" t="s">
        <v>149</v>
      </c>
      <c r="AG3" s="494" t="s">
        <v>141</v>
      </c>
      <c r="AH3" s="494" t="s">
        <v>150</v>
      </c>
      <c r="AI3" s="494" t="s">
        <v>141</v>
      </c>
      <c r="AJ3" s="494" t="s">
        <v>151</v>
      </c>
      <c r="AK3" s="494" t="s">
        <v>49</v>
      </c>
      <c r="AL3" s="472" t="s">
        <v>152</v>
      </c>
      <c r="AM3" s="472" t="s">
        <v>153</v>
      </c>
      <c r="AN3" s="472" t="s">
        <v>154</v>
      </c>
      <c r="AO3" s="472" t="s">
        <v>155</v>
      </c>
      <c r="AP3" s="472" t="s">
        <v>156</v>
      </c>
      <c r="AQ3" s="472" t="s">
        <v>155</v>
      </c>
      <c r="AR3" s="473" t="s">
        <v>157</v>
      </c>
      <c r="AS3" s="472" t="s">
        <v>155</v>
      </c>
      <c r="AT3" s="472" t="s">
        <v>158</v>
      </c>
      <c r="AU3" s="472" t="s">
        <v>155</v>
      </c>
      <c r="AV3" s="473" t="s">
        <v>159</v>
      </c>
      <c r="AW3" s="472" t="s">
        <v>53</v>
      </c>
      <c r="AX3" s="454" t="s">
        <v>160</v>
      </c>
      <c r="AY3" s="503" t="s">
        <v>161</v>
      </c>
      <c r="AZ3" s="454" t="s">
        <v>153</v>
      </c>
      <c r="BA3" s="454" t="s">
        <v>162</v>
      </c>
      <c r="BB3" s="454" t="s">
        <v>163</v>
      </c>
      <c r="BC3" s="454" t="s">
        <v>160</v>
      </c>
      <c r="BD3" s="454" t="s">
        <v>161</v>
      </c>
      <c r="BE3" s="454" t="s">
        <v>153</v>
      </c>
      <c r="BF3" s="454" t="s">
        <v>162</v>
      </c>
      <c r="BG3" s="454" t="s">
        <v>163</v>
      </c>
      <c r="BH3" s="454" t="s">
        <v>160</v>
      </c>
      <c r="BI3" s="454" t="s">
        <v>161</v>
      </c>
      <c r="BJ3" s="454" t="s">
        <v>153</v>
      </c>
      <c r="BK3" s="454" t="s">
        <v>162</v>
      </c>
      <c r="BL3" s="454" t="s">
        <v>163</v>
      </c>
      <c r="BM3" s="454" t="s">
        <v>160</v>
      </c>
      <c r="BN3" s="454" t="s">
        <v>161</v>
      </c>
      <c r="BO3" s="454" t="s">
        <v>153</v>
      </c>
      <c r="BP3" s="454" t="s">
        <v>162</v>
      </c>
      <c r="BQ3" s="454" t="s">
        <v>163</v>
      </c>
      <c r="BR3" s="502" t="s">
        <v>164</v>
      </c>
      <c r="BS3" s="502" t="s">
        <v>165</v>
      </c>
      <c r="BT3" s="502" t="s">
        <v>166</v>
      </c>
      <c r="BU3" s="502" t="s">
        <v>161</v>
      </c>
      <c r="BV3" s="467" t="s">
        <v>155</v>
      </c>
      <c r="BW3" s="467" t="s">
        <v>167</v>
      </c>
      <c r="BX3" s="467" t="s">
        <v>168</v>
      </c>
      <c r="BY3" s="507" t="s">
        <v>169</v>
      </c>
      <c r="BZ3" s="507" t="s">
        <v>170</v>
      </c>
      <c r="CA3" s="507" t="s">
        <v>171</v>
      </c>
      <c r="CB3" s="507" t="s">
        <v>172</v>
      </c>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row>
    <row r="4" spans="1:106" s="147" customFormat="1" ht="67.5" customHeight="1">
      <c r="A4" s="491"/>
      <c r="B4" s="492"/>
      <c r="C4" s="492"/>
      <c r="D4" s="493"/>
      <c r="E4" s="493"/>
      <c r="F4" s="495"/>
      <c r="G4" s="492"/>
      <c r="H4" s="492"/>
      <c r="I4" s="492"/>
      <c r="J4" s="492"/>
      <c r="K4" s="492"/>
      <c r="L4" s="493"/>
      <c r="M4" s="492"/>
      <c r="N4" s="506"/>
      <c r="O4" s="495"/>
      <c r="P4" s="495"/>
      <c r="Q4" s="492"/>
      <c r="R4" s="494"/>
      <c r="S4" s="492"/>
      <c r="T4" s="492"/>
      <c r="U4" s="203" t="s">
        <v>173</v>
      </c>
      <c r="V4" s="203" t="s">
        <v>174</v>
      </c>
      <c r="W4" s="203" t="s">
        <v>175</v>
      </c>
      <c r="X4" s="203" t="s">
        <v>176</v>
      </c>
      <c r="Y4" s="204" t="s">
        <v>70</v>
      </c>
      <c r="Z4" s="204" t="s">
        <v>177</v>
      </c>
      <c r="AA4" s="204" t="s">
        <v>178</v>
      </c>
      <c r="AB4" s="204" t="s">
        <v>179</v>
      </c>
      <c r="AC4" s="204" t="s">
        <v>180</v>
      </c>
      <c r="AD4" s="204" t="s">
        <v>162</v>
      </c>
      <c r="AE4" s="494"/>
      <c r="AF4" s="494"/>
      <c r="AG4" s="494"/>
      <c r="AH4" s="494"/>
      <c r="AI4" s="494"/>
      <c r="AJ4" s="494"/>
      <c r="AK4" s="494"/>
      <c r="AL4" s="472"/>
      <c r="AM4" s="472"/>
      <c r="AN4" s="472"/>
      <c r="AO4" s="472"/>
      <c r="AP4" s="472"/>
      <c r="AQ4" s="472"/>
      <c r="AR4" s="474"/>
      <c r="AS4" s="472"/>
      <c r="AT4" s="472"/>
      <c r="AU4" s="472"/>
      <c r="AV4" s="474"/>
      <c r="AW4" s="472"/>
      <c r="AX4" s="454"/>
      <c r="AY4" s="503"/>
      <c r="AZ4" s="454"/>
      <c r="BA4" s="454"/>
      <c r="BB4" s="454"/>
      <c r="BC4" s="454"/>
      <c r="BD4" s="454"/>
      <c r="BE4" s="454"/>
      <c r="BF4" s="454"/>
      <c r="BG4" s="454"/>
      <c r="BH4" s="454"/>
      <c r="BI4" s="454"/>
      <c r="BJ4" s="454"/>
      <c r="BK4" s="454"/>
      <c r="BL4" s="454"/>
      <c r="BM4" s="454"/>
      <c r="BN4" s="454"/>
      <c r="BO4" s="454"/>
      <c r="BP4" s="454"/>
      <c r="BQ4" s="454"/>
      <c r="BR4" s="502"/>
      <c r="BS4" s="502"/>
      <c r="BT4" s="502"/>
      <c r="BU4" s="502"/>
      <c r="BV4" s="467"/>
      <c r="BW4" s="467"/>
      <c r="BX4" s="467"/>
      <c r="BY4" s="507"/>
      <c r="BZ4" s="507"/>
      <c r="CA4" s="507"/>
      <c r="CB4" s="507"/>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row>
    <row r="5" spans="1:106" s="149" customFormat="1" ht="141.75" customHeight="1">
      <c r="A5" s="455">
        <v>1</v>
      </c>
      <c r="B5" s="456" t="s">
        <v>72</v>
      </c>
      <c r="C5" s="456" t="s">
        <v>181</v>
      </c>
      <c r="D5" s="456" t="s">
        <v>182</v>
      </c>
      <c r="E5" s="482" t="s">
        <v>79</v>
      </c>
      <c r="F5" s="456" t="s">
        <v>183</v>
      </c>
      <c r="G5" s="456" t="s">
        <v>184</v>
      </c>
      <c r="H5" s="499" t="s">
        <v>185</v>
      </c>
      <c r="I5" s="499" t="s">
        <v>186</v>
      </c>
      <c r="J5" s="500">
        <v>365</v>
      </c>
      <c r="K5" s="479" t="str">
        <f>IF(J5&lt;=0,"",IF(J5&lt;=2,"Muy Baja",IF(J5&lt;=24,"Baja",IF(J5&lt;=500,"Media",IF(J5&lt;=5000,"Alta","Muy Alta")))))</f>
        <v>Media</v>
      </c>
      <c r="L5" s="480">
        <f>IF(K5="","",IF(K5="Muy Baja",0.2,IF(K5="Baja",0.4,IF(K5="Media",0.6,IF(K5="Alta",0.8,IF(K5="Muy Alta",1,))))))</f>
        <v>0.6</v>
      </c>
      <c r="M5" s="475" t="s">
        <v>187</v>
      </c>
      <c r="N5" s="476" t="str">
        <f>IF(NOT(ISERROR(MATCH(M5,'Tabla Impacto'!$B$221:$B$223,0))),'Tabla Impacto'!$F$223&amp;"Por favor no seleccionar los criterios de impacto(Afectación Económica o presupuestal y Pérdida Reputacional)",M5)</f>
        <v xml:space="preserve">     Entre 100 y 500 SMLMV </v>
      </c>
      <c r="O5" s="479" t="str">
        <f>IF(OR(N5='Tabla Impacto'!$C$11,N5='Tabla Impacto'!$D$11),"Leve",IF(OR(N5='Tabla Impacto'!$C$12,N5='Tabla Impacto'!$D$12),"Menor",IF(OR(N5='Tabla Impacto'!$C$13,N5='Tabla Impacto'!$D$13),"Moderado",IF(OR(N5='Tabla Impacto'!$C$14,N5='Tabla Impacto'!$D$14),"Mayor",IF(OR(N5='Tabla Impacto'!$C$15,N5='Tabla Impacto'!$D$15),"Catastrófico","")))))</f>
        <v>Mayor</v>
      </c>
      <c r="P5" s="480">
        <f>IF(O5="","",IF(O5="Leve",0.2,IF(O5="Menor",0.4,IF(O5="Moderado",0.6,IF(O5="Mayor",0.8,IF(O5="Catastrófico",1,))))))</f>
        <v>0.8</v>
      </c>
      <c r="Q5" s="481"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194">
        <v>1</v>
      </c>
      <c r="S5" s="211" t="s">
        <v>188</v>
      </c>
      <c r="T5" s="178" t="str">
        <f t="shared" ref="T5:T37" si="0">IF(OR(Y5="Preventivo",Y5="Detectivo"),"Probabilidad",IF(Y5="Correctivo","Impacto",""))</f>
        <v>Probabilidad</v>
      </c>
      <c r="U5" s="178" t="s">
        <v>189</v>
      </c>
      <c r="V5" s="178" t="s">
        <v>189</v>
      </c>
      <c r="W5" s="178" t="s">
        <v>189</v>
      </c>
      <c r="X5" s="178" t="s">
        <v>189</v>
      </c>
      <c r="Y5" s="206" t="s">
        <v>190</v>
      </c>
      <c r="Z5" s="206" t="s">
        <v>191</v>
      </c>
      <c r="AA5" s="179" t="str">
        <f t="shared" ref="AA5:AA36" si="1">IF(AND(Y5="Preventivo",Z5="Automático"),"50%",IF(AND(Y5="Preventivo",Z5="Manual"),"40%",IF(AND(Y5="Detectivo",Z5="Automático"),"40%",IF(AND(Y5="Detectivo",Z5="Manual"),"30%",IF(AND(Y5="Correctivo",Z5="Automático"),"35%",IF(AND(Y5="Correctivo",Z5="Manual"),"25%",""))))))</f>
        <v>40%</v>
      </c>
      <c r="AB5" s="206" t="s">
        <v>192</v>
      </c>
      <c r="AC5" s="206" t="s">
        <v>193</v>
      </c>
      <c r="AD5" s="206" t="s">
        <v>194</v>
      </c>
      <c r="AE5" s="180">
        <f>IFERROR(IF(T5="Probabilidad",(L5-(+L5*AA5)),IF(T5="Impacto",L5,"")),"")</f>
        <v>0.36</v>
      </c>
      <c r="AF5" s="181" t="str">
        <f>IFERROR(IF(AE5="","",IF(AE5&lt;=0.2,"Muy Baja",IF(AE5&lt;=0.4,"Baja",IF(AE5&lt;=0.6,"Media",IF(AE5&lt;=0.8,"Alta","Muy Alta"))))),"")</f>
        <v>Baja</v>
      </c>
      <c r="AG5" s="179">
        <f t="shared" ref="AG5:AG36" si="2">+AE5</f>
        <v>0.36</v>
      </c>
      <c r="AH5" s="181" t="str">
        <f>IFERROR(IF(AI5="","",IF(AI5&lt;=0.2,"Leve",IF(AI5&lt;=0.4,"Menor",IF(AI5&lt;=0.6,"Moderado",IF(AI5&lt;=0.8,"Mayor","Catastrófico"))))),"")</f>
        <v>Mayor</v>
      </c>
      <c r="AI5" s="179">
        <f>IFERROR(IF(T5="Impacto",(P5-(+P5*AA5)),IF(T5="Probabilidad",P5,"")),"")</f>
        <v>0.8</v>
      </c>
      <c r="AJ5" s="182" t="str">
        <f t="shared" ref="AJ5:AJ36"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463" t="s">
        <v>195</v>
      </c>
      <c r="AL5" s="211" t="s">
        <v>196</v>
      </c>
      <c r="AM5" s="227" t="s">
        <v>197</v>
      </c>
      <c r="AN5" s="228">
        <v>45291</v>
      </c>
      <c r="AO5" s="321" t="s">
        <v>198</v>
      </c>
      <c r="AP5" s="298" t="s">
        <v>199</v>
      </c>
      <c r="AQ5" s="336" t="s">
        <v>200</v>
      </c>
      <c r="AR5" s="337" t="s">
        <v>201</v>
      </c>
      <c r="AS5" s="114"/>
      <c r="AT5" s="142"/>
      <c r="AU5" s="114"/>
      <c r="AV5" s="142"/>
      <c r="AW5" s="173"/>
      <c r="AX5" s="286" t="s">
        <v>202</v>
      </c>
      <c r="AY5" s="324" t="s">
        <v>203</v>
      </c>
      <c r="AZ5" s="324" t="s">
        <v>204</v>
      </c>
      <c r="BA5" s="325" t="s">
        <v>205</v>
      </c>
      <c r="BB5" s="288" t="s">
        <v>206</v>
      </c>
      <c r="BC5" s="336" t="s">
        <v>207</v>
      </c>
      <c r="BD5" s="342" t="s">
        <v>208</v>
      </c>
      <c r="BE5" s="343" t="s">
        <v>204</v>
      </c>
      <c r="BF5" s="344" t="s">
        <v>209</v>
      </c>
      <c r="BG5" s="197" t="s">
        <v>206</v>
      </c>
      <c r="BH5" s="142" t="s">
        <v>210</v>
      </c>
      <c r="BI5" s="142" t="s">
        <v>211</v>
      </c>
      <c r="BJ5" s="385" t="s">
        <v>204</v>
      </c>
      <c r="BK5" s="372" t="s">
        <v>212</v>
      </c>
      <c r="BL5" s="114" t="s">
        <v>206</v>
      </c>
      <c r="BM5" s="142"/>
      <c r="BN5" s="142"/>
      <c r="BO5" s="173"/>
      <c r="BP5" s="114"/>
      <c r="BQ5" s="114"/>
      <c r="BR5" s="177" t="s">
        <v>213</v>
      </c>
      <c r="BS5" s="142"/>
      <c r="BT5" s="142"/>
      <c r="BU5" s="142"/>
      <c r="BV5" s="143" t="s">
        <v>214</v>
      </c>
      <c r="BW5" s="285" t="s">
        <v>215</v>
      </c>
      <c r="BX5" s="285" t="s">
        <v>216</v>
      </c>
      <c r="BY5" s="391" t="s">
        <v>217</v>
      </c>
      <c r="BZ5" s="392" t="s">
        <v>218</v>
      </c>
      <c r="CA5" s="331" t="s">
        <v>219</v>
      </c>
      <c r="CB5" s="331" t="s">
        <v>220</v>
      </c>
    </row>
    <row r="6" spans="1:106" ht="231.4" customHeight="1">
      <c r="A6" s="455"/>
      <c r="B6" s="456"/>
      <c r="C6" s="456"/>
      <c r="D6" s="456"/>
      <c r="E6" s="482"/>
      <c r="F6" s="456"/>
      <c r="G6" s="456"/>
      <c r="H6" s="499"/>
      <c r="I6" s="499"/>
      <c r="J6" s="500"/>
      <c r="K6" s="479"/>
      <c r="L6" s="480"/>
      <c r="M6" s="475"/>
      <c r="N6" s="477"/>
      <c r="O6" s="479"/>
      <c r="P6" s="480"/>
      <c r="Q6" s="481"/>
      <c r="R6" s="194">
        <v>2</v>
      </c>
      <c r="S6" s="211" t="s">
        <v>221</v>
      </c>
      <c r="T6" s="178" t="str">
        <f t="shared" si="0"/>
        <v>Probabilidad</v>
      </c>
      <c r="U6" s="178" t="s">
        <v>189</v>
      </c>
      <c r="V6" s="178" t="s">
        <v>189</v>
      </c>
      <c r="W6" s="178" t="s">
        <v>189</v>
      </c>
      <c r="X6" s="178" t="s">
        <v>189</v>
      </c>
      <c r="Y6" s="206" t="s">
        <v>190</v>
      </c>
      <c r="Z6" s="206" t="s">
        <v>191</v>
      </c>
      <c r="AA6" s="179" t="str">
        <f t="shared" si="1"/>
        <v>40%</v>
      </c>
      <c r="AB6" s="206" t="s">
        <v>192</v>
      </c>
      <c r="AC6" s="206" t="s">
        <v>193</v>
      </c>
      <c r="AD6" s="206" t="s">
        <v>194</v>
      </c>
      <c r="AE6" s="180">
        <f>IFERROR(IF(AND(T5="Probabilidad",T6="Probabilidad"),(AG5-(+AG5*AA6)),IF(T6="Probabilidad",(L5-(+L5*AA6)),IF(T6="Impacto",AG5,""))),"")</f>
        <v>0.216</v>
      </c>
      <c r="AF6" s="181" t="str">
        <f t="shared" ref="AF6:AF64" si="4">IFERROR(IF(AE6="","",IF(AE6&lt;=0.2,"Muy Baja",IF(AE6&lt;=0.4,"Baja",IF(AE6&lt;=0.6,"Media",IF(AE6&lt;=0.8,"Alta","Muy Alta"))))),"")</f>
        <v>Baja</v>
      </c>
      <c r="AG6" s="179">
        <f t="shared" si="2"/>
        <v>0.216</v>
      </c>
      <c r="AH6" s="181" t="str">
        <f t="shared" ref="AH6:AH64" si="5">IFERROR(IF(AI6="","",IF(AI6&lt;=0.2,"Leve",IF(AI6&lt;=0.4,"Menor",IF(AI6&lt;=0.6,"Moderado",IF(AI6&lt;=0.8,"Mayor","Catastrófico"))))),"")</f>
        <v>Mayor</v>
      </c>
      <c r="AI6" s="179">
        <f>IFERROR(IF(AND(T5="Impacto",T6="Impacto"),(AI5-(+AI5*AA6)),IF(T6="Impacto",($P$5-(+$P$5*AA6)),IF(T6="Probabilidad",AI5,""))),"")</f>
        <v>0.8</v>
      </c>
      <c r="AJ6" s="182" t="str">
        <f t="shared" si="3"/>
        <v>Alto</v>
      </c>
      <c r="AK6" s="464"/>
      <c r="AL6" s="211" t="s">
        <v>222</v>
      </c>
      <c r="AM6" s="227" t="s">
        <v>223</v>
      </c>
      <c r="AN6" s="228">
        <v>45291</v>
      </c>
      <c r="AO6" s="299" t="s">
        <v>224</v>
      </c>
      <c r="AP6" s="300" t="s">
        <v>225</v>
      </c>
      <c r="AQ6" s="336" t="s">
        <v>226</v>
      </c>
      <c r="AR6" s="338" t="s">
        <v>227</v>
      </c>
      <c r="AS6" s="143" t="s">
        <v>210</v>
      </c>
      <c r="AT6" s="142" t="s">
        <v>228</v>
      </c>
      <c r="AU6" s="114"/>
      <c r="AV6" s="142"/>
      <c r="AW6" s="173"/>
      <c r="AX6" s="291" t="s">
        <v>202</v>
      </c>
      <c r="AY6" s="289" t="s">
        <v>229</v>
      </c>
      <c r="AZ6" s="320" t="s">
        <v>230</v>
      </c>
      <c r="BA6" s="326" t="s">
        <v>231</v>
      </c>
      <c r="BB6" s="288" t="s">
        <v>206</v>
      </c>
      <c r="BC6" s="345" t="s">
        <v>232</v>
      </c>
      <c r="BD6" s="346" t="s">
        <v>233</v>
      </c>
      <c r="BE6" s="347" t="s">
        <v>230</v>
      </c>
      <c r="BF6" s="344" t="s">
        <v>234</v>
      </c>
      <c r="BG6" s="197" t="s">
        <v>206</v>
      </c>
      <c r="BH6" s="143" t="s">
        <v>210</v>
      </c>
      <c r="BI6" s="142" t="s">
        <v>235</v>
      </c>
      <c r="BJ6" s="371" t="s">
        <v>230</v>
      </c>
      <c r="BK6" s="372" t="s">
        <v>236</v>
      </c>
      <c r="BL6" s="114" t="s">
        <v>206</v>
      </c>
      <c r="BM6" s="142"/>
      <c r="BN6" s="142"/>
      <c r="BO6" s="173"/>
      <c r="BP6" s="114"/>
      <c r="BQ6" s="114"/>
      <c r="BR6" s="177" t="s">
        <v>213</v>
      </c>
      <c r="BS6" s="142"/>
      <c r="BT6" s="142"/>
      <c r="BU6" s="142"/>
      <c r="BV6" s="143" t="s">
        <v>214</v>
      </c>
      <c r="BW6" s="285" t="s">
        <v>237</v>
      </c>
      <c r="BX6" s="285" t="s">
        <v>216</v>
      </c>
      <c r="BY6" s="391" t="s">
        <v>238</v>
      </c>
      <c r="BZ6" s="390" t="s">
        <v>239</v>
      </c>
      <c r="CA6" s="331" t="s">
        <v>240</v>
      </c>
      <c r="CB6" s="331" t="s">
        <v>241</v>
      </c>
      <c r="CC6" s="156"/>
    </row>
    <row r="7" spans="1:106" ht="161.1" customHeight="1">
      <c r="A7" s="455"/>
      <c r="B7" s="456"/>
      <c r="C7" s="456"/>
      <c r="D7" s="456"/>
      <c r="E7" s="482"/>
      <c r="F7" s="456"/>
      <c r="G7" s="456"/>
      <c r="H7" s="499"/>
      <c r="I7" s="499"/>
      <c r="J7" s="500"/>
      <c r="K7" s="479"/>
      <c r="L7" s="480"/>
      <c r="M7" s="475"/>
      <c r="N7" s="477"/>
      <c r="O7" s="479"/>
      <c r="P7" s="480"/>
      <c r="Q7" s="481"/>
      <c r="R7" s="194">
        <v>3</v>
      </c>
      <c r="S7" s="211" t="s">
        <v>242</v>
      </c>
      <c r="T7" s="178" t="str">
        <f t="shared" si="0"/>
        <v>Probabilidad</v>
      </c>
      <c r="U7" s="178" t="s">
        <v>189</v>
      </c>
      <c r="V7" s="178" t="s">
        <v>189</v>
      </c>
      <c r="W7" s="178" t="s">
        <v>189</v>
      </c>
      <c r="X7" s="178" t="s">
        <v>189</v>
      </c>
      <c r="Y7" s="206" t="s">
        <v>190</v>
      </c>
      <c r="Z7" s="206" t="s">
        <v>191</v>
      </c>
      <c r="AA7" s="179" t="str">
        <f t="shared" si="1"/>
        <v>40%</v>
      </c>
      <c r="AB7" s="206" t="s">
        <v>192</v>
      </c>
      <c r="AC7" s="206" t="s">
        <v>193</v>
      </c>
      <c r="AD7" s="206" t="s">
        <v>194</v>
      </c>
      <c r="AE7" s="180">
        <f>IFERROR(IF(AND(T6="Probabilidad",T7="Probabilidad"),(AG6-(+AG6*AA7)),IF(AND(T6="Impacto",T7="Probabilidad"),(AG5-(+AG5*AA7)),IF(T7="Impacto",AG6,""))),"")</f>
        <v>0.12959999999999999</v>
      </c>
      <c r="AF7" s="181" t="str">
        <f t="shared" si="4"/>
        <v>Muy Baja</v>
      </c>
      <c r="AG7" s="179">
        <f t="shared" si="2"/>
        <v>0.12959999999999999</v>
      </c>
      <c r="AH7" s="181" t="str">
        <f t="shared" si="5"/>
        <v>Mayor</v>
      </c>
      <c r="AI7" s="179">
        <f>IFERROR(IF(AND(T6="Impacto",T7="Impacto"),(AI6-(+AI6*AA7)),IF(AND(T6="Probabilidad",T7="Impacto"),(AI5-(+AI5*AA7)),IF(T7="Probabilidad",AI6,""))),"")</f>
        <v>0.8</v>
      </c>
      <c r="AJ7" s="182" t="str">
        <f t="shared" si="3"/>
        <v>Alto</v>
      </c>
      <c r="AK7" s="464"/>
      <c r="AL7" s="211" t="s">
        <v>243</v>
      </c>
      <c r="AM7" s="227" t="s">
        <v>197</v>
      </c>
      <c r="AN7" s="228">
        <v>45291</v>
      </c>
      <c r="AO7" s="299" t="s">
        <v>244</v>
      </c>
      <c r="AP7" s="298" t="s">
        <v>245</v>
      </c>
      <c r="AQ7" s="336" t="s">
        <v>226</v>
      </c>
      <c r="AR7" s="339" t="s">
        <v>246</v>
      </c>
      <c r="AS7" s="143" t="s">
        <v>210</v>
      </c>
      <c r="AT7" s="142" t="s">
        <v>247</v>
      </c>
      <c r="AU7" s="114"/>
      <c r="AV7" s="142"/>
      <c r="AW7" s="173"/>
      <c r="AX7" s="291" t="s">
        <v>202</v>
      </c>
      <c r="AY7" s="289" t="s">
        <v>248</v>
      </c>
      <c r="AZ7" s="289" t="s">
        <v>249</v>
      </c>
      <c r="BA7" s="290" t="s">
        <v>250</v>
      </c>
      <c r="BB7" s="288" t="s">
        <v>206</v>
      </c>
      <c r="BC7" s="348" t="s">
        <v>226</v>
      </c>
      <c r="BD7" s="346" t="s">
        <v>251</v>
      </c>
      <c r="BE7" s="347" t="s">
        <v>249</v>
      </c>
      <c r="BF7" s="344" t="s">
        <v>252</v>
      </c>
      <c r="BG7" s="197" t="s">
        <v>206</v>
      </c>
      <c r="BH7" s="143" t="s">
        <v>210</v>
      </c>
      <c r="BI7" s="142" t="s">
        <v>253</v>
      </c>
      <c r="BJ7" s="371" t="s">
        <v>249</v>
      </c>
      <c r="BK7" s="372" t="s">
        <v>254</v>
      </c>
      <c r="BL7" s="114" t="s">
        <v>206</v>
      </c>
      <c r="BM7" s="142"/>
      <c r="BN7" s="142"/>
      <c r="BO7" s="173"/>
      <c r="BP7" s="114"/>
      <c r="BQ7" s="114"/>
      <c r="BR7" s="177" t="s">
        <v>213</v>
      </c>
      <c r="BS7" s="142"/>
      <c r="BT7" s="142"/>
      <c r="BU7" s="142"/>
      <c r="BV7" s="143" t="s">
        <v>214</v>
      </c>
      <c r="BW7" s="285" t="s">
        <v>237</v>
      </c>
      <c r="BX7" s="285" t="s">
        <v>216</v>
      </c>
      <c r="BY7" s="391" t="s">
        <v>255</v>
      </c>
      <c r="BZ7" s="392" t="s">
        <v>256</v>
      </c>
      <c r="CA7" s="331" t="s">
        <v>257</v>
      </c>
      <c r="CB7" s="331" t="s">
        <v>258</v>
      </c>
    </row>
    <row r="8" spans="1:106" ht="148.5" customHeight="1">
      <c r="A8" s="455"/>
      <c r="B8" s="456"/>
      <c r="C8" s="456"/>
      <c r="D8" s="456"/>
      <c r="E8" s="482"/>
      <c r="F8" s="456"/>
      <c r="G8" s="456"/>
      <c r="H8" s="499"/>
      <c r="I8" s="499"/>
      <c r="J8" s="500"/>
      <c r="K8" s="479"/>
      <c r="L8" s="480"/>
      <c r="M8" s="475"/>
      <c r="N8" s="477"/>
      <c r="O8" s="479"/>
      <c r="P8" s="480"/>
      <c r="Q8" s="481"/>
      <c r="R8" s="194">
        <v>4</v>
      </c>
      <c r="S8" s="205" t="s">
        <v>259</v>
      </c>
      <c r="T8" s="178" t="str">
        <f t="shared" si="0"/>
        <v>Probabilidad</v>
      </c>
      <c r="U8" s="178" t="s">
        <v>189</v>
      </c>
      <c r="V8" s="178" t="s">
        <v>189</v>
      </c>
      <c r="W8" s="178" t="s">
        <v>189</v>
      </c>
      <c r="X8" s="178" t="s">
        <v>189</v>
      </c>
      <c r="Y8" s="206" t="s">
        <v>190</v>
      </c>
      <c r="Z8" s="206" t="s">
        <v>191</v>
      </c>
      <c r="AA8" s="179" t="str">
        <f t="shared" si="1"/>
        <v>40%</v>
      </c>
      <c r="AB8" s="206" t="s">
        <v>192</v>
      </c>
      <c r="AC8" s="206" t="s">
        <v>193</v>
      </c>
      <c r="AD8" s="206" t="s">
        <v>194</v>
      </c>
      <c r="AE8" s="180">
        <f>IFERROR(IF(AND(T7="Probabilidad",T8="Probabilidad"),(AG7-(+AG7*AA8)),IF(AND(T7="Impacto",T8="Probabilidad"),(AG6-(+AG6*AA8)),IF(T8="Impacto",AG7,""))),"")</f>
        <v>7.7759999999999996E-2</v>
      </c>
      <c r="AF8" s="181" t="str">
        <f t="shared" si="4"/>
        <v>Muy Baja</v>
      </c>
      <c r="AG8" s="179">
        <f t="shared" si="2"/>
        <v>7.7759999999999996E-2</v>
      </c>
      <c r="AH8" s="181" t="str">
        <f t="shared" si="5"/>
        <v>Mayor</v>
      </c>
      <c r="AI8" s="179">
        <f>IFERROR(IF(AND(T7="Impacto",T8="Impacto"),(AI7-(+AI7*AA8)),IF(AND(T7="Probabilidad",T8="Impacto"),(AI6-(+AI6*AA8)),IF(T8="Probabilidad",AI7,""))),"")</f>
        <v>0.8</v>
      </c>
      <c r="AJ8" s="182" t="str">
        <f t="shared" si="3"/>
        <v>Alto</v>
      </c>
      <c r="AK8" s="464"/>
      <c r="AL8" s="196"/>
      <c r="AM8" s="194"/>
      <c r="AN8" s="229"/>
      <c r="AO8" s="299" t="s">
        <v>260</v>
      </c>
      <c r="AP8" s="301" t="s">
        <v>260</v>
      </c>
      <c r="AQ8" s="340" t="s">
        <v>260</v>
      </c>
      <c r="AR8" s="310" t="s">
        <v>260</v>
      </c>
      <c r="AS8" s="114"/>
      <c r="AT8" s="142"/>
      <c r="AU8" s="114"/>
      <c r="AV8" s="142"/>
      <c r="AW8" s="173"/>
      <c r="AX8" s="291" t="s">
        <v>261</v>
      </c>
      <c r="AY8" s="289" t="s">
        <v>262</v>
      </c>
      <c r="AZ8" s="292" t="s">
        <v>263</v>
      </c>
      <c r="BA8" s="290" t="s">
        <v>264</v>
      </c>
      <c r="BB8" s="288" t="s">
        <v>206</v>
      </c>
      <c r="BC8" s="341" t="s">
        <v>265</v>
      </c>
      <c r="BD8" s="346" t="s">
        <v>266</v>
      </c>
      <c r="BE8" s="349" t="s">
        <v>263</v>
      </c>
      <c r="BF8" s="344" t="s">
        <v>267</v>
      </c>
      <c r="BG8" s="197" t="s">
        <v>206</v>
      </c>
      <c r="BH8" s="143" t="s">
        <v>210</v>
      </c>
      <c r="BI8" s="386" t="s">
        <v>268</v>
      </c>
      <c r="BJ8" s="373" t="s">
        <v>263</v>
      </c>
      <c r="BK8" s="332" t="s">
        <v>269</v>
      </c>
      <c r="BL8" s="114" t="s">
        <v>206</v>
      </c>
      <c r="BM8" s="142"/>
      <c r="BN8" s="142"/>
      <c r="BO8" s="173"/>
      <c r="BP8" s="114"/>
      <c r="BQ8" s="114"/>
      <c r="BR8" s="177" t="s">
        <v>213</v>
      </c>
      <c r="BS8" s="142"/>
      <c r="BT8" s="142"/>
      <c r="BU8" s="142"/>
      <c r="BV8" s="143" t="s">
        <v>214</v>
      </c>
      <c r="BW8" s="285" t="s">
        <v>237</v>
      </c>
      <c r="BX8" s="142"/>
      <c r="BY8" s="391" t="s">
        <v>270</v>
      </c>
      <c r="BZ8" s="333" t="s">
        <v>271</v>
      </c>
      <c r="CA8" s="392" t="s">
        <v>272</v>
      </c>
      <c r="CB8" s="331" t="s">
        <v>273</v>
      </c>
    </row>
    <row r="9" spans="1:106" ht="7.5" customHeight="1">
      <c r="A9" s="455"/>
      <c r="B9" s="456"/>
      <c r="C9" s="456"/>
      <c r="D9" s="456"/>
      <c r="E9" s="482"/>
      <c r="F9" s="456"/>
      <c r="G9" s="456"/>
      <c r="H9" s="499"/>
      <c r="I9" s="499"/>
      <c r="J9" s="500"/>
      <c r="K9" s="479"/>
      <c r="L9" s="480"/>
      <c r="M9" s="475"/>
      <c r="N9" s="477"/>
      <c r="O9" s="479"/>
      <c r="P9" s="480"/>
      <c r="Q9" s="481"/>
      <c r="R9" s="194">
        <v>5</v>
      </c>
      <c r="S9" s="211"/>
      <c r="T9" s="178" t="str">
        <f t="shared" si="0"/>
        <v/>
      </c>
      <c r="U9" s="178"/>
      <c r="V9" s="178"/>
      <c r="W9" s="178"/>
      <c r="X9" s="178"/>
      <c r="Y9" s="206"/>
      <c r="Z9" s="206"/>
      <c r="AA9" s="179"/>
      <c r="AB9" s="206"/>
      <c r="AC9" s="206"/>
      <c r="AD9" s="206"/>
      <c r="AE9" s="180" t="str">
        <f>IFERROR(IF(AND(T8="Probabilidad",T9="Probabilidad"),(AG8-(+AG8*AA9)),IF(AND(T8="Impacto",T9="Probabilidad"),(AG7-(+AG7*AA9)),IF(T9="Impacto",AG8,""))),"")</f>
        <v/>
      </c>
      <c r="AF9" s="181" t="str">
        <f t="shared" si="4"/>
        <v/>
      </c>
      <c r="AG9" s="179" t="str">
        <f t="shared" si="2"/>
        <v/>
      </c>
      <c r="AH9" s="181" t="str">
        <f t="shared" si="5"/>
        <v/>
      </c>
      <c r="AI9" s="179" t="str">
        <f>IFERROR(IF(AND(T8="Impacto",T9="Impacto"),(AI8-(+AI8*AA9)),IF(AND(T8="Probabilidad",T9="Impacto"),(AI7-(+AI7*AA9)),IF(T9="Probabilidad",AI8,""))),"")</f>
        <v/>
      </c>
      <c r="AJ9" s="182" t="str">
        <f t="shared" si="3"/>
        <v/>
      </c>
      <c r="AK9" s="464"/>
      <c r="AL9" s="196"/>
      <c r="AM9" s="194"/>
      <c r="AN9" s="229"/>
      <c r="AO9" s="299" t="s">
        <v>260</v>
      </c>
      <c r="AP9" s="302" t="s">
        <v>260</v>
      </c>
      <c r="AQ9" s="340" t="s">
        <v>260</v>
      </c>
      <c r="AR9" s="310" t="s">
        <v>260</v>
      </c>
      <c r="AS9" s="114"/>
      <c r="AT9" s="142"/>
      <c r="AU9" s="114"/>
      <c r="AV9" s="142"/>
      <c r="AW9" s="173"/>
      <c r="AX9" s="293" t="s">
        <v>260</v>
      </c>
      <c r="AY9" s="289" t="s">
        <v>260</v>
      </c>
      <c r="AZ9" s="292" t="s">
        <v>260</v>
      </c>
      <c r="BA9" s="292" t="s">
        <v>260</v>
      </c>
      <c r="BB9" s="197"/>
      <c r="BC9" s="341" t="s">
        <v>260</v>
      </c>
      <c r="BD9" s="311" t="s">
        <v>260</v>
      </c>
      <c r="BE9" s="349" t="s">
        <v>260</v>
      </c>
      <c r="BF9" s="350" t="s">
        <v>260</v>
      </c>
      <c r="BG9" s="197"/>
      <c r="BH9" s="142"/>
      <c r="BI9" s="142"/>
      <c r="BJ9" s="173"/>
      <c r="BK9" s="114"/>
      <c r="BL9" s="114"/>
      <c r="BM9" s="142"/>
      <c r="BN9" s="142"/>
      <c r="BO9" s="173"/>
      <c r="BP9" s="114"/>
      <c r="BQ9" s="114"/>
      <c r="BR9" s="143"/>
      <c r="BS9" s="142"/>
      <c r="BT9" s="142"/>
      <c r="BU9" s="142"/>
      <c r="BV9" s="114"/>
      <c r="BW9" s="142"/>
      <c r="BX9" s="142"/>
      <c r="BY9" s="114"/>
      <c r="BZ9" s="142"/>
      <c r="CA9" s="142"/>
      <c r="CB9" s="142"/>
    </row>
    <row r="10" spans="1:106" ht="7.5" customHeight="1">
      <c r="A10" s="455"/>
      <c r="B10" s="456"/>
      <c r="C10" s="456"/>
      <c r="D10" s="456"/>
      <c r="E10" s="482"/>
      <c r="F10" s="456"/>
      <c r="G10" s="456"/>
      <c r="H10" s="499"/>
      <c r="I10" s="499"/>
      <c r="J10" s="500"/>
      <c r="K10" s="479"/>
      <c r="L10" s="480"/>
      <c r="M10" s="475"/>
      <c r="N10" s="478"/>
      <c r="O10" s="479"/>
      <c r="P10" s="480"/>
      <c r="Q10" s="481"/>
      <c r="R10" s="194">
        <v>6</v>
      </c>
      <c r="S10" s="211"/>
      <c r="T10" s="178" t="str">
        <f t="shared" si="0"/>
        <v/>
      </c>
      <c r="U10" s="178"/>
      <c r="V10" s="178"/>
      <c r="W10" s="178"/>
      <c r="X10" s="178"/>
      <c r="Y10" s="206"/>
      <c r="Z10" s="206"/>
      <c r="AA10" s="179"/>
      <c r="AB10" s="206"/>
      <c r="AC10" s="206"/>
      <c r="AD10" s="206"/>
      <c r="AE10" s="180" t="str">
        <f>IFERROR(IF(AND(T9="Probabilidad",T10="Probabilidad"),(AG9-(+AG9*AA10)),IF(AND(T9="Impacto",T10="Probabilidad"),(AG8-(+AG8*AA10)),IF(T10="Impacto",AG9,""))),"")</f>
        <v/>
      </c>
      <c r="AF10" s="181" t="str">
        <f t="shared" si="4"/>
        <v/>
      </c>
      <c r="AG10" s="179" t="str">
        <f t="shared" si="2"/>
        <v/>
      </c>
      <c r="AH10" s="181" t="str">
        <f t="shared" si="5"/>
        <v/>
      </c>
      <c r="AI10" s="179" t="str">
        <f>IFERROR(IF(AND(T9="Impacto",T10="Impacto"),(AI9-(+AI9*AA10)),IF(AND(T9="Probabilidad",T10="Impacto"),(AI8-(+AI8*AA10)),IF(T10="Probabilidad",AI9,""))),"")</f>
        <v/>
      </c>
      <c r="AJ10" s="182" t="str">
        <f t="shared" si="3"/>
        <v/>
      </c>
      <c r="AK10" s="465"/>
      <c r="AL10" s="196"/>
      <c r="AM10" s="194"/>
      <c r="AN10" s="229"/>
      <c r="AO10" s="299" t="s">
        <v>260</v>
      </c>
      <c r="AP10" s="302" t="s">
        <v>260</v>
      </c>
      <c r="AQ10" s="340" t="s">
        <v>260</v>
      </c>
      <c r="AR10" s="310" t="s">
        <v>260</v>
      </c>
      <c r="AS10" s="114"/>
      <c r="AT10" s="142"/>
      <c r="AU10" s="114"/>
      <c r="AV10" s="142"/>
      <c r="AW10" s="173"/>
      <c r="AX10" s="293" t="s">
        <v>260</v>
      </c>
      <c r="AY10" s="289" t="s">
        <v>260</v>
      </c>
      <c r="AZ10" s="292" t="s">
        <v>260</v>
      </c>
      <c r="BA10" s="292" t="s">
        <v>260</v>
      </c>
      <c r="BB10" s="197"/>
      <c r="BC10" s="341" t="s">
        <v>260</v>
      </c>
      <c r="BD10" s="311" t="s">
        <v>260</v>
      </c>
      <c r="BE10" s="349" t="s">
        <v>260</v>
      </c>
      <c r="BF10" s="350" t="s">
        <v>260</v>
      </c>
      <c r="BG10" s="197"/>
      <c r="BH10" s="142"/>
      <c r="BI10" s="142"/>
      <c r="BJ10" s="173"/>
      <c r="BK10" s="114"/>
      <c r="BL10" s="114"/>
      <c r="BM10" s="142"/>
      <c r="BN10" s="142"/>
      <c r="BO10" s="173"/>
      <c r="BP10" s="114"/>
      <c r="BQ10" s="114"/>
      <c r="BR10" s="143"/>
      <c r="BS10" s="142"/>
      <c r="BT10" s="142"/>
      <c r="BU10" s="142"/>
      <c r="BV10" s="114"/>
      <c r="BW10" s="142"/>
      <c r="BX10" s="142"/>
      <c r="BY10" s="114"/>
      <c r="BZ10" s="142"/>
      <c r="CA10" s="142"/>
      <c r="CB10" s="142"/>
    </row>
    <row r="11" spans="1:106" ht="130.5" customHeight="1">
      <c r="A11" s="455">
        <v>2</v>
      </c>
      <c r="B11" s="490" t="s">
        <v>72</v>
      </c>
      <c r="C11" s="490" t="s">
        <v>181</v>
      </c>
      <c r="D11" s="487" t="s">
        <v>182</v>
      </c>
      <c r="E11" s="487" t="s">
        <v>102</v>
      </c>
      <c r="F11" s="487" t="s">
        <v>183</v>
      </c>
      <c r="G11" s="487" t="s">
        <v>274</v>
      </c>
      <c r="H11" s="487" t="s">
        <v>275</v>
      </c>
      <c r="I11" s="483" t="s">
        <v>186</v>
      </c>
      <c r="J11" s="455">
        <v>25</v>
      </c>
      <c r="K11" s="479" t="str">
        <f>IF(J11&lt;=0,"",IF(J11&lt;=2,"Muy Baja",IF(J11&lt;=24,"Baja",IF(J11&lt;=500,"Media",IF(J11&lt;=5000,"Alta","Muy Alta")))))</f>
        <v>Media</v>
      </c>
      <c r="L11" s="480">
        <f>IF(K11="","",IF(K11="Muy Baja",0.2,IF(K11="Baja",0.4,IF(K11="Media",0.6,IF(K11="Alta",0.8,IF(K11="Muy Alta",1,))))))</f>
        <v>0.6</v>
      </c>
      <c r="M11" s="486" t="s">
        <v>187</v>
      </c>
      <c r="N11" s="476" t="str">
        <f>IF(NOT(ISERROR(MATCH(M11,'Tabla Impacto'!$B$221:$B$223,0))),'Tabla Impacto'!$F$223&amp;"Por favor no seleccionar los criterios de impacto(Afectación Económica o presupuestal y Pérdida Reputacional)",M11)</f>
        <v xml:space="preserve">     Entre 100 y 500 SMLMV </v>
      </c>
      <c r="O11" s="479" t="str">
        <f>IF(OR(N11='Tabla Impacto'!$C$11,N11='Tabla Impacto'!$D$11),"Leve",IF(OR(N11='Tabla Impacto'!$C$12,N11='Tabla Impacto'!$D$12),"Menor",IF(OR(N11='Tabla Impacto'!$C$13,N11='Tabla Impacto'!$D$13),"Moderado",IF(OR(N11='Tabla Impacto'!$C$14,N11='Tabla Impacto'!$D$14),"Mayor",IF(OR(N11='Tabla Impacto'!$C$15,N11='Tabla Impacto'!$D$15),"Catastrófico","")))))</f>
        <v>Mayor</v>
      </c>
      <c r="P11" s="480">
        <f>IF(O11="","",IF(O11="Leve",0.2,IF(O11="Menor",0.4,IF(O11="Moderado",0.6,IF(O11="Mayor",0.8,IF(O11="Catastrófico",1,))))))</f>
        <v>0.8</v>
      </c>
      <c r="Q11" s="481"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194">
        <v>1</v>
      </c>
      <c r="S11" s="211" t="s">
        <v>276</v>
      </c>
      <c r="T11" s="178" t="str">
        <f t="shared" si="0"/>
        <v>Probabilidad</v>
      </c>
      <c r="U11" s="225" t="s">
        <v>189</v>
      </c>
      <c r="V11" s="225" t="s">
        <v>189</v>
      </c>
      <c r="W11" s="225" t="s">
        <v>189</v>
      </c>
      <c r="X11" s="225" t="s">
        <v>189</v>
      </c>
      <c r="Y11" s="226" t="s">
        <v>190</v>
      </c>
      <c r="Z11" s="226" t="s">
        <v>191</v>
      </c>
      <c r="AA11" s="179" t="str">
        <f t="shared" si="1"/>
        <v>40%</v>
      </c>
      <c r="AB11" s="226" t="s">
        <v>192</v>
      </c>
      <c r="AC11" s="226" t="s">
        <v>193</v>
      </c>
      <c r="AD11" s="226" t="s">
        <v>194</v>
      </c>
      <c r="AE11" s="183">
        <f>IFERROR(IF(T11="Probabilidad",(L11-(+L11*AA11)),IF(T11="Impacto",L11,"")),"")</f>
        <v>0.36</v>
      </c>
      <c r="AF11" s="181" t="str">
        <f>IFERROR(IF(AE11="","",IF(AE11&lt;=0.2,"Muy Baja",IF(AE11&lt;=0.4,"Baja",IF(AE11&lt;=0.6,"Media",IF(AE11&lt;=0.8,"Alta","Muy Alta"))))),"")</f>
        <v>Baja</v>
      </c>
      <c r="AG11" s="179">
        <f t="shared" si="2"/>
        <v>0.36</v>
      </c>
      <c r="AH11" s="181" t="str">
        <f>IFERROR(IF(AI11="","",IF(AI11&lt;=0.2,"Leve",IF(AI11&lt;=0.4,"Menor",IF(AI11&lt;=0.6,"Moderado",IF(AI11&lt;=0.8,"Mayor","Catastrófico"))))),"")</f>
        <v>Mayor</v>
      </c>
      <c r="AI11" s="179">
        <f>IFERROR(IF(T11="Impacto",(P11-(+P11*AA11)),IF(T11="Probabilidad",P11,"")),"")</f>
        <v>0.8</v>
      </c>
      <c r="AJ11" s="182" t="str">
        <f t="shared" si="3"/>
        <v>Alto</v>
      </c>
      <c r="AK11" s="468" t="s">
        <v>195</v>
      </c>
      <c r="AL11" s="227" t="s">
        <v>277</v>
      </c>
      <c r="AM11" s="227" t="s">
        <v>278</v>
      </c>
      <c r="AN11" s="228">
        <v>45291</v>
      </c>
      <c r="AO11" s="299" t="s">
        <v>279</v>
      </c>
      <c r="AP11" s="303" t="s">
        <v>280</v>
      </c>
      <c r="AQ11" s="341" t="s">
        <v>281</v>
      </c>
      <c r="AR11" s="302" t="s">
        <v>282</v>
      </c>
      <c r="AS11" s="387" t="s">
        <v>210</v>
      </c>
      <c r="AT11" s="158" t="s">
        <v>283</v>
      </c>
      <c r="AU11" s="159"/>
      <c r="AV11" s="158"/>
      <c r="AW11" s="157"/>
      <c r="AX11" s="291" t="s">
        <v>261</v>
      </c>
      <c r="AY11" s="294" t="s">
        <v>284</v>
      </c>
      <c r="AZ11" s="295" t="s">
        <v>285</v>
      </c>
      <c r="BA11" s="292" t="s">
        <v>286</v>
      </c>
      <c r="BB11" s="296" t="s">
        <v>206</v>
      </c>
      <c r="BC11" s="341" t="s">
        <v>265</v>
      </c>
      <c r="BD11" s="303" t="s">
        <v>287</v>
      </c>
      <c r="BE11" s="351" t="s">
        <v>285</v>
      </c>
      <c r="BF11" s="352" t="s">
        <v>288</v>
      </c>
      <c r="BG11" s="296" t="s">
        <v>206</v>
      </c>
      <c r="BH11" s="143" t="s">
        <v>210</v>
      </c>
      <c r="BI11" s="158" t="s">
        <v>289</v>
      </c>
      <c r="BJ11" s="373" t="s">
        <v>263</v>
      </c>
      <c r="BK11" s="374" t="s">
        <v>290</v>
      </c>
      <c r="BL11" s="159" t="s">
        <v>206</v>
      </c>
      <c r="BM11" s="158"/>
      <c r="BN11" s="158"/>
      <c r="BO11" s="157"/>
      <c r="BP11" s="159"/>
      <c r="BQ11" s="159"/>
      <c r="BR11" s="176"/>
      <c r="BS11" s="158"/>
      <c r="BT11" s="158"/>
      <c r="BU11" s="158"/>
      <c r="BV11" s="143" t="s">
        <v>214</v>
      </c>
      <c r="BW11" s="285" t="s">
        <v>237</v>
      </c>
      <c r="BX11" s="142" t="s">
        <v>291</v>
      </c>
      <c r="BY11" s="391" t="s">
        <v>255</v>
      </c>
      <c r="BZ11" s="393" t="s">
        <v>292</v>
      </c>
      <c r="CA11" s="331" t="s">
        <v>293</v>
      </c>
      <c r="CB11" s="333" t="s">
        <v>294</v>
      </c>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row>
    <row r="12" spans="1:106" ht="16.5" customHeight="1">
      <c r="A12" s="455"/>
      <c r="B12" s="703"/>
      <c r="C12" s="703"/>
      <c r="D12" s="488"/>
      <c r="E12" s="488"/>
      <c r="F12" s="488"/>
      <c r="G12" s="488"/>
      <c r="H12" s="488"/>
      <c r="I12" s="484"/>
      <c r="J12" s="455"/>
      <c r="K12" s="479"/>
      <c r="L12" s="480"/>
      <c r="M12" s="703"/>
      <c r="N12" s="477"/>
      <c r="O12" s="479"/>
      <c r="P12" s="480"/>
      <c r="Q12" s="481"/>
      <c r="R12" s="194">
        <v>2</v>
      </c>
      <c r="S12" s="205"/>
      <c r="T12" s="178" t="str">
        <f t="shared" si="0"/>
        <v/>
      </c>
      <c r="U12" s="178"/>
      <c r="V12" s="178"/>
      <c r="W12" s="178"/>
      <c r="X12" s="178"/>
      <c r="Y12" s="206"/>
      <c r="Z12" s="206"/>
      <c r="AA12" s="179" t="str">
        <f t="shared" si="1"/>
        <v/>
      </c>
      <c r="AB12" s="206"/>
      <c r="AC12" s="206"/>
      <c r="AD12" s="206"/>
      <c r="AE12" s="183" t="str">
        <f>IFERROR(IF(AND(T11="Probabilidad",T12="Probabilidad"),(AG11-(+AG11*AA12)),IF(T12="Probabilidad",(L11-(+L11*AA12)),IF(T12="Impacto",AG11,""))),"")</f>
        <v/>
      </c>
      <c r="AF12" s="181" t="str">
        <f t="shared" si="4"/>
        <v/>
      </c>
      <c r="AG12" s="179" t="str">
        <f t="shared" si="2"/>
        <v/>
      </c>
      <c r="AH12" s="181" t="str">
        <f t="shared" si="5"/>
        <v/>
      </c>
      <c r="AI12" s="179" t="str">
        <f>IFERROR(IF(AND(T11="Impacto",T12="Impacto"),(AI5-(+AI5*AA12)),IF(T12="Impacto",($P$11-(+$P$11*AA12)),IF(T12="Probabilidad",AI5,""))),"")</f>
        <v/>
      </c>
      <c r="AJ12" s="182" t="str">
        <f t="shared" si="3"/>
        <v/>
      </c>
      <c r="AK12" s="703"/>
      <c r="AL12" s="196"/>
      <c r="AM12" s="194"/>
      <c r="AN12" s="197"/>
      <c r="AO12" s="197"/>
      <c r="AP12" s="196"/>
      <c r="AQ12" s="197"/>
      <c r="AR12" s="196"/>
      <c r="AS12" s="114"/>
      <c r="AT12" s="142"/>
      <c r="AU12" s="114"/>
      <c r="AV12" s="142"/>
      <c r="AW12" s="173"/>
      <c r="AX12" s="196"/>
      <c r="AY12" s="297"/>
      <c r="AZ12" s="194"/>
      <c r="BA12" s="197"/>
      <c r="BB12" s="197"/>
      <c r="BC12" s="196"/>
      <c r="BD12" s="196"/>
      <c r="BE12" s="194"/>
      <c r="BF12" s="197"/>
      <c r="BG12" s="197"/>
      <c r="BH12" s="142"/>
      <c r="BI12" s="142"/>
      <c r="BJ12" s="173"/>
      <c r="BK12" s="114"/>
      <c r="BL12" s="114"/>
      <c r="BM12" s="142"/>
      <c r="BN12" s="142"/>
      <c r="BO12" s="173"/>
      <c r="BP12" s="114"/>
      <c r="BQ12" s="114"/>
      <c r="BR12" s="143"/>
      <c r="BS12" s="142"/>
      <c r="BT12" s="142"/>
      <c r="BU12" s="142"/>
      <c r="BV12" s="114"/>
      <c r="BW12" s="142"/>
      <c r="BX12" s="142"/>
      <c r="BY12" s="114"/>
      <c r="BZ12" s="142"/>
      <c r="CA12" s="173"/>
      <c r="CB12" s="142"/>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row>
    <row r="13" spans="1:106" ht="16.5" customHeight="1">
      <c r="A13" s="455"/>
      <c r="B13" s="703"/>
      <c r="C13" s="703"/>
      <c r="D13" s="488"/>
      <c r="E13" s="488"/>
      <c r="F13" s="488"/>
      <c r="G13" s="488"/>
      <c r="H13" s="488"/>
      <c r="I13" s="484"/>
      <c r="J13" s="455"/>
      <c r="K13" s="479"/>
      <c r="L13" s="480"/>
      <c r="M13" s="703"/>
      <c r="N13" s="477"/>
      <c r="O13" s="479"/>
      <c r="P13" s="480"/>
      <c r="Q13" s="481"/>
      <c r="R13" s="194">
        <v>3</v>
      </c>
      <c r="S13" s="205"/>
      <c r="T13" s="178" t="str">
        <f t="shared" si="0"/>
        <v/>
      </c>
      <c r="U13" s="178"/>
      <c r="V13" s="178"/>
      <c r="W13" s="178"/>
      <c r="X13" s="178"/>
      <c r="Y13" s="206"/>
      <c r="Z13" s="206"/>
      <c r="AA13" s="179" t="str">
        <f t="shared" si="1"/>
        <v/>
      </c>
      <c r="AB13" s="206"/>
      <c r="AC13" s="206"/>
      <c r="AD13" s="206"/>
      <c r="AE13" s="183" t="str">
        <f>IFERROR(IF(AND(T12="Probabilidad",T13="Probabilidad"),(AG12-(+AG12*AA13)),IF(AND(T12="Impacto",T13="Probabilidad"),(AG11-(+AG11*AA13)),IF(T13="Impacto",AG12,""))),"")</f>
        <v/>
      </c>
      <c r="AF13" s="181" t="str">
        <f t="shared" si="4"/>
        <v/>
      </c>
      <c r="AG13" s="179" t="str">
        <f t="shared" si="2"/>
        <v/>
      </c>
      <c r="AH13" s="181" t="str">
        <f t="shared" si="5"/>
        <v/>
      </c>
      <c r="AI13" s="179" t="str">
        <f>IFERROR(IF(AND(T12="Impacto",T13="Impacto"),(AI12-(+AI12*AA13)),IF(AND(T12="Probabilidad",T13="Impacto"),(AI11-(+AI11*AA13)),IF(T13="Probabilidad",AI12,""))),"")</f>
        <v/>
      </c>
      <c r="AJ13" s="182" t="str">
        <f t="shared" si="3"/>
        <v/>
      </c>
      <c r="AK13" s="703"/>
      <c r="AL13" s="196"/>
      <c r="AM13" s="194"/>
      <c r="AN13" s="197"/>
      <c r="AO13" s="197"/>
      <c r="AP13" s="196"/>
      <c r="AQ13" s="197"/>
      <c r="AR13" s="196"/>
      <c r="AS13" s="114"/>
      <c r="AT13" s="142"/>
      <c r="AU13" s="114"/>
      <c r="AV13" s="142"/>
      <c r="AW13" s="173"/>
      <c r="AX13" s="196"/>
      <c r="AY13" s="297"/>
      <c r="AZ13" s="194"/>
      <c r="BA13" s="197"/>
      <c r="BB13" s="197"/>
      <c r="BC13" s="196"/>
      <c r="BD13" s="196"/>
      <c r="BE13" s="194"/>
      <c r="BF13" s="197"/>
      <c r="BG13" s="197"/>
      <c r="BH13" s="142"/>
      <c r="BI13" s="142"/>
      <c r="BJ13" s="173"/>
      <c r="BK13" s="114"/>
      <c r="BL13" s="114"/>
      <c r="BM13" s="142"/>
      <c r="BN13" s="142"/>
      <c r="BO13" s="173"/>
      <c r="BP13" s="114"/>
      <c r="BQ13" s="114"/>
      <c r="BR13" s="143"/>
      <c r="BS13" s="142"/>
      <c r="BT13" s="142"/>
      <c r="BU13" s="142"/>
      <c r="BV13" s="114"/>
      <c r="BW13" s="142"/>
      <c r="BX13" s="142"/>
      <c r="BY13" s="114"/>
      <c r="BZ13" s="142"/>
      <c r="CA13" s="173"/>
      <c r="CB13" s="142"/>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row>
    <row r="14" spans="1:106" ht="16.5" customHeight="1">
      <c r="A14" s="455"/>
      <c r="B14" s="703"/>
      <c r="C14" s="703"/>
      <c r="D14" s="488"/>
      <c r="E14" s="488"/>
      <c r="F14" s="488"/>
      <c r="G14" s="488"/>
      <c r="H14" s="488"/>
      <c r="I14" s="484"/>
      <c r="J14" s="455"/>
      <c r="K14" s="479"/>
      <c r="L14" s="480"/>
      <c r="M14" s="703"/>
      <c r="N14" s="477"/>
      <c r="O14" s="479"/>
      <c r="P14" s="480"/>
      <c r="Q14" s="481"/>
      <c r="R14" s="194">
        <v>4</v>
      </c>
      <c r="S14" s="205"/>
      <c r="T14" s="178" t="str">
        <f t="shared" si="0"/>
        <v/>
      </c>
      <c r="U14" s="178"/>
      <c r="V14" s="178"/>
      <c r="W14" s="178"/>
      <c r="X14" s="178"/>
      <c r="Y14" s="206"/>
      <c r="Z14" s="206"/>
      <c r="AA14" s="179" t="str">
        <f t="shared" si="1"/>
        <v/>
      </c>
      <c r="AB14" s="206"/>
      <c r="AC14" s="206"/>
      <c r="AD14" s="206"/>
      <c r="AE14" s="183" t="str">
        <f>IFERROR(IF(AND(T13="Probabilidad",T14="Probabilidad"),(AG13-(+AG13*AA14)),IF(AND(T13="Impacto",T14="Probabilidad"),(AG12-(+AG12*AA14)),IF(T14="Impacto",AG13,""))),"")</f>
        <v/>
      </c>
      <c r="AF14" s="181" t="str">
        <f t="shared" si="4"/>
        <v/>
      </c>
      <c r="AG14" s="179" t="str">
        <f t="shared" si="2"/>
        <v/>
      </c>
      <c r="AH14" s="181" t="str">
        <f t="shared" si="5"/>
        <v/>
      </c>
      <c r="AI14" s="179" t="str">
        <f>IFERROR(IF(AND(T13="Impacto",T14="Impacto"),(AI13-(+AI13*AA14)),IF(AND(T13="Probabilidad",T14="Impacto"),(AI12-(+AI12*AA14)),IF(T14="Probabilidad",AI13,""))),"")</f>
        <v/>
      </c>
      <c r="AJ14" s="182" t="str">
        <f t="shared" si="3"/>
        <v/>
      </c>
      <c r="AK14" s="703"/>
      <c r="AL14" s="196"/>
      <c r="AM14" s="194"/>
      <c r="AN14" s="197"/>
      <c r="AO14" s="197"/>
      <c r="AP14" s="196"/>
      <c r="AQ14" s="197"/>
      <c r="AR14" s="196"/>
      <c r="AS14" s="114"/>
      <c r="AT14" s="142"/>
      <c r="AU14" s="114"/>
      <c r="AV14" s="142"/>
      <c r="AW14" s="173"/>
      <c r="AX14" s="196"/>
      <c r="AY14" s="297"/>
      <c r="AZ14" s="194"/>
      <c r="BA14" s="197"/>
      <c r="BB14" s="197"/>
      <c r="BC14" s="196"/>
      <c r="BD14" s="196"/>
      <c r="BE14" s="194"/>
      <c r="BF14" s="197"/>
      <c r="BG14" s="197"/>
      <c r="BH14" s="142"/>
      <c r="BI14" s="142"/>
      <c r="BJ14" s="173"/>
      <c r="BK14" s="114"/>
      <c r="BL14" s="114"/>
      <c r="BM14" s="142"/>
      <c r="BN14" s="142"/>
      <c r="BO14" s="173"/>
      <c r="BP14" s="114"/>
      <c r="BQ14" s="114"/>
      <c r="BR14" s="143"/>
      <c r="BS14" s="142"/>
      <c r="BT14" s="142"/>
      <c r="BU14" s="142"/>
      <c r="BV14" s="114"/>
      <c r="BW14" s="142"/>
      <c r="BX14" s="142"/>
      <c r="BY14" s="114"/>
      <c r="BZ14" s="142"/>
      <c r="CA14" s="173"/>
      <c r="CB14" s="142"/>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row>
    <row r="15" spans="1:106" ht="16.5" customHeight="1">
      <c r="A15" s="455"/>
      <c r="B15" s="703"/>
      <c r="C15" s="703"/>
      <c r="D15" s="488"/>
      <c r="E15" s="488"/>
      <c r="F15" s="488"/>
      <c r="G15" s="488"/>
      <c r="H15" s="488"/>
      <c r="I15" s="484"/>
      <c r="J15" s="455"/>
      <c r="K15" s="479"/>
      <c r="L15" s="480"/>
      <c r="M15" s="703"/>
      <c r="N15" s="477"/>
      <c r="O15" s="479"/>
      <c r="P15" s="480"/>
      <c r="Q15" s="481"/>
      <c r="R15" s="194">
        <v>5</v>
      </c>
      <c r="S15" s="205"/>
      <c r="T15" s="178" t="str">
        <f t="shared" si="0"/>
        <v/>
      </c>
      <c r="U15" s="178"/>
      <c r="V15" s="178"/>
      <c r="W15" s="178"/>
      <c r="X15" s="178"/>
      <c r="Y15" s="206"/>
      <c r="Z15" s="206"/>
      <c r="AA15" s="179" t="str">
        <f t="shared" si="1"/>
        <v/>
      </c>
      <c r="AB15" s="206"/>
      <c r="AC15" s="206"/>
      <c r="AD15" s="206"/>
      <c r="AE15" s="183" t="str">
        <f>IFERROR(IF(AND(T14="Probabilidad",T15="Probabilidad"),(AG14-(+AG14*AA15)),IF(AND(T14="Impacto",T15="Probabilidad"),(AG13-(+AG13*AA15)),IF(T15="Impacto",AG14,""))),"")</f>
        <v/>
      </c>
      <c r="AF15" s="181" t="str">
        <f t="shared" si="4"/>
        <v/>
      </c>
      <c r="AG15" s="179" t="str">
        <f t="shared" si="2"/>
        <v/>
      </c>
      <c r="AH15" s="181" t="str">
        <f t="shared" si="5"/>
        <v/>
      </c>
      <c r="AI15" s="179" t="str">
        <f>IFERROR(IF(AND(T14="Impacto",T15="Impacto"),(AI14-(+AI14*AA15)),IF(AND(T14="Probabilidad",T15="Impacto"),(AI13-(+AI13*AA15)),IF(T15="Probabilidad",AI14,""))),"")</f>
        <v/>
      </c>
      <c r="AJ15" s="182" t="str">
        <f t="shared" si="3"/>
        <v/>
      </c>
      <c r="AK15" s="703"/>
      <c r="AL15" s="196"/>
      <c r="AM15" s="194"/>
      <c r="AN15" s="197"/>
      <c r="AO15" s="197"/>
      <c r="AP15" s="196"/>
      <c r="AQ15" s="197"/>
      <c r="AR15" s="196"/>
      <c r="AS15" s="114"/>
      <c r="AT15" s="142"/>
      <c r="AU15" s="114"/>
      <c r="AV15" s="142"/>
      <c r="AW15" s="173"/>
      <c r="AX15" s="196"/>
      <c r="AY15" s="297"/>
      <c r="AZ15" s="194"/>
      <c r="BA15" s="197"/>
      <c r="BB15" s="197"/>
      <c r="BC15" s="196"/>
      <c r="BD15" s="196"/>
      <c r="BE15" s="194"/>
      <c r="BF15" s="197"/>
      <c r="BG15" s="197"/>
      <c r="BH15" s="142"/>
      <c r="BI15" s="142"/>
      <c r="BJ15" s="173"/>
      <c r="BK15" s="114"/>
      <c r="BL15" s="114"/>
      <c r="BM15" s="142"/>
      <c r="BN15" s="142"/>
      <c r="BO15" s="173"/>
      <c r="BP15" s="114"/>
      <c r="BQ15" s="114"/>
      <c r="BR15" s="143"/>
      <c r="BS15" s="142"/>
      <c r="BT15" s="142"/>
      <c r="BU15" s="142"/>
      <c r="BV15" s="114"/>
      <c r="BW15" s="142"/>
      <c r="BX15" s="142"/>
      <c r="BY15" s="114"/>
      <c r="BZ15" s="142"/>
      <c r="CA15" s="173"/>
      <c r="CB15" s="142"/>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row>
    <row r="16" spans="1:106" ht="16.5" customHeight="1">
      <c r="A16" s="455"/>
      <c r="B16" s="704"/>
      <c r="C16" s="704"/>
      <c r="D16" s="489"/>
      <c r="E16" s="489"/>
      <c r="F16" s="489"/>
      <c r="G16" s="489"/>
      <c r="H16" s="489"/>
      <c r="I16" s="485"/>
      <c r="J16" s="455"/>
      <c r="K16" s="479"/>
      <c r="L16" s="480"/>
      <c r="M16" s="704"/>
      <c r="N16" s="478"/>
      <c r="O16" s="479"/>
      <c r="P16" s="480"/>
      <c r="Q16" s="481"/>
      <c r="R16" s="194">
        <v>6</v>
      </c>
      <c r="S16" s="205"/>
      <c r="T16" s="178" t="str">
        <f t="shared" si="0"/>
        <v/>
      </c>
      <c r="U16" s="178"/>
      <c r="V16" s="178"/>
      <c r="W16" s="178"/>
      <c r="X16" s="178"/>
      <c r="Y16" s="206"/>
      <c r="Z16" s="206"/>
      <c r="AA16" s="179" t="str">
        <f t="shared" si="1"/>
        <v/>
      </c>
      <c r="AB16" s="206"/>
      <c r="AC16" s="206"/>
      <c r="AD16" s="206"/>
      <c r="AE16" s="183" t="str">
        <f>IFERROR(IF(AND(T15="Probabilidad",T16="Probabilidad"),(AG15-(+AG15*AA16)),IF(AND(T15="Impacto",T16="Probabilidad"),(AG14-(+AG14*AA16)),IF(T16="Impacto",AG15,""))),"")</f>
        <v/>
      </c>
      <c r="AF16" s="181" t="str">
        <f t="shared" si="4"/>
        <v/>
      </c>
      <c r="AG16" s="179" t="str">
        <f t="shared" si="2"/>
        <v/>
      </c>
      <c r="AH16" s="181" t="str">
        <f t="shared" si="5"/>
        <v/>
      </c>
      <c r="AI16" s="179" t="str">
        <f>IFERROR(IF(AND(T15="Impacto",T16="Impacto"),(AI15-(+AI15*AA16)),IF(AND(T15="Probabilidad",T16="Impacto"),(AI14-(+AI14*AA16)),IF(T16="Probabilidad",AI15,""))),"")</f>
        <v/>
      </c>
      <c r="AJ16" s="182" t="str">
        <f t="shared" si="3"/>
        <v/>
      </c>
      <c r="AK16" s="704"/>
      <c r="AL16" s="196"/>
      <c r="AM16" s="194"/>
      <c r="AN16" s="197"/>
      <c r="AO16" s="197"/>
      <c r="AP16" s="196"/>
      <c r="AQ16" s="197"/>
      <c r="AR16" s="196"/>
      <c r="AS16" s="114"/>
      <c r="AT16" s="142"/>
      <c r="AU16" s="114"/>
      <c r="AV16" s="142"/>
      <c r="AW16" s="173"/>
      <c r="AX16" s="196"/>
      <c r="AY16" s="297"/>
      <c r="AZ16" s="194"/>
      <c r="BA16" s="197"/>
      <c r="BB16" s="197"/>
      <c r="BC16" s="196"/>
      <c r="BD16" s="196"/>
      <c r="BE16" s="194"/>
      <c r="BF16" s="197"/>
      <c r="BG16" s="197"/>
      <c r="BH16" s="142"/>
      <c r="BI16" s="142"/>
      <c r="BJ16" s="173"/>
      <c r="BK16" s="114"/>
      <c r="BL16" s="114"/>
      <c r="BM16" s="142"/>
      <c r="BN16" s="142"/>
      <c r="BO16" s="173"/>
      <c r="BP16" s="114"/>
      <c r="BQ16" s="114"/>
      <c r="BR16" s="143"/>
      <c r="BS16" s="142"/>
      <c r="BT16" s="142"/>
      <c r="BU16" s="142"/>
      <c r="BV16" s="114"/>
      <c r="BW16" s="142"/>
      <c r="BX16" s="142"/>
      <c r="BY16" s="114"/>
      <c r="BZ16" s="142"/>
      <c r="CA16" s="173"/>
      <c r="CB16" s="142"/>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row>
    <row r="17" spans="1:106" ht="27" customHeight="1">
      <c r="A17" s="455">
        <v>3</v>
      </c>
      <c r="B17" s="456"/>
      <c r="C17" s="456"/>
      <c r="D17" s="456"/>
      <c r="E17" s="482"/>
      <c r="F17" s="456"/>
      <c r="G17" s="456"/>
      <c r="H17" s="456"/>
      <c r="I17" s="456"/>
      <c r="J17" s="455"/>
      <c r="K17" s="479" t="str">
        <f>IF(J17&lt;=0,"",IF(J17&lt;=2,"Muy Baja",IF(J17&lt;=24,"Baja",IF(J17&lt;=500,"Media",IF(J17&lt;=5000,"Alta","Muy Alta")))))</f>
        <v/>
      </c>
      <c r="L17" s="480" t="str">
        <f>IF(K17="","",IF(K17="Muy Baja",0.2,IF(K17="Baja",0.4,IF(K17="Media",0.6,IF(K17="Alta",0.8,IF(K17="Muy Alta",1,))))))</f>
        <v/>
      </c>
      <c r="M17" s="475"/>
      <c r="N17" s="476">
        <f>IF(NOT(ISERROR(MATCH(M17,'Tabla Impacto'!$B$221:$B$223,0))),'Tabla Impacto'!$F$223&amp;"Por favor no seleccionar los criterios de impacto(Afectación Económica o presupuestal y Pérdida Reputacional)",M17)</f>
        <v>0</v>
      </c>
      <c r="O17" s="479" t="str">
        <f>IF(OR(N17='Tabla Impacto'!$C$11,N17='Tabla Impacto'!$D$11),"Leve",IF(OR(N17='Tabla Impacto'!$C$12,N17='Tabla Impacto'!$D$12),"Menor",IF(OR(N17='Tabla Impacto'!$C$13,N17='Tabla Impacto'!$D$13),"Moderado",IF(OR(N17='Tabla Impacto'!$C$14,N17='Tabla Impacto'!$D$14),"Mayor",IF(OR(N17='Tabla Impacto'!$C$15,N17='Tabla Impacto'!$D$15),"Catastrófico","")))))</f>
        <v/>
      </c>
      <c r="P17" s="480" t="str">
        <f>IF(O17="","",IF(O17="Leve",0.2,IF(O17="Menor",0.4,IF(O17="Moderado",0.6,IF(O17="Mayor",0.8,IF(O17="Catastrófico",1,))))))</f>
        <v/>
      </c>
      <c r="Q17" s="481"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94">
        <v>1</v>
      </c>
      <c r="S17" s="205"/>
      <c r="T17" s="178" t="str">
        <f t="shared" si="0"/>
        <v/>
      </c>
      <c r="U17" s="178"/>
      <c r="V17" s="178"/>
      <c r="W17" s="178"/>
      <c r="X17" s="178"/>
      <c r="Y17" s="206"/>
      <c r="Z17" s="206"/>
      <c r="AA17" s="179" t="str">
        <f t="shared" si="1"/>
        <v/>
      </c>
      <c r="AB17" s="206"/>
      <c r="AC17" s="206"/>
      <c r="AD17" s="206"/>
      <c r="AE17" s="183" t="str">
        <f>IFERROR(IF(T17="Probabilidad",(L17-(+L17*AA17)),IF(T17="Impacto",L17,"")),"")</f>
        <v/>
      </c>
      <c r="AF17" s="181" t="str">
        <f>IFERROR(IF(AE17="","",IF(AE17&lt;=0.2,"Muy Baja",IF(AE17&lt;=0.4,"Baja",IF(AE17&lt;=0.6,"Media",IF(AE17&lt;=0.8,"Alta","Muy Alta"))))),"")</f>
        <v/>
      </c>
      <c r="AG17" s="179" t="str">
        <f t="shared" si="2"/>
        <v/>
      </c>
      <c r="AH17" s="181" t="str">
        <f>IFERROR(IF(AI17="","",IF(AI17&lt;=0.2,"Leve",IF(AI17&lt;=0.4,"Menor",IF(AI17&lt;=0.6,"Moderado",IF(AI17&lt;=0.8,"Mayor","Catastrófico"))))),"")</f>
        <v/>
      </c>
      <c r="AI17" s="179" t="str">
        <f>IFERROR(IF(T17="Impacto",(P17-(+P17*AA17)),IF(T17="Probabilidad",P17,"")),"")</f>
        <v/>
      </c>
      <c r="AJ17" s="182" t="str">
        <f t="shared" si="3"/>
        <v/>
      </c>
      <c r="AK17" s="469"/>
      <c r="AL17" s="196"/>
      <c r="AM17" s="196"/>
      <c r="AN17" s="230"/>
      <c r="AO17" s="230"/>
      <c r="AP17" s="196"/>
      <c r="AQ17" s="230"/>
      <c r="AR17" s="196"/>
      <c r="AS17" s="143"/>
      <c r="AT17" s="142"/>
      <c r="AU17" s="143"/>
      <c r="AV17" s="142"/>
      <c r="AW17" s="142"/>
      <c r="AX17" s="196"/>
      <c r="AY17" s="297"/>
      <c r="AZ17" s="196"/>
      <c r="BA17" s="230"/>
      <c r="BB17" s="230"/>
      <c r="BC17" s="196"/>
      <c r="BD17" s="196"/>
      <c r="BE17" s="196"/>
      <c r="BF17" s="230"/>
      <c r="BG17" s="230"/>
      <c r="BH17" s="142"/>
      <c r="BI17" s="142"/>
      <c r="BJ17" s="142"/>
      <c r="BK17" s="143"/>
      <c r="BL17" s="143"/>
      <c r="BM17" s="142"/>
      <c r="BN17" s="142"/>
      <c r="BO17" s="142"/>
      <c r="BP17" s="143"/>
      <c r="BQ17" s="143"/>
      <c r="BR17" s="143"/>
      <c r="BS17" s="142"/>
      <c r="BT17" s="142"/>
      <c r="BU17" s="142"/>
      <c r="BV17" s="143"/>
      <c r="BW17" s="142"/>
      <c r="BX17" s="142"/>
      <c r="BY17" s="143"/>
      <c r="BZ17" s="142"/>
      <c r="CA17" s="142"/>
      <c r="CB17" s="142"/>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row>
    <row r="18" spans="1:106" ht="16.5" customHeight="1">
      <c r="A18" s="455"/>
      <c r="B18" s="456"/>
      <c r="C18" s="456"/>
      <c r="D18" s="456"/>
      <c r="E18" s="482"/>
      <c r="F18" s="456"/>
      <c r="G18" s="456"/>
      <c r="H18" s="456"/>
      <c r="I18" s="456"/>
      <c r="J18" s="455"/>
      <c r="K18" s="479"/>
      <c r="L18" s="480"/>
      <c r="M18" s="475"/>
      <c r="N18" s="477"/>
      <c r="O18" s="479"/>
      <c r="P18" s="480"/>
      <c r="Q18" s="481"/>
      <c r="R18" s="194">
        <v>2</v>
      </c>
      <c r="S18" s="205"/>
      <c r="T18" s="178" t="str">
        <f t="shared" si="0"/>
        <v/>
      </c>
      <c r="U18" s="178"/>
      <c r="V18" s="178"/>
      <c r="W18" s="178"/>
      <c r="X18" s="178"/>
      <c r="Y18" s="206"/>
      <c r="Z18" s="206"/>
      <c r="AA18" s="179" t="str">
        <f t="shared" si="1"/>
        <v/>
      </c>
      <c r="AB18" s="206"/>
      <c r="AC18" s="206"/>
      <c r="AD18" s="206"/>
      <c r="AE18" s="180" t="str">
        <f>IFERROR(IF(AND(T17="Probabilidad",T18="Probabilidad"),(AG17-(+AG17*AA18)),IF(T18="Probabilidad",(L17-(+L17*AA18)),IF(T18="Impacto",AG17,""))),"")</f>
        <v/>
      </c>
      <c r="AF18" s="181" t="str">
        <f t="shared" si="4"/>
        <v/>
      </c>
      <c r="AG18" s="179" t="str">
        <f t="shared" si="2"/>
        <v/>
      </c>
      <c r="AH18" s="181" t="str">
        <f t="shared" si="5"/>
        <v/>
      </c>
      <c r="AI18" s="179" t="str">
        <f>IFERROR(IF(AND(T17="Impacto",T18="Impacto"),(AI11-(+AI11*AA18)),IF(T18="Impacto",($P$17-(+$P$17*AA18)),IF(T18="Probabilidad",AI11,""))),"")</f>
        <v/>
      </c>
      <c r="AJ18" s="182" t="str">
        <f t="shared" si="3"/>
        <v/>
      </c>
      <c r="AK18" s="470"/>
      <c r="AL18" s="196"/>
      <c r="AM18" s="196"/>
      <c r="AN18" s="230"/>
      <c r="AO18" s="230"/>
      <c r="AP18" s="196"/>
      <c r="AQ18" s="230"/>
      <c r="AR18" s="196"/>
      <c r="AS18" s="143"/>
      <c r="AT18" s="142"/>
      <c r="AU18" s="143"/>
      <c r="AV18" s="142"/>
      <c r="AW18" s="142"/>
      <c r="AX18" s="196"/>
      <c r="AY18" s="297"/>
      <c r="AZ18" s="196"/>
      <c r="BA18" s="230"/>
      <c r="BB18" s="230"/>
      <c r="BC18" s="196"/>
      <c r="BD18" s="196"/>
      <c r="BE18" s="196"/>
      <c r="BF18" s="230"/>
      <c r="BG18" s="230"/>
      <c r="BH18" s="142"/>
      <c r="BI18" s="142"/>
      <c r="BJ18" s="142"/>
      <c r="BK18" s="143"/>
      <c r="BL18" s="143"/>
      <c r="BM18" s="142"/>
      <c r="BN18" s="142"/>
      <c r="BO18" s="142"/>
      <c r="BP18" s="143"/>
      <c r="BQ18" s="143"/>
      <c r="BR18" s="143"/>
      <c r="BS18" s="142"/>
      <c r="BT18" s="142"/>
      <c r="BU18" s="142"/>
      <c r="BV18" s="143"/>
      <c r="BW18" s="142"/>
      <c r="BX18" s="142"/>
      <c r="BY18" s="143"/>
      <c r="BZ18" s="142"/>
      <c r="CA18" s="142"/>
      <c r="CB18" s="142"/>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row>
    <row r="19" spans="1:106" ht="16.5" customHeight="1">
      <c r="A19" s="455"/>
      <c r="B19" s="456"/>
      <c r="C19" s="456"/>
      <c r="D19" s="456"/>
      <c r="E19" s="482"/>
      <c r="F19" s="456"/>
      <c r="G19" s="456"/>
      <c r="H19" s="456"/>
      <c r="I19" s="456"/>
      <c r="J19" s="455"/>
      <c r="K19" s="479"/>
      <c r="L19" s="480"/>
      <c r="M19" s="475"/>
      <c r="N19" s="477"/>
      <c r="O19" s="479"/>
      <c r="P19" s="480"/>
      <c r="Q19" s="481"/>
      <c r="R19" s="194">
        <v>3</v>
      </c>
      <c r="S19" s="205"/>
      <c r="T19" s="178" t="str">
        <f t="shared" si="0"/>
        <v/>
      </c>
      <c r="U19" s="178"/>
      <c r="V19" s="178"/>
      <c r="W19" s="178"/>
      <c r="X19" s="178"/>
      <c r="Y19" s="206"/>
      <c r="Z19" s="206"/>
      <c r="AA19" s="179" t="str">
        <f t="shared" si="1"/>
        <v/>
      </c>
      <c r="AB19" s="206"/>
      <c r="AC19" s="206"/>
      <c r="AD19" s="206"/>
      <c r="AE19" s="183" t="str">
        <f>IFERROR(IF(AND(T18="Probabilidad",T19="Probabilidad"),(AG18-(+AG18*AA19)),IF(AND(T18="Impacto",T19="Probabilidad"),(AG17-(+AG17*AA19)),IF(T19="Impacto",AG18,""))),"")</f>
        <v/>
      </c>
      <c r="AF19" s="181" t="str">
        <f t="shared" si="4"/>
        <v/>
      </c>
      <c r="AG19" s="179" t="str">
        <f t="shared" si="2"/>
        <v/>
      </c>
      <c r="AH19" s="181" t="str">
        <f t="shared" si="5"/>
        <v/>
      </c>
      <c r="AI19" s="179" t="str">
        <f>IFERROR(IF(AND(T18="Impacto",T19="Impacto"),(AI18-(+AI18*AA19)),IF(AND(T18="Probabilidad",T19="Impacto"),(AI17-(+AI17*AA19)),IF(T19="Probabilidad",AI18,""))),"")</f>
        <v/>
      </c>
      <c r="AJ19" s="182" t="str">
        <f t="shared" si="3"/>
        <v/>
      </c>
      <c r="AK19" s="470"/>
      <c r="AL19" s="196"/>
      <c r="AM19" s="196"/>
      <c r="AN19" s="230"/>
      <c r="AO19" s="230"/>
      <c r="AP19" s="196"/>
      <c r="AQ19" s="230"/>
      <c r="AR19" s="196"/>
      <c r="AS19" s="143"/>
      <c r="AT19" s="142"/>
      <c r="AU19" s="143"/>
      <c r="AV19" s="142"/>
      <c r="AW19" s="142"/>
      <c r="AX19" s="196"/>
      <c r="AY19" s="297"/>
      <c r="AZ19" s="196"/>
      <c r="BA19" s="230"/>
      <c r="BB19" s="230"/>
      <c r="BC19" s="196"/>
      <c r="BD19" s="196"/>
      <c r="BE19" s="196"/>
      <c r="BF19" s="230"/>
      <c r="BG19" s="230"/>
      <c r="BH19" s="142"/>
      <c r="BI19" s="142"/>
      <c r="BJ19" s="142"/>
      <c r="BK19" s="143"/>
      <c r="BL19" s="143"/>
      <c r="BM19" s="142"/>
      <c r="BN19" s="142"/>
      <c r="BO19" s="142"/>
      <c r="BP19" s="143"/>
      <c r="BQ19" s="143"/>
      <c r="BR19" s="143"/>
      <c r="BS19" s="142"/>
      <c r="BT19" s="142"/>
      <c r="BU19" s="142"/>
      <c r="BV19" s="143"/>
      <c r="BW19" s="142"/>
      <c r="BX19" s="142"/>
      <c r="BY19" s="143"/>
      <c r="BZ19" s="142"/>
      <c r="CA19" s="142"/>
      <c r="CB19" s="142"/>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row>
    <row r="20" spans="1:106" ht="16.5" customHeight="1">
      <c r="A20" s="455"/>
      <c r="B20" s="456"/>
      <c r="C20" s="456"/>
      <c r="D20" s="456"/>
      <c r="E20" s="482"/>
      <c r="F20" s="456"/>
      <c r="G20" s="456"/>
      <c r="H20" s="456"/>
      <c r="I20" s="456"/>
      <c r="J20" s="455"/>
      <c r="K20" s="479"/>
      <c r="L20" s="480"/>
      <c r="M20" s="475"/>
      <c r="N20" s="477"/>
      <c r="O20" s="479"/>
      <c r="P20" s="480"/>
      <c r="Q20" s="481"/>
      <c r="R20" s="194">
        <v>4</v>
      </c>
      <c r="S20" s="205"/>
      <c r="T20" s="178" t="str">
        <f t="shared" si="0"/>
        <v/>
      </c>
      <c r="U20" s="178"/>
      <c r="V20" s="178"/>
      <c r="W20" s="178"/>
      <c r="X20" s="178"/>
      <c r="Y20" s="206"/>
      <c r="Z20" s="206"/>
      <c r="AA20" s="179" t="str">
        <f t="shared" si="1"/>
        <v/>
      </c>
      <c r="AB20" s="206"/>
      <c r="AC20" s="206"/>
      <c r="AD20" s="206"/>
      <c r="AE20" s="183" t="str">
        <f>IFERROR(IF(AND(T19="Probabilidad",T20="Probabilidad"),(AG19-(+AG19*AA20)),IF(AND(T19="Impacto",T20="Probabilidad"),(AG18-(+AG18*AA20)),IF(T20="Impacto",AG19,""))),"")</f>
        <v/>
      </c>
      <c r="AF20" s="181" t="str">
        <f t="shared" si="4"/>
        <v/>
      </c>
      <c r="AG20" s="179" t="str">
        <f t="shared" si="2"/>
        <v/>
      </c>
      <c r="AH20" s="181" t="str">
        <f t="shared" si="5"/>
        <v/>
      </c>
      <c r="AI20" s="179" t="str">
        <f>IFERROR(IF(AND(T19="Impacto",T20="Impacto"),(AI19-(+AI19*AA20)),IF(AND(T19="Probabilidad",T20="Impacto"),(AI18-(+AI18*AA20)),IF(T20="Probabilidad",AI19,""))),"")</f>
        <v/>
      </c>
      <c r="AJ20" s="182" t="str">
        <f t="shared" si="3"/>
        <v/>
      </c>
      <c r="AK20" s="470"/>
      <c r="AL20" s="196"/>
      <c r="AM20" s="196"/>
      <c r="AN20" s="230"/>
      <c r="AO20" s="230"/>
      <c r="AP20" s="196"/>
      <c r="AQ20" s="230"/>
      <c r="AR20" s="196"/>
      <c r="AS20" s="143"/>
      <c r="AT20" s="142"/>
      <c r="AU20" s="143"/>
      <c r="AV20" s="142"/>
      <c r="AW20" s="142"/>
      <c r="AX20" s="196"/>
      <c r="AY20" s="297"/>
      <c r="AZ20" s="196"/>
      <c r="BA20" s="230"/>
      <c r="BB20" s="230"/>
      <c r="BC20" s="196"/>
      <c r="BD20" s="196"/>
      <c r="BE20" s="196"/>
      <c r="BF20" s="230"/>
      <c r="BG20" s="230"/>
      <c r="BH20" s="142"/>
      <c r="BI20" s="142"/>
      <c r="BJ20" s="142"/>
      <c r="BK20" s="143"/>
      <c r="BL20" s="143"/>
      <c r="BM20" s="142"/>
      <c r="BN20" s="142"/>
      <c r="BO20" s="142"/>
      <c r="BP20" s="143"/>
      <c r="BQ20" s="143"/>
      <c r="BR20" s="143"/>
      <c r="BS20" s="142"/>
      <c r="BT20" s="142"/>
      <c r="BU20" s="142"/>
      <c r="BV20" s="143"/>
      <c r="BW20" s="142"/>
      <c r="BX20" s="142"/>
      <c r="BY20" s="143"/>
      <c r="BZ20" s="142"/>
      <c r="CA20" s="142"/>
      <c r="CB20" s="142"/>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row>
    <row r="21" spans="1:106" ht="16.5" customHeight="1">
      <c r="A21" s="455"/>
      <c r="B21" s="456"/>
      <c r="C21" s="456"/>
      <c r="D21" s="456"/>
      <c r="E21" s="482"/>
      <c r="F21" s="456"/>
      <c r="G21" s="456"/>
      <c r="H21" s="456"/>
      <c r="I21" s="456"/>
      <c r="J21" s="455"/>
      <c r="K21" s="479"/>
      <c r="L21" s="480"/>
      <c r="M21" s="475"/>
      <c r="N21" s="477"/>
      <c r="O21" s="479"/>
      <c r="P21" s="480"/>
      <c r="Q21" s="481"/>
      <c r="R21" s="194">
        <v>5</v>
      </c>
      <c r="S21" s="205"/>
      <c r="T21" s="178" t="str">
        <f t="shared" si="0"/>
        <v/>
      </c>
      <c r="U21" s="178"/>
      <c r="V21" s="178"/>
      <c r="W21" s="178"/>
      <c r="X21" s="178"/>
      <c r="Y21" s="206"/>
      <c r="Z21" s="206"/>
      <c r="AA21" s="179" t="str">
        <f t="shared" si="1"/>
        <v/>
      </c>
      <c r="AB21" s="206"/>
      <c r="AC21" s="206"/>
      <c r="AD21" s="206"/>
      <c r="AE21" s="183" t="str">
        <f>IFERROR(IF(AND(T20="Probabilidad",T21="Probabilidad"),(AG20-(+AG20*AA21)),IF(AND(T20="Impacto",T21="Probabilidad"),(AG19-(+AG19*AA21)),IF(T21="Impacto",AG20,""))),"")</f>
        <v/>
      </c>
      <c r="AF21" s="181" t="str">
        <f t="shared" si="4"/>
        <v/>
      </c>
      <c r="AG21" s="179" t="str">
        <f t="shared" si="2"/>
        <v/>
      </c>
      <c r="AH21" s="181" t="str">
        <f t="shared" si="5"/>
        <v/>
      </c>
      <c r="AI21" s="179" t="str">
        <f>IFERROR(IF(AND(T20="Impacto",T21="Impacto"),(AI20-(+AI20*AA21)),IF(AND(T20="Probabilidad",T21="Impacto"),(AI19-(+AI19*AA21)),IF(T21="Probabilidad",AI20,""))),"")</f>
        <v/>
      </c>
      <c r="AJ21" s="182" t="str">
        <f t="shared" si="3"/>
        <v/>
      </c>
      <c r="AK21" s="470"/>
      <c r="AL21" s="196"/>
      <c r="AM21" s="196"/>
      <c r="AN21" s="230"/>
      <c r="AO21" s="230"/>
      <c r="AP21" s="196"/>
      <c r="AQ21" s="230"/>
      <c r="AR21" s="196"/>
      <c r="AS21" s="143"/>
      <c r="AT21" s="142"/>
      <c r="AU21" s="143"/>
      <c r="AV21" s="142"/>
      <c r="AW21" s="142"/>
      <c r="AX21" s="196"/>
      <c r="AY21" s="297"/>
      <c r="AZ21" s="196"/>
      <c r="BA21" s="230"/>
      <c r="BB21" s="230"/>
      <c r="BC21" s="196"/>
      <c r="BD21" s="196"/>
      <c r="BE21" s="196"/>
      <c r="BF21" s="230"/>
      <c r="BG21" s="230"/>
      <c r="BH21" s="142"/>
      <c r="BI21" s="142"/>
      <c r="BJ21" s="142"/>
      <c r="BK21" s="143"/>
      <c r="BL21" s="143"/>
      <c r="BM21" s="142"/>
      <c r="BN21" s="142"/>
      <c r="BO21" s="142"/>
      <c r="BP21" s="143"/>
      <c r="BQ21" s="143"/>
      <c r="BR21" s="143"/>
      <c r="BS21" s="142"/>
      <c r="BT21" s="142"/>
      <c r="BU21" s="142"/>
      <c r="BV21" s="143"/>
      <c r="BW21" s="142"/>
      <c r="BX21" s="142"/>
      <c r="BY21" s="143"/>
      <c r="BZ21" s="142"/>
      <c r="CA21" s="142"/>
      <c r="CB21" s="142"/>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row>
    <row r="22" spans="1:106" ht="16.5" customHeight="1">
      <c r="A22" s="455"/>
      <c r="B22" s="456"/>
      <c r="C22" s="456"/>
      <c r="D22" s="456"/>
      <c r="E22" s="482"/>
      <c r="F22" s="456"/>
      <c r="G22" s="456"/>
      <c r="H22" s="456"/>
      <c r="I22" s="456"/>
      <c r="J22" s="455"/>
      <c r="K22" s="479"/>
      <c r="L22" s="480"/>
      <c r="M22" s="475"/>
      <c r="N22" s="478"/>
      <c r="O22" s="479"/>
      <c r="P22" s="480"/>
      <c r="Q22" s="481"/>
      <c r="R22" s="194">
        <v>6</v>
      </c>
      <c r="S22" s="205"/>
      <c r="T22" s="178" t="str">
        <f t="shared" si="0"/>
        <v/>
      </c>
      <c r="U22" s="178"/>
      <c r="V22" s="178"/>
      <c r="W22" s="178"/>
      <c r="X22" s="178"/>
      <c r="Y22" s="206"/>
      <c r="Z22" s="206"/>
      <c r="AA22" s="179" t="str">
        <f t="shared" si="1"/>
        <v/>
      </c>
      <c r="AB22" s="206"/>
      <c r="AC22" s="206"/>
      <c r="AD22" s="206"/>
      <c r="AE22" s="183" t="str">
        <f>IFERROR(IF(AND(T21="Probabilidad",T22="Probabilidad"),(AG21-(+AG21*AA22)),IF(AND(T21="Impacto",T22="Probabilidad"),(AG20-(+AG20*AA22)),IF(T22="Impacto",AG21,""))),"")</f>
        <v/>
      </c>
      <c r="AF22" s="181" t="str">
        <f t="shared" si="4"/>
        <v/>
      </c>
      <c r="AG22" s="179" t="str">
        <f t="shared" si="2"/>
        <v/>
      </c>
      <c r="AH22" s="181" t="str">
        <f t="shared" si="5"/>
        <v/>
      </c>
      <c r="AI22" s="179" t="str">
        <f>IFERROR(IF(AND(T21="Impacto",T22="Impacto"),(AI21-(+AI21*AA22)),IF(AND(T21="Probabilidad",T22="Impacto"),(AI20-(+AI20*AA22)),IF(T22="Probabilidad",AI21,""))),"")</f>
        <v/>
      </c>
      <c r="AJ22" s="182" t="str">
        <f t="shared" si="3"/>
        <v/>
      </c>
      <c r="AK22" s="471"/>
      <c r="AL22" s="196"/>
      <c r="AM22" s="196"/>
      <c r="AN22" s="230"/>
      <c r="AO22" s="230"/>
      <c r="AP22" s="196"/>
      <c r="AQ22" s="230"/>
      <c r="AR22" s="196"/>
      <c r="AS22" s="143"/>
      <c r="AT22" s="142"/>
      <c r="AU22" s="143"/>
      <c r="AV22" s="142"/>
      <c r="AW22" s="142"/>
      <c r="AX22" s="196"/>
      <c r="AY22" s="297"/>
      <c r="AZ22" s="196"/>
      <c r="BA22" s="230"/>
      <c r="BB22" s="230"/>
      <c r="BC22" s="196"/>
      <c r="BD22" s="196"/>
      <c r="BE22" s="196"/>
      <c r="BF22" s="230"/>
      <c r="BG22" s="230"/>
      <c r="BH22" s="142"/>
      <c r="BI22" s="142"/>
      <c r="BJ22" s="142"/>
      <c r="BK22" s="143"/>
      <c r="BL22" s="143"/>
      <c r="BM22" s="142"/>
      <c r="BN22" s="142"/>
      <c r="BO22" s="142"/>
      <c r="BP22" s="143"/>
      <c r="BQ22" s="143"/>
      <c r="BR22" s="143"/>
      <c r="BS22" s="142"/>
      <c r="BT22" s="142"/>
      <c r="BU22" s="142"/>
      <c r="BV22" s="143"/>
      <c r="BW22" s="142"/>
      <c r="BX22" s="142"/>
      <c r="BY22" s="143"/>
      <c r="BZ22" s="142"/>
      <c r="CA22" s="142"/>
      <c r="CB22" s="142"/>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row>
    <row r="23" spans="1:106" ht="16.5" customHeight="1">
      <c r="A23" s="455">
        <v>4</v>
      </c>
      <c r="B23" s="456"/>
      <c r="C23" s="456"/>
      <c r="D23" s="456"/>
      <c r="E23" s="482"/>
      <c r="F23" s="456"/>
      <c r="G23" s="456"/>
      <c r="H23" s="456"/>
      <c r="I23" s="456"/>
      <c r="J23" s="455"/>
      <c r="K23" s="479" t="str">
        <f>IF(J23&lt;=0,"",IF(J23&lt;=2,"Muy Baja",IF(J23&lt;=24,"Baja",IF(J23&lt;=500,"Media",IF(J23&lt;=5000,"Alta","Muy Alta")))))</f>
        <v/>
      </c>
      <c r="L23" s="480" t="str">
        <f>IF(K23="","",IF(K23="Muy Baja",0.2,IF(K23="Baja",0.4,IF(K23="Media",0.6,IF(K23="Alta",0.8,IF(K23="Muy Alta",1,))))))</f>
        <v/>
      </c>
      <c r="M23" s="475"/>
      <c r="N23" s="476">
        <f>IF(NOT(ISERROR(MATCH(M23,'Tabla Impacto'!$B$221:$B$223,0))),'Tabla Impacto'!$F$223&amp;"Por favor no seleccionar los criterios de impacto(Afectación Económica o presupuestal y Pérdida Reputacional)",M23)</f>
        <v>0</v>
      </c>
      <c r="O23" s="479" t="str">
        <f>IF(OR(N23='Tabla Impacto'!$C$11,N23='Tabla Impacto'!$D$11),"Leve",IF(OR(N23='Tabla Impacto'!$C$12,N23='Tabla Impacto'!$D$12),"Menor",IF(OR(N23='Tabla Impacto'!$C$13,N23='Tabla Impacto'!$D$13),"Moderado",IF(OR(N23='Tabla Impacto'!$C$14,N23='Tabla Impacto'!$D$14),"Mayor",IF(OR(N23='Tabla Impacto'!$C$15,N23='Tabla Impacto'!$D$15),"Catastrófico","")))))</f>
        <v/>
      </c>
      <c r="P23" s="480" t="str">
        <f>IF(O23="","",IF(O23="Leve",0.2,IF(O23="Menor",0.4,IF(O23="Moderado",0.6,IF(O23="Mayor",0.8,IF(O23="Catastrófico",1,))))))</f>
        <v/>
      </c>
      <c r="Q23" s="481"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94">
        <v>1</v>
      </c>
      <c r="S23" s="205"/>
      <c r="T23" s="178" t="str">
        <f t="shared" si="0"/>
        <v/>
      </c>
      <c r="U23" s="178"/>
      <c r="V23" s="178"/>
      <c r="W23" s="178"/>
      <c r="X23" s="178"/>
      <c r="Y23" s="206"/>
      <c r="Z23" s="206"/>
      <c r="AA23" s="179" t="str">
        <f t="shared" si="1"/>
        <v/>
      </c>
      <c r="AB23" s="206"/>
      <c r="AC23" s="206"/>
      <c r="AD23" s="206"/>
      <c r="AE23" s="183" t="str">
        <f>IFERROR(IF(T23="Probabilidad",(L23-(+L23*AA23)),IF(T23="Impacto",L23,"")),"")</f>
        <v/>
      </c>
      <c r="AF23" s="181" t="str">
        <f>IFERROR(IF(AE23="","",IF(AE23&lt;=0.2,"Muy Baja",IF(AE23&lt;=0.4,"Baja",IF(AE23&lt;=0.6,"Media",IF(AE23&lt;=0.8,"Alta","Muy Alta"))))),"")</f>
        <v/>
      </c>
      <c r="AG23" s="179" t="str">
        <f t="shared" si="2"/>
        <v/>
      </c>
      <c r="AH23" s="181" t="str">
        <f>IFERROR(IF(AI23="","",IF(AI23&lt;=0.2,"Leve",IF(AI23&lt;=0.4,"Menor",IF(AI23&lt;=0.6,"Moderado",IF(AI23&lt;=0.8,"Mayor","Catastrófico"))))),"")</f>
        <v/>
      </c>
      <c r="AI23" s="179" t="str">
        <f>IFERROR(IF(T23="Impacto",(P23-(+P23*AA23)),IF(T23="Probabilidad",P23,"")),"")</f>
        <v/>
      </c>
      <c r="AJ23" s="182" t="str">
        <f t="shared" si="3"/>
        <v/>
      </c>
      <c r="AK23" s="463"/>
      <c r="AL23" s="196"/>
      <c r="AM23" s="194"/>
      <c r="AN23" s="197"/>
      <c r="AO23" s="197"/>
      <c r="AP23" s="196"/>
      <c r="AQ23" s="197"/>
      <c r="AR23" s="196"/>
      <c r="AS23" s="114"/>
      <c r="AT23" s="142"/>
      <c r="AU23" s="114"/>
      <c r="AV23" s="142"/>
      <c r="AW23" s="173"/>
      <c r="AX23" s="196"/>
      <c r="AY23" s="297"/>
      <c r="AZ23" s="194"/>
      <c r="BA23" s="197"/>
      <c r="BB23" s="197"/>
      <c r="BC23" s="196"/>
      <c r="BD23" s="196"/>
      <c r="BE23" s="194"/>
      <c r="BF23" s="197"/>
      <c r="BG23" s="197"/>
      <c r="BH23" s="142"/>
      <c r="BI23" s="142"/>
      <c r="BJ23" s="173"/>
      <c r="BK23" s="114"/>
      <c r="BL23" s="114"/>
      <c r="BM23" s="142"/>
      <c r="BN23" s="142"/>
      <c r="BO23" s="173"/>
      <c r="BP23" s="114"/>
      <c r="BQ23" s="114"/>
      <c r="BR23" s="143"/>
      <c r="BS23" s="142"/>
      <c r="BT23" s="142"/>
      <c r="BU23" s="142"/>
      <c r="BV23" s="114"/>
      <c r="BW23" s="142"/>
      <c r="BX23" s="142"/>
      <c r="BY23" s="114"/>
      <c r="BZ23" s="142"/>
      <c r="CA23" s="173"/>
      <c r="CB23" s="142"/>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row>
    <row r="24" spans="1:106" ht="16.5" customHeight="1">
      <c r="A24" s="455"/>
      <c r="B24" s="456"/>
      <c r="C24" s="456"/>
      <c r="D24" s="456"/>
      <c r="E24" s="482"/>
      <c r="F24" s="456"/>
      <c r="G24" s="456"/>
      <c r="H24" s="456"/>
      <c r="I24" s="456"/>
      <c r="J24" s="455"/>
      <c r="K24" s="479"/>
      <c r="L24" s="480"/>
      <c r="M24" s="475"/>
      <c r="N24" s="477"/>
      <c r="O24" s="479"/>
      <c r="P24" s="480"/>
      <c r="Q24" s="481"/>
      <c r="R24" s="194">
        <v>2</v>
      </c>
      <c r="S24" s="205"/>
      <c r="T24" s="178" t="str">
        <f t="shared" si="0"/>
        <v/>
      </c>
      <c r="U24" s="178"/>
      <c r="V24" s="178"/>
      <c r="W24" s="178"/>
      <c r="X24" s="178"/>
      <c r="Y24" s="206"/>
      <c r="Z24" s="206"/>
      <c r="AA24" s="179" t="str">
        <f t="shared" si="1"/>
        <v/>
      </c>
      <c r="AB24" s="206"/>
      <c r="AC24" s="206"/>
      <c r="AD24" s="206"/>
      <c r="AE24" s="183" t="str">
        <f>IFERROR(IF(AND(T23="Probabilidad",T24="Probabilidad"),(AG23-(+AG23*AA24)),IF(T24="Probabilidad",(L23-(+L23*AA24)),IF(T24="Impacto",AG23,""))),"")</f>
        <v/>
      </c>
      <c r="AF24" s="181" t="str">
        <f t="shared" si="4"/>
        <v/>
      </c>
      <c r="AG24" s="179" t="str">
        <f t="shared" si="2"/>
        <v/>
      </c>
      <c r="AH24" s="181" t="str">
        <f t="shared" si="5"/>
        <v/>
      </c>
      <c r="AI24" s="179" t="str">
        <f>IFERROR(IF(AND(T23="Impacto",T24="Impacto"),(AI17-(+AI17*AA24)),IF(T24="Impacto",($P$23-(+$P$23*AA24)),IF(T24="Probabilidad",AI17,""))),"")</f>
        <v/>
      </c>
      <c r="AJ24" s="182" t="str">
        <f t="shared" si="3"/>
        <v/>
      </c>
      <c r="AK24" s="464"/>
      <c r="AL24" s="196"/>
      <c r="AM24" s="194"/>
      <c r="AN24" s="197"/>
      <c r="AO24" s="197"/>
      <c r="AP24" s="196"/>
      <c r="AQ24" s="197"/>
      <c r="AR24" s="196"/>
      <c r="AS24" s="114"/>
      <c r="AT24" s="142"/>
      <c r="AU24" s="114"/>
      <c r="AV24" s="142"/>
      <c r="AW24" s="173"/>
      <c r="AX24" s="196"/>
      <c r="AY24" s="297"/>
      <c r="AZ24" s="194"/>
      <c r="BA24" s="197"/>
      <c r="BB24" s="197"/>
      <c r="BC24" s="196"/>
      <c r="BD24" s="196"/>
      <c r="BE24" s="194"/>
      <c r="BF24" s="197"/>
      <c r="BG24" s="197"/>
      <c r="BH24" s="142"/>
      <c r="BI24" s="142"/>
      <c r="BJ24" s="173"/>
      <c r="BK24" s="114"/>
      <c r="BL24" s="114"/>
      <c r="BM24" s="142"/>
      <c r="BN24" s="142"/>
      <c r="BO24" s="173"/>
      <c r="BP24" s="114"/>
      <c r="BQ24" s="114"/>
      <c r="BR24" s="143"/>
      <c r="BS24" s="142"/>
      <c r="BT24" s="142"/>
      <c r="BU24" s="142"/>
      <c r="BV24" s="114"/>
      <c r="BW24" s="142"/>
      <c r="BX24" s="142"/>
      <c r="BY24" s="114"/>
      <c r="BZ24" s="142"/>
      <c r="CA24" s="173"/>
      <c r="CB24" s="142"/>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row>
    <row r="25" spans="1:106" ht="16.5" customHeight="1">
      <c r="A25" s="455"/>
      <c r="B25" s="456"/>
      <c r="C25" s="456"/>
      <c r="D25" s="456"/>
      <c r="E25" s="482"/>
      <c r="F25" s="456"/>
      <c r="G25" s="456"/>
      <c r="H25" s="456"/>
      <c r="I25" s="456"/>
      <c r="J25" s="455"/>
      <c r="K25" s="479"/>
      <c r="L25" s="480"/>
      <c r="M25" s="475"/>
      <c r="N25" s="477"/>
      <c r="O25" s="479"/>
      <c r="P25" s="480"/>
      <c r="Q25" s="481"/>
      <c r="R25" s="194">
        <v>3</v>
      </c>
      <c r="S25" s="205"/>
      <c r="T25" s="178" t="str">
        <f t="shared" si="0"/>
        <v/>
      </c>
      <c r="U25" s="178"/>
      <c r="V25" s="178"/>
      <c r="W25" s="178"/>
      <c r="X25" s="178"/>
      <c r="Y25" s="206"/>
      <c r="Z25" s="206"/>
      <c r="AA25" s="179" t="str">
        <f t="shared" si="1"/>
        <v/>
      </c>
      <c r="AB25" s="206"/>
      <c r="AC25" s="206"/>
      <c r="AD25" s="206"/>
      <c r="AE25" s="183" t="str">
        <f>IFERROR(IF(AND(T24="Probabilidad",T25="Probabilidad"),(AG24-(+AG24*AA25)),IF(AND(T24="Impacto",T25="Probabilidad"),(AG23-(+AG23*AA25)),IF(T25="Impacto",AG24,""))),"")</f>
        <v/>
      </c>
      <c r="AF25" s="181" t="str">
        <f t="shared" si="4"/>
        <v/>
      </c>
      <c r="AG25" s="179" t="str">
        <f t="shared" si="2"/>
        <v/>
      </c>
      <c r="AH25" s="181" t="str">
        <f t="shared" si="5"/>
        <v/>
      </c>
      <c r="AI25" s="179" t="str">
        <f>IFERROR(IF(AND(T24="Impacto",T25="Impacto"),(AI24-(+AI24*AA25)),IF(AND(T24="Probabilidad",T25="Impacto"),(AI23-(+AI23*AA25)),IF(T25="Probabilidad",AI24,""))),"")</f>
        <v/>
      </c>
      <c r="AJ25" s="182" t="str">
        <f t="shared" si="3"/>
        <v/>
      </c>
      <c r="AK25" s="464"/>
      <c r="AL25" s="196"/>
      <c r="AM25" s="194"/>
      <c r="AN25" s="197"/>
      <c r="AO25" s="197"/>
      <c r="AP25" s="196"/>
      <c r="AQ25" s="197"/>
      <c r="AR25" s="196"/>
      <c r="AS25" s="114"/>
      <c r="AT25" s="142"/>
      <c r="AU25" s="114"/>
      <c r="AV25" s="142"/>
      <c r="AW25" s="173"/>
      <c r="AX25" s="196"/>
      <c r="AY25" s="297"/>
      <c r="AZ25" s="194"/>
      <c r="BA25" s="197"/>
      <c r="BB25" s="197"/>
      <c r="BC25" s="196"/>
      <c r="BD25" s="196"/>
      <c r="BE25" s="194"/>
      <c r="BF25" s="197"/>
      <c r="BG25" s="197"/>
      <c r="BH25" s="142"/>
      <c r="BI25" s="142"/>
      <c r="BJ25" s="173"/>
      <c r="BK25" s="114"/>
      <c r="BL25" s="114"/>
      <c r="BM25" s="142"/>
      <c r="BN25" s="142"/>
      <c r="BO25" s="173"/>
      <c r="BP25" s="114"/>
      <c r="BQ25" s="114"/>
      <c r="BR25" s="143"/>
      <c r="BS25" s="142"/>
      <c r="BT25" s="142"/>
      <c r="BU25" s="142"/>
      <c r="BV25" s="114"/>
      <c r="BW25" s="142"/>
      <c r="BX25" s="142"/>
      <c r="BY25" s="114"/>
      <c r="BZ25" s="142"/>
      <c r="CA25" s="173"/>
      <c r="CB25" s="142"/>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row>
    <row r="26" spans="1:106" ht="16.5" customHeight="1">
      <c r="A26" s="455"/>
      <c r="B26" s="456"/>
      <c r="C26" s="456"/>
      <c r="D26" s="456"/>
      <c r="E26" s="482"/>
      <c r="F26" s="456"/>
      <c r="G26" s="456"/>
      <c r="H26" s="456"/>
      <c r="I26" s="456"/>
      <c r="J26" s="455"/>
      <c r="K26" s="479"/>
      <c r="L26" s="480"/>
      <c r="M26" s="475"/>
      <c r="N26" s="477"/>
      <c r="O26" s="479"/>
      <c r="P26" s="480"/>
      <c r="Q26" s="481"/>
      <c r="R26" s="194">
        <v>4</v>
      </c>
      <c r="S26" s="205"/>
      <c r="T26" s="178" t="str">
        <f t="shared" si="0"/>
        <v/>
      </c>
      <c r="U26" s="178"/>
      <c r="V26" s="178"/>
      <c r="W26" s="178"/>
      <c r="X26" s="178"/>
      <c r="Y26" s="206"/>
      <c r="Z26" s="206"/>
      <c r="AA26" s="179" t="str">
        <f t="shared" si="1"/>
        <v/>
      </c>
      <c r="AB26" s="206"/>
      <c r="AC26" s="206"/>
      <c r="AD26" s="206"/>
      <c r="AE26" s="183" t="str">
        <f>IFERROR(IF(AND(T25="Probabilidad",T26="Probabilidad"),(AG25-(+AG25*AA26)),IF(AND(T25="Impacto",T26="Probabilidad"),(AG24-(+AG24*AA26)),IF(T26="Impacto",AG25,""))),"")</f>
        <v/>
      </c>
      <c r="AF26" s="181" t="str">
        <f t="shared" si="4"/>
        <v/>
      </c>
      <c r="AG26" s="179" t="str">
        <f t="shared" si="2"/>
        <v/>
      </c>
      <c r="AH26" s="181" t="str">
        <f t="shared" si="5"/>
        <v/>
      </c>
      <c r="AI26" s="179" t="str">
        <f>IFERROR(IF(AND(T25="Impacto",T26="Impacto"),(AI25-(+AI25*AA26)),IF(AND(T25="Probabilidad",T26="Impacto"),(AI24-(+AI24*AA26)),IF(T26="Probabilidad",AI25,""))),"")</f>
        <v/>
      </c>
      <c r="AJ26" s="182" t="str">
        <f t="shared" si="3"/>
        <v/>
      </c>
      <c r="AK26" s="464"/>
      <c r="AL26" s="196"/>
      <c r="AM26" s="194"/>
      <c r="AN26" s="197"/>
      <c r="AO26" s="197"/>
      <c r="AP26" s="196"/>
      <c r="AQ26" s="197"/>
      <c r="AR26" s="196"/>
      <c r="AS26" s="114"/>
      <c r="AT26" s="142"/>
      <c r="AU26" s="114"/>
      <c r="AV26" s="142"/>
      <c r="AW26" s="173"/>
      <c r="AX26" s="196"/>
      <c r="AY26" s="297"/>
      <c r="AZ26" s="194"/>
      <c r="BA26" s="197"/>
      <c r="BB26" s="197"/>
      <c r="BC26" s="196"/>
      <c r="BD26" s="196"/>
      <c r="BE26" s="194"/>
      <c r="BF26" s="197"/>
      <c r="BG26" s="197"/>
      <c r="BH26" s="142"/>
      <c r="BI26" s="142"/>
      <c r="BJ26" s="173"/>
      <c r="BK26" s="114"/>
      <c r="BL26" s="114"/>
      <c r="BM26" s="142"/>
      <c r="BN26" s="142"/>
      <c r="BO26" s="173"/>
      <c r="BP26" s="114"/>
      <c r="BQ26" s="114"/>
      <c r="BR26" s="143"/>
      <c r="BS26" s="142"/>
      <c r="BT26" s="142"/>
      <c r="BU26" s="142"/>
      <c r="BV26" s="114"/>
      <c r="BW26" s="142"/>
      <c r="BX26" s="142"/>
      <c r="BY26" s="114"/>
      <c r="BZ26" s="142"/>
      <c r="CA26" s="173"/>
      <c r="CB26" s="142"/>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row>
    <row r="27" spans="1:106" ht="16.5" customHeight="1">
      <c r="A27" s="455"/>
      <c r="B27" s="456"/>
      <c r="C27" s="456"/>
      <c r="D27" s="456"/>
      <c r="E27" s="482"/>
      <c r="F27" s="456"/>
      <c r="G27" s="456"/>
      <c r="H27" s="456"/>
      <c r="I27" s="456"/>
      <c r="J27" s="455"/>
      <c r="K27" s="479"/>
      <c r="L27" s="480"/>
      <c r="M27" s="475"/>
      <c r="N27" s="477"/>
      <c r="O27" s="479"/>
      <c r="P27" s="480"/>
      <c r="Q27" s="481"/>
      <c r="R27" s="194">
        <v>5</v>
      </c>
      <c r="S27" s="205"/>
      <c r="T27" s="178" t="str">
        <f t="shared" si="0"/>
        <v/>
      </c>
      <c r="U27" s="178"/>
      <c r="V27" s="178"/>
      <c r="W27" s="178"/>
      <c r="X27" s="178"/>
      <c r="Y27" s="206"/>
      <c r="Z27" s="206"/>
      <c r="AA27" s="179" t="str">
        <f t="shared" si="1"/>
        <v/>
      </c>
      <c r="AB27" s="206"/>
      <c r="AC27" s="206"/>
      <c r="AD27" s="206"/>
      <c r="AE27" s="180" t="str">
        <f>IFERROR(IF(AND(T26="Probabilidad",T27="Probabilidad"),(AG26-(+AG26*AA27)),IF(AND(T26="Impacto",T27="Probabilidad"),(AG25-(+AG25*AA27)),IF(T27="Impacto",AG26,""))),"")</f>
        <v/>
      </c>
      <c r="AF27" s="181" t="str">
        <f>IFERROR(IF(AE27="","",IF(AE27&lt;=0.2,"Muy Baja",IF(AE27&lt;=0.4,"Baja",IF(AE27&lt;=0.6,"Media",IF(AE27&lt;=0.8,"Alta","Muy Alta"))))),"")</f>
        <v/>
      </c>
      <c r="AG27" s="179" t="str">
        <f t="shared" si="2"/>
        <v/>
      </c>
      <c r="AH27" s="181" t="str">
        <f t="shared" si="5"/>
        <v/>
      </c>
      <c r="AI27" s="179" t="str">
        <f>IFERROR(IF(AND(T26="Impacto",T27="Impacto"),(AI26-(+AI26*AA27)),IF(AND(T26="Probabilidad",T27="Impacto"),(AI25-(+AI25*AA27)),IF(T27="Probabilidad",AI26,""))),"")</f>
        <v/>
      </c>
      <c r="AJ27" s="182" t="str">
        <f t="shared" si="3"/>
        <v/>
      </c>
      <c r="AK27" s="464"/>
      <c r="AL27" s="196"/>
      <c r="AM27" s="194"/>
      <c r="AN27" s="197"/>
      <c r="AO27" s="197"/>
      <c r="AP27" s="196"/>
      <c r="AQ27" s="197"/>
      <c r="AR27" s="196"/>
      <c r="AS27" s="114"/>
      <c r="AT27" s="142"/>
      <c r="AU27" s="114"/>
      <c r="AV27" s="142"/>
      <c r="AW27" s="173"/>
      <c r="AX27" s="196"/>
      <c r="AY27" s="297"/>
      <c r="AZ27" s="194"/>
      <c r="BA27" s="197"/>
      <c r="BB27" s="197"/>
      <c r="BC27" s="196"/>
      <c r="BD27" s="196"/>
      <c r="BE27" s="194"/>
      <c r="BF27" s="197"/>
      <c r="BG27" s="197"/>
      <c r="BH27" s="142"/>
      <c r="BI27" s="142"/>
      <c r="BJ27" s="173"/>
      <c r="BK27" s="114"/>
      <c r="BL27" s="114"/>
      <c r="BM27" s="142"/>
      <c r="BN27" s="142"/>
      <c r="BO27" s="173"/>
      <c r="BP27" s="114"/>
      <c r="BQ27" s="114"/>
      <c r="BR27" s="143"/>
      <c r="BS27" s="142"/>
      <c r="BT27" s="142"/>
      <c r="BU27" s="142"/>
      <c r="BV27" s="114"/>
      <c r="BW27" s="142"/>
      <c r="BX27" s="142"/>
      <c r="BY27" s="114"/>
      <c r="BZ27" s="142"/>
      <c r="CA27" s="173"/>
      <c r="CB27" s="142"/>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row>
    <row r="28" spans="1:106" ht="16.5" customHeight="1">
      <c r="A28" s="455"/>
      <c r="B28" s="456"/>
      <c r="C28" s="456"/>
      <c r="D28" s="456"/>
      <c r="E28" s="482"/>
      <c r="F28" s="456"/>
      <c r="G28" s="456"/>
      <c r="H28" s="456"/>
      <c r="I28" s="456"/>
      <c r="J28" s="455"/>
      <c r="K28" s="479"/>
      <c r="L28" s="480"/>
      <c r="M28" s="475"/>
      <c r="N28" s="478"/>
      <c r="O28" s="479"/>
      <c r="P28" s="480"/>
      <c r="Q28" s="481"/>
      <c r="R28" s="194">
        <v>6</v>
      </c>
      <c r="S28" s="205"/>
      <c r="T28" s="178" t="str">
        <f t="shared" si="0"/>
        <v/>
      </c>
      <c r="U28" s="178"/>
      <c r="V28" s="178"/>
      <c r="W28" s="178"/>
      <c r="X28" s="178"/>
      <c r="Y28" s="206"/>
      <c r="Z28" s="206"/>
      <c r="AA28" s="179" t="str">
        <f t="shared" si="1"/>
        <v/>
      </c>
      <c r="AB28" s="206"/>
      <c r="AC28" s="206"/>
      <c r="AD28" s="206"/>
      <c r="AE28" s="183" t="str">
        <f>IFERROR(IF(AND(T27="Probabilidad",T28="Probabilidad"),(AG27-(+AG27*AA28)),IF(AND(T27="Impacto",T28="Probabilidad"),(AG26-(+AG26*AA28)),IF(T28="Impacto",AG27,""))),"")</f>
        <v/>
      </c>
      <c r="AF28" s="181" t="str">
        <f t="shared" si="4"/>
        <v/>
      </c>
      <c r="AG28" s="179" t="str">
        <f t="shared" si="2"/>
        <v/>
      </c>
      <c r="AH28" s="181" t="str">
        <f t="shared" si="5"/>
        <v/>
      </c>
      <c r="AI28" s="179" t="str">
        <f>IFERROR(IF(AND(T27="Impacto",T28="Impacto"),(AI27-(+AI27*AA28)),IF(AND(T27="Probabilidad",T28="Impacto"),(AI26-(+AI26*AA28)),IF(T28="Probabilidad",AI27,""))),"")</f>
        <v/>
      </c>
      <c r="AJ28" s="182" t="str">
        <f t="shared" si="3"/>
        <v/>
      </c>
      <c r="AK28" s="465"/>
      <c r="AL28" s="196"/>
      <c r="AM28" s="194"/>
      <c r="AN28" s="197"/>
      <c r="AO28" s="197"/>
      <c r="AP28" s="196"/>
      <c r="AQ28" s="197"/>
      <c r="AR28" s="196"/>
      <c r="AS28" s="114"/>
      <c r="AT28" s="142"/>
      <c r="AU28" s="114"/>
      <c r="AV28" s="142"/>
      <c r="AW28" s="173"/>
      <c r="AX28" s="196"/>
      <c r="AY28" s="297"/>
      <c r="AZ28" s="194"/>
      <c r="BA28" s="197"/>
      <c r="BB28" s="197"/>
      <c r="BC28" s="196"/>
      <c r="BD28" s="196"/>
      <c r="BE28" s="194"/>
      <c r="BF28" s="197"/>
      <c r="BG28" s="197"/>
      <c r="BH28" s="142"/>
      <c r="BI28" s="142"/>
      <c r="BJ28" s="173"/>
      <c r="BK28" s="114"/>
      <c r="BL28" s="114"/>
      <c r="BM28" s="142"/>
      <c r="BN28" s="142"/>
      <c r="BO28" s="173"/>
      <c r="BP28" s="114"/>
      <c r="BQ28" s="114"/>
      <c r="BR28" s="143"/>
      <c r="BS28" s="142"/>
      <c r="BT28" s="142"/>
      <c r="BU28" s="142"/>
      <c r="BV28" s="114"/>
      <c r="BW28" s="142"/>
      <c r="BX28" s="142"/>
      <c r="BY28" s="114"/>
      <c r="BZ28" s="142"/>
      <c r="CA28" s="173"/>
      <c r="CB28" s="142"/>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row>
    <row r="29" spans="1:106" ht="16.5" customHeight="1">
      <c r="A29" s="455">
        <v>5</v>
      </c>
      <c r="B29" s="456"/>
      <c r="C29" s="456"/>
      <c r="D29" s="456"/>
      <c r="E29" s="482"/>
      <c r="F29" s="456"/>
      <c r="G29" s="456"/>
      <c r="H29" s="456"/>
      <c r="I29" s="456"/>
      <c r="J29" s="455"/>
      <c r="K29" s="479" t="str">
        <f>IF(J29&lt;=0,"",IF(J29&lt;=2,"Muy Baja",IF(J29&lt;=24,"Baja",IF(J29&lt;=500,"Media",IF(J29&lt;=5000,"Alta","Muy Alta")))))</f>
        <v/>
      </c>
      <c r="L29" s="480" t="str">
        <f>IF(K29="","",IF(K29="Muy Baja",0.2,IF(K29="Baja",0.4,IF(K29="Media",0.6,IF(K29="Alta",0.8,IF(K29="Muy Alta",1,))))))</f>
        <v/>
      </c>
      <c r="M29" s="475"/>
      <c r="N29" s="476">
        <f>IF(NOT(ISERROR(MATCH(M29,'Tabla Impacto'!$B$221:$B$223,0))),'Tabla Impacto'!$F$223&amp;"Por favor no seleccionar los criterios de impacto(Afectación Económica o presupuestal y Pérdida Reputacional)",M29)</f>
        <v>0</v>
      </c>
      <c r="O29" s="479" t="str">
        <f>IF(OR(N29='Tabla Impacto'!$C$11,N29='Tabla Impacto'!$D$11),"Leve",IF(OR(N29='Tabla Impacto'!$C$12,N29='Tabla Impacto'!$D$12),"Menor",IF(OR(N29='Tabla Impacto'!$C$13,N29='Tabla Impacto'!$D$13),"Moderado",IF(OR(N29='Tabla Impacto'!$C$14,N29='Tabla Impacto'!$D$14),"Mayor",IF(OR(N29='Tabla Impacto'!$C$15,N29='Tabla Impacto'!$D$15),"Catastrófico","")))))</f>
        <v/>
      </c>
      <c r="P29" s="480" t="str">
        <f>IF(O29="","",IF(O29="Leve",0.2,IF(O29="Menor",0.4,IF(O29="Moderado",0.6,IF(O29="Mayor",0.8,IF(O29="Catastrófico",1,))))))</f>
        <v/>
      </c>
      <c r="Q29" s="481"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94">
        <v>1</v>
      </c>
      <c r="S29" s="205"/>
      <c r="T29" s="178" t="str">
        <f t="shared" si="0"/>
        <v/>
      </c>
      <c r="U29" s="178"/>
      <c r="V29" s="178"/>
      <c r="W29" s="178"/>
      <c r="X29" s="178"/>
      <c r="Y29" s="206"/>
      <c r="Z29" s="206"/>
      <c r="AA29" s="179" t="str">
        <f t="shared" si="1"/>
        <v/>
      </c>
      <c r="AB29" s="206"/>
      <c r="AC29" s="206"/>
      <c r="AD29" s="206"/>
      <c r="AE29" s="183" t="str">
        <f>IFERROR(IF(T29="Probabilidad",(L29-(+L29*AA29)),IF(T29="Impacto",L29,"")),"")</f>
        <v/>
      </c>
      <c r="AF29" s="181" t="str">
        <f>IFERROR(IF(AE29="","",IF(AE29&lt;=0.2,"Muy Baja",IF(AE29&lt;=0.4,"Baja",IF(AE29&lt;=0.6,"Media",IF(AE29&lt;=0.8,"Alta","Muy Alta"))))),"")</f>
        <v/>
      </c>
      <c r="AG29" s="179" t="str">
        <f t="shared" si="2"/>
        <v/>
      </c>
      <c r="AH29" s="181" t="str">
        <f>IFERROR(IF(AI29="","",IF(AI29&lt;=0.2,"Leve",IF(AI29&lt;=0.4,"Menor",IF(AI29&lt;=0.6,"Moderado",IF(AI29&lt;=0.8,"Mayor","Catastrófico"))))),"")</f>
        <v/>
      </c>
      <c r="AI29" s="179" t="str">
        <f>IFERROR(IF(T29="Impacto",(P29-(+P29*AA29)),IF(T29="Probabilidad",P29,"")),"")</f>
        <v/>
      </c>
      <c r="AJ29" s="182" t="str">
        <f t="shared" si="3"/>
        <v/>
      </c>
      <c r="AK29" s="463"/>
      <c r="AL29" s="196"/>
      <c r="AM29" s="194"/>
      <c r="AN29" s="197"/>
      <c r="AO29" s="197"/>
      <c r="AP29" s="196"/>
      <c r="AQ29" s="197"/>
      <c r="AR29" s="196"/>
      <c r="AS29" s="114"/>
      <c r="AT29" s="142"/>
      <c r="AU29" s="114"/>
      <c r="AV29" s="142"/>
      <c r="AW29" s="173"/>
      <c r="AX29" s="196"/>
      <c r="AY29" s="297"/>
      <c r="AZ29" s="194"/>
      <c r="BA29" s="197"/>
      <c r="BB29" s="197"/>
      <c r="BC29" s="196"/>
      <c r="BD29" s="196"/>
      <c r="BE29" s="194"/>
      <c r="BF29" s="197"/>
      <c r="BG29" s="197"/>
      <c r="BH29" s="142"/>
      <c r="BI29" s="142"/>
      <c r="BJ29" s="173"/>
      <c r="BK29" s="114"/>
      <c r="BL29" s="114"/>
      <c r="BM29" s="142"/>
      <c r="BN29" s="142"/>
      <c r="BO29" s="173"/>
      <c r="BP29" s="114"/>
      <c r="BQ29" s="114"/>
      <c r="BR29" s="143"/>
      <c r="BS29" s="142"/>
      <c r="BT29" s="142"/>
      <c r="BU29" s="142"/>
      <c r="BV29" s="114"/>
      <c r="BW29" s="142"/>
      <c r="BX29" s="142"/>
      <c r="BY29" s="114"/>
      <c r="BZ29" s="142"/>
      <c r="CA29" s="173"/>
      <c r="CB29" s="142"/>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row>
    <row r="30" spans="1:106" ht="16.5" customHeight="1">
      <c r="A30" s="455"/>
      <c r="B30" s="456"/>
      <c r="C30" s="456"/>
      <c r="D30" s="456"/>
      <c r="E30" s="482"/>
      <c r="F30" s="456"/>
      <c r="G30" s="456"/>
      <c r="H30" s="456"/>
      <c r="I30" s="456"/>
      <c r="J30" s="455"/>
      <c r="K30" s="479"/>
      <c r="L30" s="480"/>
      <c r="M30" s="475"/>
      <c r="N30" s="477"/>
      <c r="O30" s="479"/>
      <c r="P30" s="480"/>
      <c r="Q30" s="481"/>
      <c r="R30" s="194">
        <v>2</v>
      </c>
      <c r="S30" s="205"/>
      <c r="T30" s="178" t="str">
        <f t="shared" si="0"/>
        <v/>
      </c>
      <c r="U30" s="178"/>
      <c r="V30" s="178"/>
      <c r="W30" s="178"/>
      <c r="X30" s="178"/>
      <c r="Y30" s="206"/>
      <c r="Z30" s="206"/>
      <c r="AA30" s="179" t="str">
        <f t="shared" si="1"/>
        <v/>
      </c>
      <c r="AB30" s="206"/>
      <c r="AC30" s="206"/>
      <c r="AD30" s="206"/>
      <c r="AE30" s="183" t="str">
        <f>IFERROR(IF(AND(T29="Probabilidad",T30="Probabilidad"),(AG29-(+AG29*AA30)),IF(T30="Probabilidad",(L29-(+L29*AA30)),IF(T30="Impacto",AG29,""))),"")</f>
        <v/>
      </c>
      <c r="AF30" s="181" t="str">
        <f t="shared" si="4"/>
        <v/>
      </c>
      <c r="AG30" s="179" t="str">
        <f t="shared" si="2"/>
        <v/>
      </c>
      <c r="AH30" s="181" t="str">
        <f t="shared" si="5"/>
        <v/>
      </c>
      <c r="AI30" s="179" t="str">
        <f>IFERROR(IF(AND(T29="Impacto",T30="Impacto"),(AI23-(+AI23*AA30)),IF(T30="Impacto",($P$29-(+$P$29*AA30)),IF(T30="Probabilidad",AI23,""))),"")</f>
        <v/>
      </c>
      <c r="AJ30" s="182" t="str">
        <f t="shared" si="3"/>
        <v/>
      </c>
      <c r="AK30" s="464"/>
      <c r="AL30" s="196"/>
      <c r="AM30" s="194"/>
      <c r="AN30" s="197"/>
      <c r="AO30" s="197"/>
      <c r="AP30" s="196"/>
      <c r="AQ30" s="197"/>
      <c r="AR30" s="196"/>
      <c r="AS30" s="114"/>
      <c r="AT30" s="142"/>
      <c r="AU30" s="114"/>
      <c r="AV30" s="142"/>
      <c r="AW30" s="173"/>
      <c r="AX30" s="196"/>
      <c r="AY30" s="297"/>
      <c r="AZ30" s="194"/>
      <c r="BA30" s="197"/>
      <c r="BB30" s="197"/>
      <c r="BC30" s="196"/>
      <c r="BD30" s="196"/>
      <c r="BE30" s="194"/>
      <c r="BF30" s="197"/>
      <c r="BG30" s="197"/>
      <c r="BH30" s="142"/>
      <c r="BI30" s="142"/>
      <c r="BJ30" s="173"/>
      <c r="BK30" s="114"/>
      <c r="BL30" s="114"/>
      <c r="BM30" s="142"/>
      <c r="BN30" s="142"/>
      <c r="BO30" s="173"/>
      <c r="BP30" s="114"/>
      <c r="BQ30" s="114"/>
      <c r="BR30" s="143"/>
      <c r="BS30" s="142"/>
      <c r="BT30" s="142"/>
      <c r="BU30" s="142"/>
      <c r="BV30" s="114"/>
      <c r="BW30" s="142"/>
      <c r="BX30" s="142"/>
      <c r="BY30" s="114"/>
      <c r="BZ30" s="142"/>
      <c r="CA30" s="173"/>
      <c r="CB30" s="142"/>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row>
    <row r="31" spans="1:106" ht="16.5" customHeight="1">
      <c r="A31" s="455"/>
      <c r="B31" s="456"/>
      <c r="C31" s="456"/>
      <c r="D31" s="456"/>
      <c r="E31" s="482"/>
      <c r="F31" s="456"/>
      <c r="G31" s="456"/>
      <c r="H31" s="456"/>
      <c r="I31" s="456"/>
      <c r="J31" s="455"/>
      <c r="K31" s="479"/>
      <c r="L31" s="480"/>
      <c r="M31" s="475"/>
      <c r="N31" s="477"/>
      <c r="O31" s="479"/>
      <c r="P31" s="480"/>
      <c r="Q31" s="481"/>
      <c r="R31" s="194">
        <v>3</v>
      </c>
      <c r="S31" s="205"/>
      <c r="T31" s="178" t="str">
        <f t="shared" si="0"/>
        <v/>
      </c>
      <c r="U31" s="178"/>
      <c r="V31" s="178"/>
      <c r="W31" s="178"/>
      <c r="X31" s="178"/>
      <c r="Y31" s="206"/>
      <c r="Z31" s="206"/>
      <c r="AA31" s="179" t="str">
        <f t="shared" si="1"/>
        <v/>
      </c>
      <c r="AB31" s="206"/>
      <c r="AC31" s="206"/>
      <c r="AD31" s="206"/>
      <c r="AE31" s="183" t="str">
        <f>IFERROR(IF(AND(T30="Probabilidad",T31="Probabilidad"),(AG30-(+AG30*AA31)),IF(AND(T30="Impacto",T31="Probabilidad"),(AG29-(+AG29*AA31)),IF(T31="Impacto",AG30,""))),"")</f>
        <v/>
      </c>
      <c r="AF31" s="181" t="str">
        <f t="shared" si="4"/>
        <v/>
      </c>
      <c r="AG31" s="179" t="str">
        <f t="shared" si="2"/>
        <v/>
      </c>
      <c r="AH31" s="181" t="str">
        <f t="shared" si="5"/>
        <v/>
      </c>
      <c r="AI31" s="179" t="str">
        <f>IFERROR(IF(AND(T30="Impacto",T31="Impacto"),(AI30-(+AI30*AA31)),IF(AND(T30="Probabilidad",T31="Impacto"),(AI29-(+AI29*AA31)),IF(T31="Probabilidad",AI30,""))),"")</f>
        <v/>
      </c>
      <c r="AJ31" s="182" t="str">
        <f t="shared" si="3"/>
        <v/>
      </c>
      <c r="AK31" s="464"/>
      <c r="AL31" s="196"/>
      <c r="AM31" s="194"/>
      <c r="AN31" s="197"/>
      <c r="AO31" s="197"/>
      <c r="AP31" s="196"/>
      <c r="AQ31" s="197"/>
      <c r="AR31" s="196"/>
      <c r="AS31" s="114"/>
      <c r="AT31" s="142"/>
      <c r="AU31" s="114"/>
      <c r="AV31" s="142"/>
      <c r="AW31" s="173"/>
      <c r="AX31" s="196"/>
      <c r="AY31" s="297"/>
      <c r="AZ31" s="194"/>
      <c r="BA31" s="197"/>
      <c r="BB31" s="197"/>
      <c r="BC31" s="196"/>
      <c r="BD31" s="196"/>
      <c r="BE31" s="194"/>
      <c r="BF31" s="197"/>
      <c r="BG31" s="197"/>
      <c r="BH31" s="142"/>
      <c r="BI31" s="142"/>
      <c r="BJ31" s="173"/>
      <c r="BK31" s="114"/>
      <c r="BL31" s="114"/>
      <c r="BM31" s="142"/>
      <c r="BN31" s="142"/>
      <c r="BO31" s="173"/>
      <c r="BP31" s="114"/>
      <c r="BQ31" s="114"/>
      <c r="BR31" s="143"/>
      <c r="BS31" s="142"/>
      <c r="BT31" s="142"/>
      <c r="BU31" s="142"/>
      <c r="BV31" s="114"/>
      <c r="BW31" s="142"/>
      <c r="BX31" s="142"/>
      <c r="BY31" s="114"/>
      <c r="BZ31" s="142"/>
      <c r="CA31" s="173"/>
      <c r="CB31" s="142"/>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row>
    <row r="32" spans="1:106" ht="16.5" customHeight="1">
      <c r="A32" s="455"/>
      <c r="B32" s="456"/>
      <c r="C32" s="456"/>
      <c r="D32" s="456"/>
      <c r="E32" s="482"/>
      <c r="F32" s="456"/>
      <c r="G32" s="456"/>
      <c r="H32" s="456"/>
      <c r="I32" s="456"/>
      <c r="J32" s="455"/>
      <c r="K32" s="479"/>
      <c r="L32" s="480"/>
      <c r="M32" s="475"/>
      <c r="N32" s="477"/>
      <c r="O32" s="479"/>
      <c r="P32" s="480"/>
      <c r="Q32" s="481"/>
      <c r="R32" s="194">
        <v>4</v>
      </c>
      <c r="S32" s="205"/>
      <c r="T32" s="178" t="str">
        <f t="shared" si="0"/>
        <v/>
      </c>
      <c r="U32" s="178"/>
      <c r="V32" s="178"/>
      <c r="W32" s="178"/>
      <c r="X32" s="178"/>
      <c r="Y32" s="206"/>
      <c r="Z32" s="206"/>
      <c r="AA32" s="179" t="str">
        <f t="shared" si="1"/>
        <v/>
      </c>
      <c r="AB32" s="206"/>
      <c r="AC32" s="206"/>
      <c r="AD32" s="206"/>
      <c r="AE32" s="183" t="str">
        <f>IFERROR(IF(AND(T31="Probabilidad",T32="Probabilidad"),(AG31-(+AG31*AA32)),IF(AND(T31="Impacto",T32="Probabilidad"),(AG30-(+AG30*AA32)),IF(T32="Impacto",AG31,""))),"")</f>
        <v/>
      </c>
      <c r="AF32" s="181" t="str">
        <f t="shared" si="4"/>
        <v/>
      </c>
      <c r="AG32" s="179" t="str">
        <f t="shared" si="2"/>
        <v/>
      </c>
      <c r="AH32" s="181" t="str">
        <f t="shared" si="5"/>
        <v/>
      </c>
      <c r="AI32" s="179" t="str">
        <f>IFERROR(IF(AND(T31="Impacto",T32="Impacto"),(AI31-(+AI31*AA32)),IF(AND(T31="Probabilidad",T32="Impacto"),(AI30-(+AI30*AA32)),IF(T32="Probabilidad",AI31,""))),"")</f>
        <v/>
      </c>
      <c r="AJ32" s="182" t="str">
        <f t="shared" si="3"/>
        <v/>
      </c>
      <c r="AK32" s="464"/>
      <c r="AL32" s="196"/>
      <c r="AM32" s="194"/>
      <c r="AN32" s="197"/>
      <c r="AO32" s="197"/>
      <c r="AP32" s="196"/>
      <c r="AQ32" s="197"/>
      <c r="AR32" s="196"/>
      <c r="AS32" s="114"/>
      <c r="AT32" s="142"/>
      <c r="AU32" s="114"/>
      <c r="AV32" s="142"/>
      <c r="AW32" s="173"/>
      <c r="AX32" s="196"/>
      <c r="AY32" s="297"/>
      <c r="AZ32" s="194"/>
      <c r="BA32" s="197"/>
      <c r="BB32" s="197"/>
      <c r="BC32" s="196"/>
      <c r="BD32" s="196"/>
      <c r="BE32" s="194"/>
      <c r="BF32" s="197"/>
      <c r="BG32" s="197"/>
      <c r="BH32" s="142"/>
      <c r="BI32" s="142"/>
      <c r="BJ32" s="173"/>
      <c r="BK32" s="114"/>
      <c r="BL32" s="114"/>
      <c r="BM32" s="142"/>
      <c r="BN32" s="142"/>
      <c r="BO32" s="173"/>
      <c r="BP32" s="114"/>
      <c r="BQ32" s="114"/>
      <c r="BR32" s="143"/>
      <c r="BS32" s="142"/>
      <c r="BT32" s="142"/>
      <c r="BU32" s="142"/>
      <c r="BV32" s="114"/>
      <c r="BW32" s="142"/>
      <c r="BX32" s="142"/>
      <c r="BY32" s="114"/>
      <c r="BZ32" s="142"/>
      <c r="CA32" s="173"/>
      <c r="CB32" s="142"/>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row>
    <row r="33" spans="1:106" ht="16.5" customHeight="1">
      <c r="A33" s="455"/>
      <c r="B33" s="456"/>
      <c r="C33" s="456"/>
      <c r="D33" s="456"/>
      <c r="E33" s="482"/>
      <c r="F33" s="456"/>
      <c r="G33" s="456"/>
      <c r="H33" s="456"/>
      <c r="I33" s="456"/>
      <c r="J33" s="455"/>
      <c r="K33" s="479"/>
      <c r="L33" s="480"/>
      <c r="M33" s="475"/>
      <c r="N33" s="477"/>
      <c r="O33" s="479"/>
      <c r="P33" s="480"/>
      <c r="Q33" s="481"/>
      <c r="R33" s="194">
        <v>5</v>
      </c>
      <c r="S33" s="205"/>
      <c r="T33" s="178" t="str">
        <f t="shared" si="0"/>
        <v/>
      </c>
      <c r="U33" s="178"/>
      <c r="V33" s="178"/>
      <c r="W33" s="178"/>
      <c r="X33" s="178"/>
      <c r="Y33" s="206"/>
      <c r="Z33" s="206"/>
      <c r="AA33" s="179" t="str">
        <f t="shared" si="1"/>
        <v/>
      </c>
      <c r="AB33" s="206"/>
      <c r="AC33" s="206"/>
      <c r="AD33" s="206"/>
      <c r="AE33" s="183" t="str">
        <f>IFERROR(IF(AND(T32="Probabilidad",T33="Probabilidad"),(AG32-(+AG32*AA33)),IF(AND(T32="Impacto",T33="Probabilidad"),(AG31-(+AG31*AA33)),IF(T33="Impacto",AG32,""))),"")</f>
        <v/>
      </c>
      <c r="AF33" s="181" t="str">
        <f t="shared" si="4"/>
        <v/>
      </c>
      <c r="AG33" s="179" t="str">
        <f t="shared" si="2"/>
        <v/>
      </c>
      <c r="AH33" s="181" t="str">
        <f t="shared" si="5"/>
        <v/>
      </c>
      <c r="AI33" s="179" t="str">
        <f>IFERROR(IF(AND(T32="Impacto",T33="Impacto"),(AI32-(+AI32*AA33)),IF(AND(T32="Probabilidad",T33="Impacto"),(AI31-(+AI31*AA33)),IF(T33="Probabilidad",AI32,""))),"")</f>
        <v/>
      </c>
      <c r="AJ33" s="182" t="str">
        <f t="shared" si="3"/>
        <v/>
      </c>
      <c r="AK33" s="464"/>
      <c r="AL33" s="196"/>
      <c r="AM33" s="194"/>
      <c r="AN33" s="197"/>
      <c r="AO33" s="197"/>
      <c r="AP33" s="196"/>
      <c r="AQ33" s="197"/>
      <c r="AR33" s="196"/>
      <c r="AS33" s="114"/>
      <c r="AT33" s="142"/>
      <c r="AU33" s="114"/>
      <c r="AV33" s="142"/>
      <c r="AW33" s="173"/>
      <c r="AX33" s="196"/>
      <c r="AY33" s="297"/>
      <c r="AZ33" s="194"/>
      <c r="BA33" s="197"/>
      <c r="BB33" s="197"/>
      <c r="BC33" s="196"/>
      <c r="BD33" s="196"/>
      <c r="BE33" s="194"/>
      <c r="BF33" s="197"/>
      <c r="BG33" s="197"/>
      <c r="BH33" s="142"/>
      <c r="BI33" s="142"/>
      <c r="BJ33" s="173"/>
      <c r="BK33" s="114"/>
      <c r="BL33" s="114"/>
      <c r="BM33" s="142"/>
      <c r="BN33" s="142"/>
      <c r="BO33" s="173"/>
      <c r="BP33" s="114"/>
      <c r="BQ33" s="114"/>
      <c r="BR33" s="143"/>
      <c r="BS33" s="142"/>
      <c r="BT33" s="142"/>
      <c r="BU33" s="142"/>
      <c r="BV33" s="114"/>
      <c r="BW33" s="142"/>
      <c r="BX33" s="142"/>
      <c r="BY33" s="114"/>
      <c r="BZ33" s="142"/>
      <c r="CA33" s="173"/>
      <c r="CB33" s="142"/>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row>
    <row r="34" spans="1:106" ht="16.5" customHeight="1">
      <c r="A34" s="455"/>
      <c r="B34" s="456"/>
      <c r="C34" s="456"/>
      <c r="D34" s="456"/>
      <c r="E34" s="482"/>
      <c r="F34" s="456"/>
      <c r="G34" s="456"/>
      <c r="H34" s="456"/>
      <c r="I34" s="456"/>
      <c r="J34" s="455"/>
      <c r="K34" s="479"/>
      <c r="L34" s="480"/>
      <c r="M34" s="475"/>
      <c r="N34" s="478"/>
      <c r="O34" s="479"/>
      <c r="P34" s="480"/>
      <c r="Q34" s="481"/>
      <c r="R34" s="194">
        <v>6</v>
      </c>
      <c r="S34" s="205"/>
      <c r="T34" s="178" t="str">
        <f t="shared" si="0"/>
        <v/>
      </c>
      <c r="U34" s="178"/>
      <c r="V34" s="178"/>
      <c r="W34" s="178"/>
      <c r="X34" s="178"/>
      <c r="Y34" s="206"/>
      <c r="Z34" s="206"/>
      <c r="AA34" s="179" t="str">
        <f t="shared" si="1"/>
        <v/>
      </c>
      <c r="AB34" s="206"/>
      <c r="AC34" s="206"/>
      <c r="AD34" s="206"/>
      <c r="AE34" s="183" t="str">
        <f>IFERROR(IF(AND(T33="Probabilidad",T34="Probabilidad"),(AG33-(+AG33*AA34)),IF(AND(T33="Impacto",T34="Probabilidad"),(AG32-(+AG32*AA34)),IF(T34="Impacto",AG33,""))),"")</f>
        <v/>
      </c>
      <c r="AF34" s="181" t="str">
        <f t="shared" si="4"/>
        <v/>
      </c>
      <c r="AG34" s="179" t="str">
        <f t="shared" si="2"/>
        <v/>
      </c>
      <c r="AH34" s="181" t="str">
        <f t="shared" si="5"/>
        <v/>
      </c>
      <c r="AI34" s="179" t="str">
        <f>IFERROR(IF(AND(T33="Impacto",T34="Impacto"),(AI33-(+AI33*AA34)),IF(AND(T33="Probabilidad",T34="Impacto"),(AI32-(+AI32*AA34)),IF(T34="Probabilidad",AI33,""))),"")</f>
        <v/>
      </c>
      <c r="AJ34" s="182" t="str">
        <f t="shared" si="3"/>
        <v/>
      </c>
      <c r="AK34" s="465"/>
      <c r="AL34" s="196"/>
      <c r="AM34" s="194"/>
      <c r="AN34" s="197"/>
      <c r="AO34" s="197"/>
      <c r="AP34" s="196"/>
      <c r="AQ34" s="197"/>
      <c r="AR34" s="196"/>
      <c r="AS34" s="114"/>
      <c r="AT34" s="142"/>
      <c r="AU34" s="114"/>
      <c r="AV34" s="142"/>
      <c r="AW34" s="173"/>
      <c r="AX34" s="196"/>
      <c r="AY34" s="297"/>
      <c r="AZ34" s="194"/>
      <c r="BA34" s="197"/>
      <c r="BB34" s="197"/>
      <c r="BC34" s="196"/>
      <c r="BD34" s="196"/>
      <c r="BE34" s="194"/>
      <c r="BF34" s="197"/>
      <c r="BG34" s="197"/>
      <c r="BH34" s="142"/>
      <c r="BI34" s="142"/>
      <c r="BJ34" s="173"/>
      <c r="BK34" s="114"/>
      <c r="BL34" s="114"/>
      <c r="BM34" s="142"/>
      <c r="BN34" s="142"/>
      <c r="BO34" s="173"/>
      <c r="BP34" s="114"/>
      <c r="BQ34" s="114"/>
      <c r="BR34" s="143"/>
      <c r="BS34" s="142"/>
      <c r="BT34" s="142"/>
      <c r="BU34" s="142"/>
      <c r="BV34" s="114"/>
      <c r="BW34" s="142"/>
      <c r="BX34" s="142"/>
      <c r="BY34" s="114"/>
      <c r="BZ34" s="142"/>
      <c r="CA34" s="173"/>
      <c r="CB34" s="142"/>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row>
    <row r="35" spans="1:106" ht="16.5" customHeight="1">
      <c r="A35" s="455">
        <v>6</v>
      </c>
      <c r="B35" s="456"/>
      <c r="C35" s="456"/>
      <c r="D35" s="456"/>
      <c r="E35" s="482"/>
      <c r="F35" s="456"/>
      <c r="G35" s="456"/>
      <c r="H35" s="456"/>
      <c r="I35" s="456"/>
      <c r="J35" s="455"/>
      <c r="K35" s="479" t="str">
        <f>IF(J35&lt;=0,"",IF(J35&lt;=2,"Muy Baja",IF(J35&lt;=24,"Baja",IF(J35&lt;=500,"Media",IF(J35&lt;=5000,"Alta","Muy Alta")))))</f>
        <v/>
      </c>
      <c r="L35" s="480" t="str">
        <f>IF(K35="","",IF(K35="Muy Baja",0.2,IF(K35="Baja",0.4,IF(K35="Media",0.6,IF(K35="Alta",0.8,IF(K35="Muy Alta",1,))))))</f>
        <v/>
      </c>
      <c r="M35" s="475"/>
      <c r="N35" s="476">
        <f>IF(NOT(ISERROR(MATCH(M35,'Tabla Impacto'!$B$221:$B$223,0))),'Tabla Impacto'!$F$223&amp;"Por favor no seleccionar los criterios de impacto(Afectación Económica o presupuestal y Pérdida Reputacional)",M35)</f>
        <v>0</v>
      </c>
      <c r="O35" s="479" t="str">
        <f>IF(OR(N35='Tabla Impacto'!$C$11,N35='Tabla Impacto'!$D$11),"Leve",IF(OR(N35='Tabla Impacto'!$C$12,N35='Tabla Impacto'!$D$12),"Menor",IF(OR(N35='Tabla Impacto'!$C$13,N35='Tabla Impacto'!$D$13),"Moderado",IF(OR(N35='Tabla Impacto'!$C$14,N35='Tabla Impacto'!$D$14),"Mayor",IF(OR(N35='Tabla Impacto'!$C$15,N35='Tabla Impacto'!$D$15),"Catastrófico","")))))</f>
        <v/>
      </c>
      <c r="P35" s="480" t="str">
        <f>IF(O35="","",IF(O35="Leve",0.2,IF(O35="Menor",0.4,IF(O35="Moderado",0.6,IF(O35="Mayor",0.8,IF(O35="Catastrófico",1,))))))</f>
        <v/>
      </c>
      <c r="Q35" s="481"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94">
        <v>1</v>
      </c>
      <c r="S35" s="205"/>
      <c r="T35" s="178" t="str">
        <f t="shared" si="0"/>
        <v/>
      </c>
      <c r="U35" s="178"/>
      <c r="V35" s="178"/>
      <c r="W35" s="178"/>
      <c r="X35" s="178"/>
      <c r="Y35" s="206"/>
      <c r="Z35" s="206"/>
      <c r="AA35" s="179" t="str">
        <f t="shared" si="1"/>
        <v/>
      </c>
      <c r="AB35" s="206"/>
      <c r="AC35" s="206"/>
      <c r="AD35" s="206"/>
      <c r="AE35" s="183" t="str">
        <f>IFERROR(IF(T35="Probabilidad",(L35-(+L35*AA35)),IF(T35="Impacto",L35,"")),"")</f>
        <v/>
      </c>
      <c r="AF35" s="181" t="str">
        <f>IFERROR(IF(AE35="","",IF(AE35&lt;=0.2,"Muy Baja",IF(AE35&lt;=0.4,"Baja",IF(AE35&lt;=0.6,"Media",IF(AE35&lt;=0.8,"Alta","Muy Alta"))))),"")</f>
        <v/>
      </c>
      <c r="AG35" s="179" t="str">
        <f t="shared" si="2"/>
        <v/>
      </c>
      <c r="AH35" s="181" t="str">
        <f>IFERROR(IF(AI35="","",IF(AI35&lt;=0.2,"Leve",IF(AI35&lt;=0.4,"Menor",IF(AI35&lt;=0.6,"Moderado",IF(AI35&lt;=0.8,"Mayor","Catastrófico"))))),"")</f>
        <v/>
      </c>
      <c r="AI35" s="179" t="str">
        <f>IFERROR(IF(T35="Impacto",(P35-(+P35*AA35)),IF(T35="Probabilidad",P35,"")),"")</f>
        <v/>
      </c>
      <c r="AJ35" s="182" t="str">
        <f t="shared" si="3"/>
        <v/>
      </c>
      <c r="AK35" s="463"/>
      <c r="AL35" s="196"/>
      <c r="AM35" s="194"/>
      <c r="AN35" s="197"/>
      <c r="AO35" s="197"/>
      <c r="AP35" s="196"/>
      <c r="AQ35" s="197"/>
      <c r="AR35" s="196"/>
      <c r="AS35" s="114"/>
      <c r="AT35" s="142"/>
      <c r="AU35" s="114"/>
      <c r="AV35" s="142"/>
      <c r="AW35" s="173"/>
      <c r="AX35" s="196"/>
      <c r="AY35" s="297"/>
      <c r="AZ35" s="194"/>
      <c r="BA35" s="197"/>
      <c r="BB35" s="197"/>
      <c r="BC35" s="196"/>
      <c r="BD35" s="196"/>
      <c r="BE35" s="194"/>
      <c r="BF35" s="197"/>
      <c r="BG35" s="197"/>
      <c r="BH35" s="142"/>
      <c r="BI35" s="142"/>
      <c r="BJ35" s="173"/>
      <c r="BK35" s="114"/>
      <c r="BL35" s="114"/>
      <c r="BM35" s="142"/>
      <c r="BN35" s="142"/>
      <c r="BO35" s="173"/>
      <c r="BP35" s="114"/>
      <c r="BQ35" s="114"/>
      <c r="BR35" s="143"/>
      <c r="BS35" s="142"/>
      <c r="BT35" s="142"/>
      <c r="BU35" s="142"/>
      <c r="BV35" s="114"/>
      <c r="BW35" s="142"/>
      <c r="BX35" s="142"/>
      <c r="BY35" s="114"/>
      <c r="BZ35" s="142"/>
      <c r="CA35" s="173"/>
      <c r="CB35" s="142"/>
      <c r="CC35" s="144"/>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row>
    <row r="36" spans="1:106" ht="16.5" customHeight="1">
      <c r="A36" s="455"/>
      <c r="B36" s="456"/>
      <c r="C36" s="456"/>
      <c r="D36" s="456"/>
      <c r="E36" s="482"/>
      <c r="F36" s="456"/>
      <c r="G36" s="456"/>
      <c r="H36" s="456"/>
      <c r="I36" s="456"/>
      <c r="J36" s="455"/>
      <c r="K36" s="479"/>
      <c r="L36" s="480"/>
      <c r="M36" s="475"/>
      <c r="N36" s="477"/>
      <c r="O36" s="479"/>
      <c r="P36" s="480"/>
      <c r="Q36" s="481"/>
      <c r="R36" s="194">
        <v>2</v>
      </c>
      <c r="S36" s="205"/>
      <c r="T36" s="178" t="str">
        <f t="shared" si="0"/>
        <v/>
      </c>
      <c r="U36" s="178"/>
      <c r="V36" s="178"/>
      <c r="W36" s="178"/>
      <c r="X36" s="178"/>
      <c r="Y36" s="206"/>
      <c r="Z36" s="206"/>
      <c r="AA36" s="179" t="str">
        <f t="shared" si="1"/>
        <v/>
      </c>
      <c r="AB36" s="206"/>
      <c r="AC36" s="206"/>
      <c r="AD36" s="206"/>
      <c r="AE36" s="183" t="str">
        <f>IFERROR(IF(AND(T35="Probabilidad",T36="Probabilidad"),(AG35-(+AG35*AA36)),IF(T36="Probabilidad",(L35-(+L35*AA36)),IF(T36="Impacto",AG35,""))),"")</f>
        <v/>
      </c>
      <c r="AF36" s="181" t="str">
        <f t="shared" si="4"/>
        <v/>
      </c>
      <c r="AG36" s="179" t="str">
        <f t="shared" si="2"/>
        <v/>
      </c>
      <c r="AH36" s="181" t="str">
        <f t="shared" si="5"/>
        <v/>
      </c>
      <c r="AI36" s="179" t="str">
        <f>IFERROR(IF(AND(T35="Impacto",T36="Impacto"),(AI29-(+AI29*AA36)),IF(T36="Impacto",($P$35-(+$P$35*AA36)),IF(T36="Probabilidad",AI29,""))),"")</f>
        <v/>
      </c>
      <c r="AJ36" s="182" t="str">
        <f t="shared" si="3"/>
        <v/>
      </c>
      <c r="AK36" s="464"/>
      <c r="AL36" s="196"/>
      <c r="AM36" s="194"/>
      <c r="AN36" s="197"/>
      <c r="AO36" s="197"/>
      <c r="AP36" s="196"/>
      <c r="AQ36" s="197"/>
      <c r="AR36" s="196"/>
      <c r="AS36" s="114"/>
      <c r="AT36" s="142"/>
      <c r="AU36" s="114"/>
      <c r="AV36" s="142"/>
      <c r="AW36" s="173"/>
      <c r="AX36" s="196"/>
      <c r="AY36" s="297"/>
      <c r="AZ36" s="194"/>
      <c r="BA36" s="197"/>
      <c r="BB36" s="197"/>
      <c r="BC36" s="196"/>
      <c r="BD36" s="196"/>
      <c r="BE36" s="194"/>
      <c r="BF36" s="197"/>
      <c r="BG36" s="197"/>
      <c r="BH36" s="142"/>
      <c r="BI36" s="142"/>
      <c r="BJ36" s="173"/>
      <c r="BK36" s="114"/>
      <c r="BL36" s="114"/>
      <c r="BM36" s="142"/>
      <c r="BN36" s="142"/>
      <c r="BO36" s="173"/>
      <c r="BP36" s="114"/>
      <c r="BQ36" s="114"/>
      <c r="BR36" s="143"/>
      <c r="BS36" s="142"/>
      <c r="BT36" s="142"/>
      <c r="BU36" s="142"/>
      <c r="BV36" s="114"/>
      <c r="BW36" s="142"/>
      <c r="BX36" s="142"/>
      <c r="BY36" s="114"/>
      <c r="BZ36" s="142"/>
      <c r="CA36" s="173"/>
      <c r="CB36" s="142"/>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row>
    <row r="37" spans="1:106" ht="16.5" customHeight="1">
      <c r="A37" s="455"/>
      <c r="B37" s="456"/>
      <c r="C37" s="456"/>
      <c r="D37" s="456"/>
      <c r="E37" s="482"/>
      <c r="F37" s="456"/>
      <c r="G37" s="456"/>
      <c r="H37" s="456"/>
      <c r="I37" s="456"/>
      <c r="J37" s="455"/>
      <c r="K37" s="479"/>
      <c r="L37" s="480"/>
      <c r="M37" s="475"/>
      <c r="N37" s="477"/>
      <c r="O37" s="479"/>
      <c r="P37" s="480"/>
      <c r="Q37" s="481"/>
      <c r="R37" s="194">
        <v>3</v>
      </c>
      <c r="S37" s="205"/>
      <c r="T37" s="178" t="str">
        <f t="shared" si="0"/>
        <v/>
      </c>
      <c r="U37" s="178"/>
      <c r="V37" s="178"/>
      <c r="W37" s="178"/>
      <c r="X37" s="178"/>
      <c r="Y37" s="206"/>
      <c r="Z37" s="206"/>
      <c r="AA37" s="179" t="str">
        <f t="shared" ref="AA37:AA64" si="6">IF(AND(Y37="Preventivo",Z37="Automático"),"50%",IF(AND(Y37="Preventivo",Z37="Manual"),"40%",IF(AND(Y37="Detectivo",Z37="Automático"),"40%",IF(AND(Y37="Detectivo",Z37="Manual"),"30%",IF(AND(Y37="Correctivo",Z37="Automático"),"35%",IF(AND(Y37="Correctivo",Z37="Manual"),"25%",""))))))</f>
        <v/>
      </c>
      <c r="AB37" s="206"/>
      <c r="AC37" s="206"/>
      <c r="AD37" s="206"/>
      <c r="AE37" s="183" t="str">
        <f>IFERROR(IF(AND(T36="Probabilidad",T37="Probabilidad"),(AG36-(+AG36*AA37)),IF(AND(T36="Impacto",T37="Probabilidad"),(AG35-(+AG35*AA37)),IF(T37="Impacto",AG36,""))),"")</f>
        <v/>
      </c>
      <c r="AF37" s="181" t="str">
        <f t="shared" si="4"/>
        <v/>
      </c>
      <c r="AG37" s="179" t="str">
        <f t="shared" ref="AG37:AG64" si="7">+AE37</f>
        <v/>
      </c>
      <c r="AH37" s="181" t="str">
        <f t="shared" si="5"/>
        <v/>
      </c>
      <c r="AI37" s="179" t="str">
        <f>IFERROR(IF(AND(T36="Impacto",T37="Impacto"),(AI36-(+AI36*AA37)),IF(AND(T36="Probabilidad",T37="Impacto"),(AI35-(+AI35*AA37)),IF(T37="Probabilidad",AI36,""))),"")</f>
        <v/>
      </c>
      <c r="AJ37" s="182" t="str">
        <f t="shared" ref="AJ37:AJ64" si="8">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464"/>
      <c r="AL37" s="196"/>
      <c r="AM37" s="194"/>
      <c r="AN37" s="197"/>
      <c r="AO37" s="197"/>
      <c r="AP37" s="196"/>
      <c r="AQ37" s="197"/>
      <c r="AR37" s="196"/>
      <c r="AS37" s="114"/>
      <c r="AT37" s="142"/>
      <c r="AU37" s="114"/>
      <c r="AV37" s="142"/>
      <c r="AW37" s="173"/>
      <c r="AX37" s="196"/>
      <c r="AY37" s="297"/>
      <c r="AZ37" s="194"/>
      <c r="BA37" s="197"/>
      <c r="BB37" s="197"/>
      <c r="BC37" s="196"/>
      <c r="BD37" s="196"/>
      <c r="BE37" s="194"/>
      <c r="BF37" s="197"/>
      <c r="BG37" s="197"/>
      <c r="BH37" s="142"/>
      <c r="BI37" s="142"/>
      <c r="BJ37" s="173"/>
      <c r="BK37" s="114"/>
      <c r="BL37" s="114"/>
      <c r="BM37" s="142"/>
      <c r="BN37" s="142"/>
      <c r="BO37" s="173"/>
      <c r="BP37" s="114"/>
      <c r="BQ37" s="114"/>
      <c r="BR37" s="143"/>
      <c r="BS37" s="142"/>
      <c r="BT37" s="142"/>
      <c r="BU37" s="142"/>
      <c r="BV37" s="114"/>
      <c r="BW37" s="142"/>
      <c r="BX37" s="142"/>
      <c r="BY37" s="114"/>
      <c r="BZ37" s="142"/>
      <c r="CA37" s="173"/>
      <c r="CB37" s="142"/>
      <c r="CC37" s="144"/>
      <c r="CD37" s="144"/>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row>
    <row r="38" spans="1:106" ht="16.5" customHeight="1">
      <c r="A38" s="455"/>
      <c r="B38" s="456"/>
      <c r="C38" s="456"/>
      <c r="D38" s="456"/>
      <c r="E38" s="482"/>
      <c r="F38" s="456"/>
      <c r="G38" s="456"/>
      <c r="H38" s="456"/>
      <c r="I38" s="456"/>
      <c r="J38" s="455"/>
      <c r="K38" s="479"/>
      <c r="L38" s="480"/>
      <c r="M38" s="475"/>
      <c r="N38" s="477"/>
      <c r="O38" s="479"/>
      <c r="P38" s="480"/>
      <c r="Q38" s="481"/>
      <c r="R38" s="194">
        <v>4</v>
      </c>
      <c r="S38" s="205"/>
      <c r="T38" s="178" t="str">
        <f t="shared" ref="T38:T64" si="9">IF(OR(Y38="Preventivo",Y38="Detectivo"),"Probabilidad",IF(Y38="Correctivo","Impacto",""))</f>
        <v/>
      </c>
      <c r="U38" s="178"/>
      <c r="V38" s="178"/>
      <c r="W38" s="178"/>
      <c r="X38" s="178"/>
      <c r="Y38" s="206"/>
      <c r="Z38" s="206"/>
      <c r="AA38" s="179" t="str">
        <f t="shared" si="6"/>
        <v/>
      </c>
      <c r="AB38" s="206"/>
      <c r="AC38" s="206"/>
      <c r="AD38" s="206"/>
      <c r="AE38" s="183" t="str">
        <f>IFERROR(IF(AND(T37="Probabilidad",T38="Probabilidad"),(AG37-(+AG37*AA38)),IF(AND(T37="Impacto",T38="Probabilidad"),(AG36-(+AG36*AA38)),IF(T38="Impacto",AG37,""))),"")</f>
        <v/>
      </c>
      <c r="AF38" s="181" t="str">
        <f t="shared" si="4"/>
        <v/>
      </c>
      <c r="AG38" s="179" t="str">
        <f t="shared" si="7"/>
        <v/>
      </c>
      <c r="AH38" s="181" t="str">
        <f t="shared" si="5"/>
        <v/>
      </c>
      <c r="AI38" s="179" t="str">
        <f>IFERROR(IF(AND(T37="Impacto",T38="Impacto"),(AI37-(+AI37*AA38)),IF(AND(T37="Probabilidad",T38="Impacto"),(AI36-(+AI36*AA38)),IF(T38="Probabilidad",AI37,""))),"")</f>
        <v/>
      </c>
      <c r="AJ38" s="182" t="str">
        <f t="shared" si="8"/>
        <v/>
      </c>
      <c r="AK38" s="464"/>
      <c r="AL38" s="196"/>
      <c r="AM38" s="194"/>
      <c r="AN38" s="197"/>
      <c r="AO38" s="197"/>
      <c r="AP38" s="196"/>
      <c r="AQ38" s="197"/>
      <c r="AR38" s="196"/>
      <c r="AS38" s="114"/>
      <c r="AT38" s="142"/>
      <c r="AU38" s="114"/>
      <c r="AV38" s="142"/>
      <c r="AW38" s="173"/>
      <c r="AX38" s="196"/>
      <c r="AY38" s="297"/>
      <c r="AZ38" s="194"/>
      <c r="BA38" s="197"/>
      <c r="BB38" s="197"/>
      <c r="BC38" s="196"/>
      <c r="BD38" s="196"/>
      <c r="BE38" s="194"/>
      <c r="BF38" s="197"/>
      <c r="BG38" s="197"/>
      <c r="BH38" s="142"/>
      <c r="BI38" s="142"/>
      <c r="BJ38" s="173"/>
      <c r="BK38" s="114"/>
      <c r="BL38" s="114"/>
      <c r="BM38" s="142"/>
      <c r="BN38" s="142"/>
      <c r="BO38" s="173"/>
      <c r="BP38" s="114"/>
      <c r="BQ38" s="114"/>
      <c r="BR38" s="143"/>
      <c r="BS38" s="142"/>
      <c r="BT38" s="142"/>
      <c r="BU38" s="142"/>
      <c r="BV38" s="114"/>
      <c r="BW38" s="142"/>
      <c r="BX38" s="142"/>
      <c r="BY38" s="114"/>
      <c r="BZ38" s="142"/>
      <c r="CA38" s="173"/>
      <c r="CB38" s="142"/>
      <c r="CC38" s="144"/>
      <c r="CD38" s="144"/>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row>
    <row r="39" spans="1:106" ht="16.5" customHeight="1">
      <c r="A39" s="455"/>
      <c r="B39" s="456"/>
      <c r="C39" s="456"/>
      <c r="D39" s="456"/>
      <c r="E39" s="482"/>
      <c r="F39" s="456"/>
      <c r="G39" s="456"/>
      <c r="H39" s="456"/>
      <c r="I39" s="456"/>
      <c r="J39" s="455"/>
      <c r="K39" s="479"/>
      <c r="L39" s="480"/>
      <c r="M39" s="475"/>
      <c r="N39" s="477"/>
      <c r="O39" s="479"/>
      <c r="P39" s="480"/>
      <c r="Q39" s="481"/>
      <c r="R39" s="194">
        <v>5</v>
      </c>
      <c r="S39" s="205"/>
      <c r="T39" s="178" t="str">
        <f t="shared" si="9"/>
        <v/>
      </c>
      <c r="U39" s="178"/>
      <c r="V39" s="178"/>
      <c r="W39" s="178"/>
      <c r="X39" s="178"/>
      <c r="Y39" s="206"/>
      <c r="Z39" s="206"/>
      <c r="AA39" s="179" t="str">
        <f t="shared" si="6"/>
        <v/>
      </c>
      <c r="AB39" s="206"/>
      <c r="AC39" s="206"/>
      <c r="AD39" s="206"/>
      <c r="AE39" s="183" t="str">
        <f>IFERROR(IF(AND(T38="Probabilidad",T39="Probabilidad"),(AG38-(+AG38*AA39)),IF(AND(T38="Impacto",T39="Probabilidad"),(AG37-(+AG37*AA39)),IF(T39="Impacto",AG38,""))),"")</f>
        <v/>
      </c>
      <c r="AF39" s="181" t="str">
        <f t="shared" si="4"/>
        <v/>
      </c>
      <c r="AG39" s="179" t="str">
        <f t="shared" si="7"/>
        <v/>
      </c>
      <c r="AH39" s="181" t="str">
        <f t="shared" si="5"/>
        <v/>
      </c>
      <c r="AI39" s="179" t="str">
        <f>IFERROR(IF(AND(T38="Impacto",T39="Impacto"),(AI38-(+AI38*AA39)),IF(AND(T38="Probabilidad",T39="Impacto"),(AI37-(+AI37*AA39)),IF(T39="Probabilidad",AI38,""))),"")</f>
        <v/>
      </c>
      <c r="AJ39" s="182" t="str">
        <f t="shared" si="8"/>
        <v/>
      </c>
      <c r="AK39" s="464"/>
      <c r="AL39" s="196"/>
      <c r="AM39" s="194"/>
      <c r="AN39" s="197"/>
      <c r="AO39" s="197"/>
      <c r="AP39" s="196"/>
      <c r="AQ39" s="197"/>
      <c r="AR39" s="196"/>
      <c r="AS39" s="114"/>
      <c r="AT39" s="142"/>
      <c r="AU39" s="114"/>
      <c r="AV39" s="142"/>
      <c r="AW39" s="173"/>
      <c r="AX39" s="196"/>
      <c r="AY39" s="297"/>
      <c r="AZ39" s="194"/>
      <c r="BA39" s="197"/>
      <c r="BB39" s="197"/>
      <c r="BC39" s="196"/>
      <c r="BD39" s="196"/>
      <c r="BE39" s="194"/>
      <c r="BF39" s="197"/>
      <c r="BG39" s="197"/>
      <c r="BH39" s="142"/>
      <c r="BI39" s="142"/>
      <c r="BJ39" s="173"/>
      <c r="BK39" s="114"/>
      <c r="BL39" s="114"/>
      <c r="BM39" s="142"/>
      <c r="BN39" s="142"/>
      <c r="BO39" s="173"/>
      <c r="BP39" s="114"/>
      <c r="BQ39" s="114"/>
      <c r="BR39" s="143"/>
      <c r="BS39" s="142"/>
      <c r="BT39" s="142"/>
      <c r="BU39" s="142"/>
      <c r="BV39" s="114"/>
      <c r="BW39" s="142"/>
      <c r="BX39" s="142"/>
      <c r="BY39" s="114"/>
      <c r="BZ39" s="142"/>
      <c r="CA39" s="173"/>
      <c r="CB39" s="142"/>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row>
    <row r="40" spans="1:106" ht="16.5" customHeight="1">
      <c r="A40" s="455"/>
      <c r="B40" s="456"/>
      <c r="C40" s="456"/>
      <c r="D40" s="456"/>
      <c r="E40" s="482"/>
      <c r="F40" s="456"/>
      <c r="G40" s="456"/>
      <c r="H40" s="456"/>
      <c r="I40" s="456"/>
      <c r="J40" s="455"/>
      <c r="K40" s="479"/>
      <c r="L40" s="480"/>
      <c r="M40" s="475"/>
      <c r="N40" s="478"/>
      <c r="O40" s="479"/>
      <c r="P40" s="480"/>
      <c r="Q40" s="481"/>
      <c r="R40" s="194">
        <v>6</v>
      </c>
      <c r="S40" s="205"/>
      <c r="T40" s="178" t="str">
        <f t="shared" si="9"/>
        <v/>
      </c>
      <c r="U40" s="178"/>
      <c r="V40" s="178"/>
      <c r="W40" s="178"/>
      <c r="X40" s="178"/>
      <c r="Y40" s="206"/>
      <c r="Z40" s="206"/>
      <c r="AA40" s="179" t="str">
        <f t="shared" si="6"/>
        <v/>
      </c>
      <c r="AB40" s="206"/>
      <c r="AC40" s="206"/>
      <c r="AD40" s="206"/>
      <c r="AE40" s="183" t="str">
        <f>IFERROR(IF(AND(T39="Probabilidad",T40="Probabilidad"),(AG39-(+AG39*AA40)),IF(AND(T39="Impacto",T40="Probabilidad"),(AG38-(+AG38*AA40)),IF(T40="Impacto",AG39,""))),"")</f>
        <v/>
      </c>
      <c r="AF40" s="181" t="str">
        <f t="shared" si="4"/>
        <v/>
      </c>
      <c r="AG40" s="179" t="str">
        <f t="shared" si="7"/>
        <v/>
      </c>
      <c r="AH40" s="181" t="str">
        <f>IFERROR(IF(AI40="","",IF(AI40&lt;=0.2,"Leve",IF(AI40&lt;=0.4,"Menor",IF(AI40&lt;=0.6,"Moderado",IF(AI40&lt;=0.8,"Mayor","Catastrófico"))))),"")</f>
        <v/>
      </c>
      <c r="AI40" s="179" t="str">
        <f>IFERROR(IF(AND(T39="Impacto",T40="Impacto"),(AI39-(+AI39*AA40)),IF(AND(T39="Probabilidad",T40="Impacto"),(AI38-(+AI38*AA40)),IF(T40="Probabilidad",AI39,""))),"")</f>
        <v/>
      </c>
      <c r="AJ40" s="182" t="str">
        <f t="shared" si="8"/>
        <v/>
      </c>
      <c r="AK40" s="465"/>
      <c r="AL40" s="196"/>
      <c r="AM40" s="194"/>
      <c r="AN40" s="197"/>
      <c r="AO40" s="197"/>
      <c r="AP40" s="196"/>
      <c r="AQ40" s="197"/>
      <c r="AR40" s="196"/>
      <c r="AS40" s="114"/>
      <c r="AT40" s="142"/>
      <c r="AU40" s="114"/>
      <c r="AV40" s="142"/>
      <c r="AW40" s="173"/>
      <c r="AX40" s="196"/>
      <c r="AY40" s="297"/>
      <c r="AZ40" s="194"/>
      <c r="BA40" s="197"/>
      <c r="BB40" s="197"/>
      <c r="BC40" s="196"/>
      <c r="BD40" s="196"/>
      <c r="BE40" s="194"/>
      <c r="BF40" s="197"/>
      <c r="BG40" s="197"/>
      <c r="BH40" s="142"/>
      <c r="BI40" s="142"/>
      <c r="BJ40" s="173"/>
      <c r="BK40" s="114"/>
      <c r="BL40" s="114"/>
      <c r="BM40" s="142"/>
      <c r="BN40" s="142"/>
      <c r="BO40" s="173"/>
      <c r="BP40" s="114"/>
      <c r="BQ40" s="114"/>
      <c r="BR40" s="143"/>
      <c r="BS40" s="142"/>
      <c r="BT40" s="142"/>
      <c r="BU40" s="142"/>
      <c r="BV40" s="114"/>
      <c r="BW40" s="142"/>
      <c r="BX40" s="142"/>
      <c r="BY40" s="114"/>
      <c r="BZ40" s="142"/>
      <c r="CA40" s="173"/>
      <c r="CB40" s="142"/>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row>
    <row r="41" spans="1:106" ht="16.5" customHeight="1">
      <c r="A41" s="455">
        <v>7</v>
      </c>
      <c r="B41" s="456"/>
      <c r="C41" s="456"/>
      <c r="D41" s="456"/>
      <c r="E41" s="482"/>
      <c r="F41" s="456"/>
      <c r="G41" s="456"/>
      <c r="H41" s="456"/>
      <c r="I41" s="456"/>
      <c r="J41" s="455"/>
      <c r="K41" s="479" t="str">
        <f>IF(J41&lt;=0,"",IF(J41&lt;=2,"Muy Baja",IF(J41&lt;=24,"Baja",IF(J41&lt;=500,"Media",IF(J41&lt;=5000,"Alta","Muy Alta")))))</f>
        <v/>
      </c>
      <c r="L41" s="480" t="str">
        <f>IF(K41="","",IF(K41="Muy Baja",0.2,IF(K41="Baja",0.4,IF(K41="Media",0.6,IF(K41="Alta",0.8,IF(K41="Muy Alta",1,))))))</f>
        <v/>
      </c>
      <c r="M41" s="475"/>
      <c r="N41" s="476">
        <f>IF(NOT(ISERROR(MATCH(M41,'Tabla Impacto'!$B$221:$B$223,0))),'Tabla Impacto'!$F$223&amp;"Por favor no seleccionar los criterios de impacto(Afectación Económica o presupuestal y Pérdida Reputacional)",M41)</f>
        <v>0</v>
      </c>
      <c r="O41" s="479" t="str">
        <f>IF(OR(N41='Tabla Impacto'!$C$11,N41='Tabla Impacto'!$D$11),"Leve",IF(OR(N41='Tabla Impacto'!$C$12,N41='Tabla Impacto'!$D$12),"Menor",IF(OR(N41='Tabla Impacto'!$C$13,N41='Tabla Impacto'!$D$13),"Moderado",IF(OR(N41='Tabla Impacto'!$C$14,N41='Tabla Impacto'!$D$14),"Mayor",IF(OR(N41='Tabla Impacto'!$C$15,N41='Tabla Impacto'!$D$15),"Catastrófico","")))))</f>
        <v/>
      </c>
      <c r="P41" s="480" t="str">
        <f>IF(O41="","",IF(O41="Leve",0.2,IF(O41="Menor",0.4,IF(O41="Moderado",0.6,IF(O41="Mayor",0.8,IF(O41="Catastrófico",1,))))))</f>
        <v/>
      </c>
      <c r="Q41" s="481"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94">
        <v>1</v>
      </c>
      <c r="S41" s="205"/>
      <c r="T41" s="178" t="str">
        <f t="shared" si="9"/>
        <v/>
      </c>
      <c r="U41" s="178"/>
      <c r="V41" s="178"/>
      <c r="W41" s="178"/>
      <c r="X41" s="178"/>
      <c r="Y41" s="206"/>
      <c r="Z41" s="206"/>
      <c r="AA41" s="179" t="str">
        <f t="shared" si="6"/>
        <v/>
      </c>
      <c r="AB41" s="206"/>
      <c r="AC41" s="206"/>
      <c r="AD41" s="206"/>
      <c r="AE41" s="183" t="str">
        <f>IFERROR(IF(T41="Probabilidad",(L41-(+L41*AA41)),IF(T41="Impacto",L41,"")),"")</f>
        <v/>
      </c>
      <c r="AF41" s="181" t="str">
        <f>IFERROR(IF(AE41="","",IF(AE41&lt;=0.2,"Muy Baja",IF(AE41&lt;=0.4,"Baja",IF(AE41&lt;=0.6,"Media",IF(AE41&lt;=0.8,"Alta","Muy Alta"))))),"")</f>
        <v/>
      </c>
      <c r="AG41" s="179" t="str">
        <f t="shared" si="7"/>
        <v/>
      </c>
      <c r="AH41" s="181" t="str">
        <f>IFERROR(IF(AI41="","",IF(AI41&lt;=0.2,"Leve",IF(AI41&lt;=0.4,"Menor",IF(AI41&lt;=0.6,"Moderado",IF(AI41&lt;=0.8,"Mayor","Catastrófico"))))),"")</f>
        <v/>
      </c>
      <c r="AI41" s="179" t="str">
        <f>IFERROR(IF(T41="Impacto",(P41-(+P41*AA41)),IF(T41="Probabilidad",P41,"")),"")</f>
        <v/>
      </c>
      <c r="AJ41" s="182" t="str">
        <f t="shared" si="8"/>
        <v/>
      </c>
      <c r="AK41" s="463"/>
      <c r="AL41" s="196"/>
      <c r="AM41" s="194"/>
      <c r="AN41" s="197"/>
      <c r="AO41" s="197"/>
      <c r="AP41" s="196"/>
      <c r="AQ41" s="197"/>
      <c r="AR41" s="196"/>
      <c r="AS41" s="114"/>
      <c r="AT41" s="142"/>
      <c r="AU41" s="114"/>
      <c r="AV41" s="142"/>
      <c r="AW41" s="173"/>
      <c r="AX41" s="196"/>
      <c r="AY41" s="297"/>
      <c r="AZ41" s="194"/>
      <c r="BA41" s="197"/>
      <c r="BB41" s="197"/>
      <c r="BC41" s="196"/>
      <c r="BD41" s="196"/>
      <c r="BE41" s="194"/>
      <c r="BF41" s="197"/>
      <c r="BG41" s="197"/>
      <c r="BH41" s="142"/>
      <c r="BI41" s="142"/>
      <c r="BJ41" s="173"/>
      <c r="BK41" s="114"/>
      <c r="BL41" s="114"/>
      <c r="BM41" s="142"/>
      <c r="BN41" s="142"/>
      <c r="BO41" s="173"/>
      <c r="BP41" s="114"/>
      <c r="BQ41" s="114"/>
      <c r="BR41" s="143"/>
      <c r="BS41" s="142"/>
      <c r="BT41" s="142"/>
      <c r="BU41" s="142"/>
      <c r="BV41" s="114"/>
      <c r="BW41" s="142"/>
      <c r="BX41" s="142"/>
      <c r="BY41" s="114"/>
      <c r="BZ41" s="142"/>
      <c r="CA41" s="173"/>
      <c r="CB41" s="142"/>
      <c r="CC41" s="144"/>
      <c r="CD41" s="144"/>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row>
    <row r="42" spans="1:106" ht="16.5" customHeight="1">
      <c r="A42" s="455"/>
      <c r="B42" s="456"/>
      <c r="C42" s="456"/>
      <c r="D42" s="456"/>
      <c r="E42" s="482"/>
      <c r="F42" s="456"/>
      <c r="G42" s="456"/>
      <c r="H42" s="456"/>
      <c r="I42" s="456"/>
      <c r="J42" s="455"/>
      <c r="K42" s="479"/>
      <c r="L42" s="480"/>
      <c r="M42" s="475"/>
      <c r="N42" s="477"/>
      <c r="O42" s="479"/>
      <c r="P42" s="480"/>
      <c r="Q42" s="481"/>
      <c r="R42" s="194">
        <v>2</v>
      </c>
      <c r="S42" s="205"/>
      <c r="T42" s="178" t="str">
        <f t="shared" si="9"/>
        <v/>
      </c>
      <c r="U42" s="178"/>
      <c r="V42" s="178"/>
      <c r="W42" s="178"/>
      <c r="X42" s="178"/>
      <c r="Y42" s="206"/>
      <c r="Z42" s="206"/>
      <c r="AA42" s="179" t="str">
        <f t="shared" si="6"/>
        <v/>
      </c>
      <c r="AB42" s="206"/>
      <c r="AC42" s="206"/>
      <c r="AD42" s="206"/>
      <c r="AE42" s="183" t="str">
        <f>IFERROR(IF(AND(T41="Probabilidad",T42="Probabilidad"),(AG41-(+AG41*AA42)),IF(T42="Probabilidad",(L41-(+L41*AA42)),IF(T42="Impacto",AG41,""))),"")</f>
        <v/>
      </c>
      <c r="AF42" s="181" t="str">
        <f t="shared" si="4"/>
        <v/>
      </c>
      <c r="AG42" s="179" t="str">
        <f t="shared" si="7"/>
        <v/>
      </c>
      <c r="AH42" s="181" t="str">
        <f t="shared" si="5"/>
        <v/>
      </c>
      <c r="AI42" s="179" t="str">
        <f>IFERROR(IF(AND(T41="Impacto",T42="Impacto"),(AI35-(+AI35*AA42)),IF(T42="Impacto",($P$41-(+$P$41*AA42)),IF(T42="Probabilidad",AI35,""))),"")</f>
        <v/>
      </c>
      <c r="AJ42" s="182" t="str">
        <f t="shared" si="8"/>
        <v/>
      </c>
      <c r="AK42" s="464"/>
      <c r="AL42" s="196"/>
      <c r="AM42" s="194"/>
      <c r="AN42" s="197"/>
      <c r="AO42" s="197"/>
      <c r="AP42" s="196"/>
      <c r="AQ42" s="197"/>
      <c r="AR42" s="196"/>
      <c r="AS42" s="114"/>
      <c r="AT42" s="142"/>
      <c r="AU42" s="114"/>
      <c r="AV42" s="142"/>
      <c r="AW42" s="173"/>
      <c r="AX42" s="196"/>
      <c r="AY42" s="297"/>
      <c r="AZ42" s="194"/>
      <c r="BA42" s="197"/>
      <c r="BB42" s="197"/>
      <c r="BC42" s="196"/>
      <c r="BD42" s="196"/>
      <c r="BE42" s="194"/>
      <c r="BF42" s="197"/>
      <c r="BG42" s="197"/>
      <c r="BH42" s="142"/>
      <c r="BI42" s="142"/>
      <c r="BJ42" s="173"/>
      <c r="BK42" s="114"/>
      <c r="BL42" s="114"/>
      <c r="BM42" s="142"/>
      <c r="BN42" s="142"/>
      <c r="BO42" s="173"/>
      <c r="BP42" s="114"/>
      <c r="BQ42" s="114"/>
      <c r="BR42" s="143"/>
      <c r="BS42" s="142"/>
      <c r="BT42" s="142"/>
      <c r="BU42" s="142"/>
      <c r="BV42" s="114"/>
      <c r="BW42" s="142"/>
      <c r="BX42" s="142"/>
      <c r="BY42" s="114"/>
      <c r="BZ42" s="142"/>
      <c r="CA42" s="173"/>
      <c r="CB42" s="142"/>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row>
    <row r="43" spans="1:106" ht="16.5" customHeight="1">
      <c r="A43" s="455"/>
      <c r="B43" s="456"/>
      <c r="C43" s="456"/>
      <c r="D43" s="456"/>
      <c r="E43" s="482"/>
      <c r="F43" s="456"/>
      <c r="G43" s="456"/>
      <c r="H43" s="456"/>
      <c r="I43" s="456"/>
      <c r="J43" s="455"/>
      <c r="K43" s="479"/>
      <c r="L43" s="480"/>
      <c r="M43" s="475"/>
      <c r="N43" s="477"/>
      <c r="O43" s="479"/>
      <c r="P43" s="480"/>
      <c r="Q43" s="481"/>
      <c r="R43" s="194">
        <v>3</v>
      </c>
      <c r="S43" s="205"/>
      <c r="T43" s="178" t="str">
        <f t="shared" si="9"/>
        <v/>
      </c>
      <c r="U43" s="178"/>
      <c r="V43" s="178"/>
      <c r="W43" s="178"/>
      <c r="X43" s="178"/>
      <c r="Y43" s="206"/>
      <c r="Z43" s="206"/>
      <c r="AA43" s="179" t="str">
        <f t="shared" si="6"/>
        <v/>
      </c>
      <c r="AB43" s="206"/>
      <c r="AC43" s="206"/>
      <c r="AD43" s="206"/>
      <c r="AE43" s="183" t="str">
        <f>IFERROR(IF(AND(T42="Probabilidad",T43="Probabilidad"),(AG42-(+AG42*AA43)),IF(AND(T42="Impacto",T43="Probabilidad"),(AG41-(+AG41*AA43)),IF(T43="Impacto",AG42,""))),"")</f>
        <v/>
      </c>
      <c r="AF43" s="181" t="str">
        <f t="shared" si="4"/>
        <v/>
      </c>
      <c r="AG43" s="179" t="str">
        <f t="shared" si="7"/>
        <v/>
      </c>
      <c r="AH43" s="181" t="str">
        <f t="shared" si="5"/>
        <v/>
      </c>
      <c r="AI43" s="179" t="str">
        <f>IFERROR(IF(AND(T42="Impacto",T43="Impacto"),(AI42-(+AI42*AA43)),IF(AND(T42="Probabilidad",T43="Impacto"),(AI41-(+AI41*AA43)),IF(T43="Probabilidad",AI42,""))),"")</f>
        <v/>
      </c>
      <c r="AJ43" s="182" t="str">
        <f t="shared" si="8"/>
        <v/>
      </c>
      <c r="AK43" s="464"/>
      <c r="AL43" s="196"/>
      <c r="AM43" s="194"/>
      <c r="AN43" s="197"/>
      <c r="AO43" s="197"/>
      <c r="AP43" s="196"/>
      <c r="AQ43" s="197"/>
      <c r="AR43" s="196"/>
      <c r="AS43" s="114"/>
      <c r="AT43" s="142"/>
      <c r="AU43" s="114"/>
      <c r="AV43" s="142"/>
      <c r="AW43" s="173"/>
      <c r="AX43" s="196"/>
      <c r="AY43" s="297"/>
      <c r="AZ43" s="194"/>
      <c r="BA43" s="197"/>
      <c r="BB43" s="197"/>
      <c r="BC43" s="196"/>
      <c r="BD43" s="196"/>
      <c r="BE43" s="194"/>
      <c r="BF43" s="197"/>
      <c r="BG43" s="197"/>
      <c r="BH43" s="142"/>
      <c r="BI43" s="142"/>
      <c r="BJ43" s="173"/>
      <c r="BK43" s="114"/>
      <c r="BL43" s="114"/>
      <c r="BM43" s="142"/>
      <c r="BN43" s="142"/>
      <c r="BO43" s="173"/>
      <c r="BP43" s="114"/>
      <c r="BQ43" s="114"/>
      <c r="BR43" s="143"/>
      <c r="BS43" s="142"/>
      <c r="BT43" s="142"/>
      <c r="BU43" s="142"/>
      <c r="BV43" s="114"/>
      <c r="BW43" s="142"/>
      <c r="BX43" s="142"/>
      <c r="BY43" s="114"/>
      <c r="BZ43" s="142"/>
      <c r="CA43" s="173"/>
      <c r="CB43" s="142"/>
      <c r="CC43" s="144"/>
      <c r="CD43" s="144"/>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row>
    <row r="44" spans="1:106" ht="16.5" customHeight="1">
      <c r="A44" s="455"/>
      <c r="B44" s="456"/>
      <c r="C44" s="456"/>
      <c r="D44" s="456"/>
      <c r="E44" s="482"/>
      <c r="F44" s="456"/>
      <c r="G44" s="456"/>
      <c r="H44" s="456"/>
      <c r="I44" s="456"/>
      <c r="J44" s="455"/>
      <c r="K44" s="479"/>
      <c r="L44" s="480"/>
      <c r="M44" s="475"/>
      <c r="N44" s="477"/>
      <c r="O44" s="479"/>
      <c r="P44" s="480"/>
      <c r="Q44" s="481"/>
      <c r="R44" s="194">
        <v>4</v>
      </c>
      <c r="S44" s="205"/>
      <c r="T44" s="178" t="str">
        <f t="shared" si="9"/>
        <v/>
      </c>
      <c r="U44" s="178"/>
      <c r="V44" s="178"/>
      <c r="W44" s="178"/>
      <c r="X44" s="178"/>
      <c r="Y44" s="206"/>
      <c r="Z44" s="206"/>
      <c r="AA44" s="179" t="str">
        <f t="shared" si="6"/>
        <v/>
      </c>
      <c r="AB44" s="206"/>
      <c r="AC44" s="206"/>
      <c r="AD44" s="206"/>
      <c r="AE44" s="183" t="str">
        <f>IFERROR(IF(AND(T43="Probabilidad",T44="Probabilidad"),(AG43-(+AG43*AA44)),IF(AND(T43="Impacto",T44="Probabilidad"),(AG42-(+AG42*AA44)),IF(T44="Impacto",AG43,""))),"")</f>
        <v/>
      </c>
      <c r="AF44" s="181" t="str">
        <f t="shared" si="4"/>
        <v/>
      </c>
      <c r="AG44" s="179" t="str">
        <f t="shared" si="7"/>
        <v/>
      </c>
      <c r="AH44" s="181" t="str">
        <f t="shared" si="5"/>
        <v/>
      </c>
      <c r="AI44" s="179" t="str">
        <f>IFERROR(IF(AND(T43="Impacto",T44="Impacto"),(AI43-(+AI43*AA44)),IF(AND(T43="Probabilidad",T44="Impacto"),(AI42-(+AI42*AA44)),IF(T44="Probabilidad",AI43,""))),"")</f>
        <v/>
      </c>
      <c r="AJ44" s="182" t="str">
        <f t="shared" si="8"/>
        <v/>
      </c>
      <c r="AK44" s="464"/>
      <c r="AL44" s="196"/>
      <c r="AM44" s="194"/>
      <c r="AN44" s="197"/>
      <c r="AO44" s="197"/>
      <c r="AP44" s="196"/>
      <c r="AQ44" s="197"/>
      <c r="AR44" s="196"/>
      <c r="AS44" s="114"/>
      <c r="AT44" s="142"/>
      <c r="AU44" s="114"/>
      <c r="AV44" s="142"/>
      <c r="AW44" s="173"/>
      <c r="AX44" s="196"/>
      <c r="AY44" s="297"/>
      <c r="AZ44" s="194"/>
      <c r="BA44" s="197"/>
      <c r="BB44" s="197"/>
      <c r="BC44" s="196"/>
      <c r="BD44" s="196"/>
      <c r="BE44" s="194"/>
      <c r="BF44" s="197"/>
      <c r="BG44" s="197"/>
      <c r="BH44" s="142"/>
      <c r="BI44" s="142"/>
      <c r="BJ44" s="173"/>
      <c r="BK44" s="114"/>
      <c r="BL44" s="114"/>
      <c r="BM44" s="142"/>
      <c r="BN44" s="142"/>
      <c r="BO44" s="173"/>
      <c r="BP44" s="114"/>
      <c r="BQ44" s="114"/>
      <c r="BR44" s="143"/>
      <c r="BS44" s="142"/>
      <c r="BT44" s="142"/>
      <c r="BU44" s="142"/>
      <c r="BV44" s="114"/>
      <c r="BW44" s="142"/>
      <c r="BX44" s="142"/>
      <c r="BY44" s="114"/>
      <c r="BZ44" s="142"/>
      <c r="CA44" s="173"/>
      <c r="CB44" s="142"/>
      <c r="CC44" s="144"/>
      <c r="CD44" s="144"/>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row>
    <row r="45" spans="1:106" ht="16.5" customHeight="1">
      <c r="A45" s="455"/>
      <c r="B45" s="456"/>
      <c r="C45" s="456"/>
      <c r="D45" s="456"/>
      <c r="E45" s="482"/>
      <c r="F45" s="456"/>
      <c r="G45" s="456"/>
      <c r="H45" s="456"/>
      <c r="I45" s="456"/>
      <c r="J45" s="455"/>
      <c r="K45" s="479"/>
      <c r="L45" s="480"/>
      <c r="M45" s="475"/>
      <c r="N45" s="477"/>
      <c r="O45" s="479"/>
      <c r="P45" s="480"/>
      <c r="Q45" s="481"/>
      <c r="R45" s="194">
        <v>5</v>
      </c>
      <c r="S45" s="205"/>
      <c r="T45" s="178" t="str">
        <f t="shared" si="9"/>
        <v/>
      </c>
      <c r="U45" s="178"/>
      <c r="V45" s="178"/>
      <c r="W45" s="178"/>
      <c r="X45" s="178"/>
      <c r="Y45" s="206"/>
      <c r="Z45" s="206"/>
      <c r="AA45" s="179" t="str">
        <f t="shared" si="6"/>
        <v/>
      </c>
      <c r="AB45" s="206"/>
      <c r="AC45" s="206"/>
      <c r="AD45" s="206"/>
      <c r="AE45" s="183" t="str">
        <f>IFERROR(IF(AND(T44="Probabilidad",T45="Probabilidad"),(AG44-(+AG44*AA45)),IF(AND(T44="Impacto",T45="Probabilidad"),(AG43-(+AG43*AA45)),IF(T45="Impacto",AG44,""))),"")</f>
        <v/>
      </c>
      <c r="AF45" s="181" t="str">
        <f t="shared" si="4"/>
        <v/>
      </c>
      <c r="AG45" s="179" t="str">
        <f t="shared" si="7"/>
        <v/>
      </c>
      <c r="AH45" s="181" t="str">
        <f t="shared" si="5"/>
        <v/>
      </c>
      <c r="AI45" s="179" t="str">
        <f>IFERROR(IF(AND(T44="Impacto",T45="Impacto"),(AI44-(+AI44*AA45)),IF(AND(T44="Probabilidad",T45="Impacto"),(AI43-(+AI43*AA45)),IF(T45="Probabilidad",AI44,""))),"")</f>
        <v/>
      </c>
      <c r="AJ45" s="182" t="str">
        <f t="shared" si="8"/>
        <v/>
      </c>
      <c r="AK45" s="464"/>
      <c r="AL45" s="196"/>
      <c r="AM45" s="194"/>
      <c r="AN45" s="197"/>
      <c r="AO45" s="197"/>
      <c r="AP45" s="196"/>
      <c r="AQ45" s="197"/>
      <c r="AR45" s="196"/>
      <c r="AS45" s="114"/>
      <c r="AT45" s="142"/>
      <c r="AU45" s="114"/>
      <c r="AV45" s="142"/>
      <c r="AW45" s="173"/>
      <c r="AX45" s="196"/>
      <c r="AY45" s="297"/>
      <c r="AZ45" s="194"/>
      <c r="BA45" s="197"/>
      <c r="BB45" s="197"/>
      <c r="BC45" s="196"/>
      <c r="BD45" s="196"/>
      <c r="BE45" s="194"/>
      <c r="BF45" s="197"/>
      <c r="BG45" s="197"/>
      <c r="BH45" s="142"/>
      <c r="BI45" s="142"/>
      <c r="BJ45" s="173"/>
      <c r="BK45" s="114"/>
      <c r="BL45" s="114"/>
      <c r="BM45" s="142"/>
      <c r="BN45" s="142"/>
      <c r="BO45" s="173"/>
      <c r="BP45" s="114"/>
      <c r="BQ45" s="114"/>
      <c r="BR45" s="143"/>
      <c r="BS45" s="142"/>
      <c r="BT45" s="142"/>
      <c r="BU45" s="142"/>
      <c r="BV45" s="114"/>
      <c r="BW45" s="142"/>
      <c r="BX45" s="142"/>
      <c r="BY45" s="114"/>
      <c r="BZ45" s="142"/>
      <c r="CA45" s="173"/>
      <c r="CB45" s="142"/>
      <c r="CC45" s="144"/>
      <c r="CD45" s="144"/>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row>
    <row r="46" spans="1:106" ht="16.5" customHeight="1">
      <c r="A46" s="455"/>
      <c r="B46" s="456"/>
      <c r="C46" s="456"/>
      <c r="D46" s="456"/>
      <c r="E46" s="482"/>
      <c r="F46" s="456"/>
      <c r="G46" s="456"/>
      <c r="H46" s="456"/>
      <c r="I46" s="456"/>
      <c r="J46" s="455"/>
      <c r="K46" s="479"/>
      <c r="L46" s="480"/>
      <c r="M46" s="475"/>
      <c r="N46" s="478"/>
      <c r="O46" s="479"/>
      <c r="P46" s="480"/>
      <c r="Q46" s="481"/>
      <c r="R46" s="194">
        <v>6</v>
      </c>
      <c r="S46" s="205"/>
      <c r="T46" s="178" t="str">
        <f t="shared" si="9"/>
        <v/>
      </c>
      <c r="U46" s="178"/>
      <c r="V46" s="178"/>
      <c r="W46" s="178"/>
      <c r="X46" s="178"/>
      <c r="Y46" s="206"/>
      <c r="Z46" s="206"/>
      <c r="AA46" s="179" t="str">
        <f t="shared" si="6"/>
        <v/>
      </c>
      <c r="AB46" s="206"/>
      <c r="AC46" s="206"/>
      <c r="AD46" s="206"/>
      <c r="AE46" s="183" t="str">
        <f>IFERROR(IF(AND(T45="Probabilidad",T46="Probabilidad"),(AG45-(+AG45*AA46)),IF(AND(T45="Impacto",T46="Probabilidad"),(AG44-(+AG44*AA46)),IF(T46="Impacto",AG45,""))),"")</f>
        <v/>
      </c>
      <c r="AF46" s="181" t="str">
        <f t="shared" si="4"/>
        <v/>
      </c>
      <c r="AG46" s="179" t="str">
        <f t="shared" si="7"/>
        <v/>
      </c>
      <c r="AH46" s="181" t="str">
        <f t="shared" si="5"/>
        <v/>
      </c>
      <c r="AI46" s="179" t="str">
        <f>IFERROR(IF(AND(T45="Impacto",T46="Impacto"),(AI45-(+AI45*AA46)),IF(AND(T45="Probabilidad",T46="Impacto"),(AI44-(+AI44*AA46)),IF(T46="Probabilidad",AI45,""))),"")</f>
        <v/>
      </c>
      <c r="AJ46" s="182" t="str">
        <f t="shared" si="8"/>
        <v/>
      </c>
      <c r="AK46" s="465"/>
      <c r="AL46" s="196"/>
      <c r="AM46" s="194"/>
      <c r="AN46" s="197"/>
      <c r="AO46" s="197"/>
      <c r="AP46" s="196"/>
      <c r="AQ46" s="197"/>
      <c r="AR46" s="196"/>
      <c r="AS46" s="114"/>
      <c r="AT46" s="142"/>
      <c r="AU46" s="114"/>
      <c r="AV46" s="142"/>
      <c r="AW46" s="173"/>
      <c r="AX46" s="196"/>
      <c r="AY46" s="297"/>
      <c r="AZ46" s="194"/>
      <c r="BA46" s="197"/>
      <c r="BB46" s="197"/>
      <c r="BC46" s="196"/>
      <c r="BD46" s="196"/>
      <c r="BE46" s="194"/>
      <c r="BF46" s="197"/>
      <c r="BG46" s="197"/>
      <c r="BH46" s="142"/>
      <c r="BI46" s="142"/>
      <c r="BJ46" s="173"/>
      <c r="BK46" s="114"/>
      <c r="BL46" s="114"/>
      <c r="BM46" s="142"/>
      <c r="BN46" s="142"/>
      <c r="BO46" s="173"/>
      <c r="BP46" s="114"/>
      <c r="BQ46" s="114"/>
      <c r="BR46" s="143"/>
      <c r="BS46" s="142"/>
      <c r="BT46" s="142"/>
      <c r="BU46" s="142"/>
      <c r="BV46" s="114"/>
      <c r="BW46" s="142"/>
      <c r="BX46" s="142"/>
      <c r="BY46" s="114"/>
      <c r="BZ46" s="142"/>
      <c r="CA46" s="173"/>
      <c r="CB46" s="142"/>
      <c r="CC46" s="144"/>
      <c r="CD46" s="144"/>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row>
    <row r="47" spans="1:106" ht="16.5" customHeight="1">
      <c r="A47" s="455">
        <v>8</v>
      </c>
      <c r="B47" s="456"/>
      <c r="C47" s="456"/>
      <c r="D47" s="456"/>
      <c r="E47" s="482"/>
      <c r="F47" s="456"/>
      <c r="G47" s="456"/>
      <c r="H47" s="456"/>
      <c r="I47" s="456"/>
      <c r="J47" s="455"/>
      <c r="K47" s="479" t="str">
        <f>IF(J47&lt;=0,"",IF(J47&lt;=2,"Muy Baja",IF(J47&lt;=24,"Baja",IF(J47&lt;=500,"Media",IF(J47&lt;=5000,"Alta","Muy Alta")))))</f>
        <v/>
      </c>
      <c r="L47" s="480" t="str">
        <f>IF(K47="","",IF(K47="Muy Baja",0.2,IF(K47="Baja",0.4,IF(K47="Media",0.6,IF(K47="Alta",0.8,IF(K47="Muy Alta",1,))))))</f>
        <v/>
      </c>
      <c r="M47" s="475"/>
      <c r="N47" s="476">
        <f>IF(NOT(ISERROR(MATCH(M47,'Tabla Impacto'!$B$221:$B$223,0))),'Tabla Impacto'!$F$223&amp;"Por favor no seleccionar los criterios de impacto(Afectación Económica o presupuestal y Pérdida Reputacional)",M47)</f>
        <v>0</v>
      </c>
      <c r="O47" s="479" t="str">
        <f>IF(OR(N47='Tabla Impacto'!$C$11,N47='Tabla Impacto'!$D$11),"Leve",IF(OR(N47='Tabla Impacto'!$C$12,N47='Tabla Impacto'!$D$12),"Menor",IF(OR(N47='Tabla Impacto'!$C$13,N47='Tabla Impacto'!$D$13),"Moderado",IF(OR(N47='Tabla Impacto'!$C$14,N47='Tabla Impacto'!$D$14),"Mayor",IF(OR(N47='Tabla Impacto'!$C$15,N47='Tabla Impacto'!$D$15),"Catastrófico","")))))</f>
        <v/>
      </c>
      <c r="P47" s="480" t="str">
        <f>IF(O47="","",IF(O47="Leve",0.2,IF(O47="Menor",0.4,IF(O47="Moderado",0.6,IF(O47="Mayor",0.8,IF(O47="Catastrófico",1,))))))</f>
        <v/>
      </c>
      <c r="Q47" s="481"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94">
        <v>1</v>
      </c>
      <c r="S47" s="205"/>
      <c r="T47" s="178" t="str">
        <f t="shared" si="9"/>
        <v/>
      </c>
      <c r="U47" s="178"/>
      <c r="V47" s="178"/>
      <c r="W47" s="178"/>
      <c r="X47" s="178"/>
      <c r="Y47" s="206"/>
      <c r="Z47" s="206"/>
      <c r="AA47" s="179" t="str">
        <f t="shared" si="6"/>
        <v/>
      </c>
      <c r="AB47" s="206"/>
      <c r="AC47" s="206"/>
      <c r="AD47" s="206"/>
      <c r="AE47" s="183" t="str">
        <f>IFERROR(IF(T47="Probabilidad",(L47-(+L47*AA47)),IF(T47="Impacto",L47,"")),"")</f>
        <v/>
      </c>
      <c r="AF47" s="181" t="str">
        <f>IFERROR(IF(AE47="","",IF(AE47&lt;=0.2,"Muy Baja",IF(AE47&lt;=0.4,"Baja",IF(AE47&lt;=0.6,"Media",IF(AE47&lt;=0.8,"Alta","Muy Alta"))))),"")</f>
        <v/>
      </c>
      <c r="AG47" s="179" t="str">
        <f t="shared" si="7"/>
        <v/>
      </c>
      <c r="AH47" s="181" t="str">
        <f>IFERROR(IF(AI47="","",IF(AI47&lt;=0.2,"Leve",IF(AI47&lt;=0.4,"Menor",IF(AI47&lt;=0.6,"Moderado",IF(AI47&lt;=0.8,"Mayor","Catastrófico"))))),"")</f>
        <v/>
      </c>
      <c r="AI47" s="179" t="str">
        <f>IFERROR(IF(T47="Impacto",(P47-(+P47*AA47)),IF(T47="Probabilidad",P47,"")),"")</f>
        <v/>
      </c>
      <c r="AJ47" s="182" t="str">
        <f t="shared" si="8"/>
        <v/>
      </c>
      <c r="AK47" s="463"/>
      <c r="AL47" s="196"/>
      <c r="AM47" s="194"/>
      <c r="AN47" s="197"/>
      <c r="AO47" s="197"/>
      <c r="AP47" s="196"/>
      <c r="AQ47" s="197"/>
      <c r="AR47" s="196"/>
      <c r="AS47" s="114"/>
      <c r="AT47" s="142"/>
      <c r="AU47" s="114"/>
      <c r="AV47" s="142"/>
      <c r="AW47" s="173"/>
      <c r="AX47" s="196"/>
      <c r="AY47" s="297"/>
      <c r="AZ47" s="194"/>
      <c r="BA47" s="197"/>
      <c r="BB47" s="197"/>
      <c r="BC47" s="196"/>
      <c r="BD47" s="196"/>
      <c r="BE47" s="194"/>
      <c r="BF47" s="197"/>
      <c r="BG47" s="197"/>
      <c r="BH47" s="142"/>
      <c r="BI47" s="142"/>
      <c r="BJ47" s="173"/>
      <c r="BK47" s="114"/>
      <c r="BL47" s="114"/>
      <c r="BM47" s="142"/>
      <c r="BN47" s="142"/>
      <c r="BO47" s="173"/>
      <c r="BP47" s="114"/>
      <c r="BQ47" s="114"/>
      <c r="BR47" s="143"/>
      <c r="BS47" s="142"/>
      <c r="BT47" s="142"/>
      <c r="BU47" s="142"/>
      <c r="BV47" s="114"/>
      <c r="BW47" s="142"/>
      <c r="BX47" s="142"/>
      <c r="BY47" s="114"/>
      <c r="BZ47" s="142"/>
      <c r="CA47" s="173"/>
      <c r="CB47" s="142"/>
      <c r="CC47" s="144"/>
      <c r="CD47" s="144"/>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row>
    <row r="48" spans="1:106" ht="16.5" customHeight="1">
      <c r="A48" s="455"/>
      <c r="B48" s="456"/>
      <c r="C48" s="456"/>
      <c r="D48" s="456"/>
      <c r="E48" s="482"/>
      <c r="F48" s="456"/>
      <c r="G48" s="456"/>
      <c r="H48" s="456"/>
      <c r="I48" s="456"/>
      <c r="J48" s="455"/>
      <c r="K48" s="479"/>
      <c r="L48" s="480"/>
      <c r="M48" s="475"/>
      <c r="N48" s="477"/>
      <c r="O48" s="479"/>
      <c r="P48" s="480"/>
      <c r="Q48" s="481"/>
      <c r="R48" s="194">
        <v>2</v>
      </c>
      <c r="S48" s="205"/>
      <c r="T48" s="178" t="str">
        <f t="shared" si="9"/>
        <v/>
      </c>
      <c r="U48" s="178"/>
      <c r="V48" s="178"/>
      <c r="W48" s="178"/>
      <c r="X48" s="178"/>
      <c r="Y48" s="206"/>
      <c r="Z48" s="206"/>
      <c r="AA48" s="179" t="str">
        <f t="shared" si="6"/>
        <v/>
      </c>
      <c r="AB48" s="206"/>
      <c r="AC48" s="206"/>
      <c r="AD48" s="206"/>
      <c r="AE48" s="183" t="str">
        <f>IFERROR(IF(AND(T47="Probabilidad",T48="Probabilidad"),(AG47-(+AG47*AA48)),IF(T48="Probabilidad",(L47-(+L47*AA48)),IF(T48="Impacto",AG47,""))),"")</f>
        <v/>
      </c>
      <c r="AF48" s="181" t="str">
        <f t="shared" si="4"/>
        <v/>
      </c>
      <c r="AG48" s="179" t="str">
        <f t="shared" si="7"/>
        <v/>
      </c>
      <c r="AH48" s="181" t="str">
        <f t="shared" si="5"/>
        <v/>
      </c>
      <c r="AI48" s="179" t="str">
        <f>IFERROR(IF(AND(T47="Impacto",T48="Impacto"),(AI41-(+AI41*AA48)),IF(T48="Impacto",($P$47-(+$P$47*AA48)),IF(T48="Probabilidad",AI41,""))),"")</f>
        <v/>
      </c>
      <c r="AJ48" s="182" t="str">
        <f t="shared" si="8"/>
        <v/>
      </c>
      <c r="AK48" s="464"/>
      <c r="AL48" s="196"/>
      <c r="AM48" s="194"/>
      <c r="AN48" s="197"/>
      <c r="AO48" s="197"/>
      <c r="AP48" s="196"/>
      <c r="AQ48" s="197"/>
      <c r="AR48" s="196"/>
      <c r="AS48" s="114"/>
      <c r="AT48" s="142"/>
      <c r="AU48" s="114"/>
      <c r="AV48" s="142"/>
      <c r="AW48" s="173"/>
      <c r="AX48" s="196"/>
      <c r="AY48" s="297"/>
      <c r="AZ48" s="194"/>
      <c r="BA48" s="197"/>
      <c r="BB48" s="197"/>
      <c r="BC48" s="196"/>
      <c r="BD48" s="196"/>
      <c r="BE48" s="194"/>
      <c r="BF48" s="197"/>
      <c r="BG48" s="197"/>
      <c r="BH48" s="142"/>
      <c r="BI48" s="142"/>
      <c r="BJ48" s="173"/>
      <c r="BK48" s="114"/>
      <c r="BL48" s="114"/>
      <c r="BM48" s="142"/>
      <c r="BN48" s="142"/>
      <c r="BO48" s="173"/>
      <c r="BP48" s="114"/>
      <c r="BQ48" s="114"/>
      <c r="BR48" s="143"/>
      <c r="BS48" s="142"/>
      <c r="BT48" s="142"/>
      <c r="BU48" s="142"/>
      <c r="BV48" s="114"/>
      <c r="BW48" s="142"/>
      <c r="BX48" s="142"/>
      <c r="BY48" s="114"/>
      <c r="BZ48" s="142"/>
      <c r="CA48" s="173"/>
      <c r="CB48" s="142"/>
      <c r="CC48" s="144"/>
      <c r="CD48" s="144"/>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row>
    <row r="49" spans="1:106" ht="16.5" customHeight="1">
      <c r="A49" s="455"/>
      <c r="B49" s="456"/>
      <c r="C49" s="456"/>
      <c r="D49" s="456"/>
      <c r="E49" s="482"/>
      <c r="F49" s="456"/>
      <c r="G49" s="456"/>
      <c r="H49" s="456"/>
      <c r="I49" s="456"/>
      <c r="J49" s="455"/>
      <c r="K49" s="479"/>
      <c r="L49" s="480"/>
      <c r="M49" s="475"/>
      <c r="N49" s="477"/>
      <c r="O49" s="479"/>
      <c r="P49" s="480"/>
      <c r="Q49" s="481"/>
      <c r="R49" s="194">
        <v>3</v>
      </c>
      <c r="S49" s="205"/>
      <c r="T49" s="178" t="str">
        <f t="shared" si="9"/>
        <v/>
      </c>
      <c r="U49" s="178"/>
      <c r="V49" s="178"/>
      <c r="W49" s="178"/>
      <c r="X49" s="178"/>
      <c r="Y49" s="206"/>
      <c r="Z49" s="206"/>
      <c r="AA49" s="179" t="str">
        <f t="shared" si="6"/>
        <v/>
      </c>
      <c r="AB49" s="206"/>
      <c r="AC49" s="206"/>
      <c r="AD49" s="206"/>
      <c r="AE49" s="183" t="str">
        <f>IFERROR(IF(AND(T48="Probabilidad",T49="Probabilidad"),(AG48-(+AG48*AA49)),IF(AND(T48="Impacto",T49="Probabilidad"),(AG47-(+AG47*AA49)),IF(T49="Impacto",AG48,""))),"")</f>
        <v/>
      </c>
      <c r="AF49" s="181" t="str">
        <f t="shared" si="4"/>
        <v/>
      </c>
      <c r="AG49" s="179" t="str">
        <f t="shared" si="7"/>
        <v/>
      </c>
      <c r="AH49" s="181" t="str">
        <f t="shared" si="5"/>
        <v/>
      </c>
      <c r="AI49" s="179" t="str">
        <f>IFERROR(IF(AND(T48="Impacto",T49="Impacto"),(AI48-(+AI48*AA49)),IF(AND(T48="Probabilidad",T49="Impacto"),(AI47-(+AI47*AA49)),IF(T49="Probabilidad",AI48,""))),"")</f>
        <v/>
      </c>
      <c r="AJ49" s="182" t="str">
        <f t="shared" si="8"/>
        <v/>
      </c>
      <c r="AK49" s="464"/>
      <c r="AL49" s="196"/>
      <c r="AM49" s="194"/>
      <c r="AN49" s="197"/>
      <c r="AO49" s="197"/>
      <c r="AP49" s="196"/>
      <c r="AQ49" s="197"/>
      <c r="AR49" s="196"/>
      <c r="AS49" s="114"/>
      <c r="AT49" s="142"/>
      <c r="AU49" s="114"/>
      <c r="AV49" s="142"/>
      <c r="AW49" s="173"/>
      <c r="AX49" s="196"/>
      <c r="AY49" s="297"/>
      <c r="AZ49" s="194"/>
      <c r="BA49" s="197"/>
      <c r="BB49" s="197"/>
      <c r="BC49" s="196"/>
      <c r="BD49" s="196"/>
      <c r="BE49" s="194"/>
      <c r="BF49" s="197"/>
      <c r="BG49" s="197"/>
      <c r="BH49" s="142"/>
      <c r="BI49" s="142"/>
      <c r="BJ49" s="173"/>
      <c r="BK49" s="114"/>
      <c r="BL49" s="114"/>
      <c r="BM49" s="142"/>
      <c r="BN49" s="142"/>
      <c r="BO49" s="173"/>
      <c r="BP49" s="114"/>
      <c r="BQ49" s="114"/>
      <c r="BR49" s="143"/>
      <c r="BS49" s="142"/>
      <c r="BT49" s="142"/>
      <c r="BU49" s="142"/>
      <c r="BV49" s="114"/>
      <c r="BW49" s="142"/>
      <c r="BX49" s="142"/>
      <c r="BY49" s="114"/>
      <c r="BZ49" s="142"/>
      <c r="CA49" s="173"/>
      <c r="CB49" s="142"/>
      <c r="CC49" s="144"/>
      <c r="CD49" s="144"/>
      <c r="CE49" s="144"/>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row>
    <row r="50" spans="1:106" ht="16.5" customHeight="1">
      <c r="A50" s="455"/>
      <c r="B50" s="456"/>
      <c r="C50" s="456"/>
      <c r="D50" s="456"/>
      <c r="E50" s="482"/>
      <c r="F50" s="456"/>
      <c r="G50" s="456"/>
      <c r="H50" s="456"/>
      <c r="I50" s="456"/>
      <c r="J50" s="455"/>
      <c r="K50" s="479"/>
      <c r="L50" s="480"/>
      <c r="M50" s="475"/>
      <c r="N50" s="477"/>
      <c r="O50" s="479"/>
      <c r="P50" s="480"/>
      <c r="Q50" s="481"/>
      <c r="R50" s="194">
        <v>4</v>
      </c>
      <c r="S50" s="205"/>
      <c r="T50" s="178" t="str">
        <f t="shared" si="9"/>
        <v/>
      </c>
      <c r="U50" s="178"/>
      <c r="V50" s="178"/>
      <c r="W50" s="178"/>
      <c r="X50" s="178"/>
      <c r="Y50" s="206"/>
      <c r="Z50" s="206"/>
      <c r="AA50" s="179" t="str">
        <f t="shared" si="6"/>
        <v/>
      </c>
      <c r="AB50" s="206"/>
      <c r="AC50" s="206"/>
      <c r="AD50" s="206"/>
      <c r="AE50" s="183" t="str">
        <f>IFERROR(IF(AND(T49="Probabilidad",T50="Probabilidad"),(AG49-(+AG49*AA50)),IF(AND(T49="Impacto",T50="Probabilidad"),(AG48-(+AG48*AA50)),IF(T50="Impacto",AG49,""))),"")</f>
        <v/>
      </c>
      <c r="AF50" s="181" t="str">
        <f t="shared" si="4"/>
        <v/>
      </c>
      <c r="AG50" s="179" t="str">
        <f t="shared" si="7"/>
        <v/>
      </c>
      <c r="AH50" s="181" t="str">
        <f t="shared" si="5"/>
        <v/>
      </c>
      <c r="AI50" s="179" t="str">
        <f>IFERROR(IF(AND(T49="Impacto",T50="Impacto"),(AI49-(+AI49*AA50)),IF(AND(T49="Probabilidad",T50="Impacto"),(AI48-(+AI48*AA50)),IF(T50="Probabilidad",AI49,""))),"")</f>
        <v/>
      </c>
      <c r="AJ50" s="182" t="str">
        <f t="shared" si="8"/>
        <v/>
      </c>
      <c r="AK50" s="464"/>
      <c r="AL50" s="196"/>
      <c r="AM50" s="194"/>
      <c r="AN50" s="197"/>
      <c r="AO50" s="197"/>
      <c r="AP50" s="196"/>
      <c r="AQ50" s="197"/>
      <c r="AR50" s="196"/>
      <c r="AS50" s="114"/>
      <c r="AT50" s="142"/>
      <c r="AU50" s="114"/>
      <c r="AV50" s="142"/>
      <c r="AW50" s="173"/>
      <c r="AX50" s="196"/>
      <c r="AY50" s="297"/>
      <c r="AZ50" s="194"/>
      <c r="BA50" s="197"/>
      <c r="BB50" s="197"/>
      <c r="BC50" s="196"/>
      <c r="BD50" s="196"/>
      <c r="BE50" s="194"/>
      <c r="BF50" s="197"/>
      <c r="BG50" s="197"/>
      <c r="BH50" s="142"/>
      <c r="BI50" s="142"/>
      <c r="BJ50" s="173"/>
      <c r="BK50" s="114"/>
      <c r="BL50" s="114"/>
      <c r="BM50" s="142"/>
      <c r="BN50" s="142"/>
      <c r="BO50" s="173"/>
      <c r="BP50" s="114"/>
      <c r="BQ50" s="114"/>
      <c r="BR50" s="143"/>
      <c r="BS50" s="142"/>
      <c r="BT50" s="142"/>
      <c r="BU50" s="142"/>
      <c r="BV50" s="114"/>
      <c r="BW50" s="142"/>
      <c r="BX50" s="142"/>
      <c r="BY50" s="114"/>
      <c r="BZ50" s="142"/>
      <c r="CA50" s="173"/>
      <c r="CB50" s="142"/>
      <c r="CC50" s="144"/>
      <c r="CD50" s="144"/>
      <c r="CE50" s="144"/>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row>
    <row r="51" spans="1:106" ht="16.5" customHeight="1">
      <c r="A51" s="455"/>
      <c r="B51" s="456"/>
      <c r="C51" s="456"/>
      <c r="D51" s="456"/>
      <c r="E51" s="482"/>
      <c r="F51" s="456"/>
      <c r="G51" s="456"/>
      <c r="H51" s="456"/>
      <c r="I51" s="456"/>
      <c r="J51" s="455"/>
      <c r="K51" s="479"/>
      <c r="L51" s="480"/>
      <c r="M51" s="475"/>
      <c r="N51" s="477"/>
      <c r="O51" s="479"/>
      <c r="P51" s="480"/>
      <c r="Q51" s="481"/>
      <c r="R51" s="194">
        <v>5</v>
      </c>
      <c r="S51" s="205"/>
      <c r="T51" s="178" t="str">
        <f t="shared" si="9"/>
        <v/>
      </c>
      <c r="U51" s="178"/>
      <c r="V51" s="178"/>
      <c r="W51" s="178"/>
      <c r="X51" s="178"/>
      <c r="Y51" s="206"/>
      <c r="Z51" s="206"/>
      <c r="AA51" s="179" t="str">
        <f t="shared" si="6"/>
        <v/>
      </c>
      <c r="AB51" s="206"/>
      <c r="AC51" s="206"/>
      <c r="AD51" s="206"/>
      <c r="AE51" s="183" t="str">
        <f>IFERROR(IF(AND(T50="Probabilidad",T51="Probabilidad"),(AG50-(+AG50*AA51)),IF(AND(T50="Impacto",T51="Probabilidad"),(AG49-(+AG49*AA51)),IF(T51="Impacto",AG50,""))),"")</f>
        <v/>
      </c>
      <c r="AF51" s="181" t="str">
        <f t="shared" si="4"/>
        <v/>
      </c>
      <c r="AG51" s="179" t="str">
        <f t="shared" si="7"/>
        <v/>
      </c>
      <c r="AH51" s="181" t="str">
        <f t="shared" si="5"/>
        <v/>
      </c>
      <c r="AI51" s="179" t="str">
        <f>IFERROR(IF(AND(T50="Impacto",T51="Impacto"),(AI50-(+AI50*AA51)),IF(AND(T50="Probabilidad",T51="Impacto"),(AI49-(+AI49*AA51)),IF(T51="Probabilidad",AI50,""))),"")</f>
        <v/>
      </c>
      <c r="AJ51" s="182" t="str">
        <f t="shared" si="8"/>
        <v/>
      </c>
      <c r="AK51" s="464"/>
      <c r="AL51" s="196"/>
      <c r="AM51" s="194"/>
      <c r="AN51" s="197"/>
      <c r="AO51" s="197"/>
      <c r="AP51" s="196"/>
      <c r="AQ51" s="197"/>
      <c r="AR51" s="196"/>
      <c r="AS51" s="114"/>
      <c r="AT51" s="142"/>
      <c r="AU51" s="114"/>
      <c r="AV51" s="142"/>
      <c r="AW51" s="173"/>
      <c r="AX51" s="196"/>
      <c r="AY51" s="297"/>
      <c r="AZ51" s="194"/>
      <c r="BA51" s="197"/>
      <c r="BB51" s="197"/>
      <c r="BC51" s="196"/>
      <c r="BD51" s="196"/>
      <c r="BE51" s="194"/>
      <c r="BF51" s="197"/>
      <c r="BG51" s="197"/>
      <c r="BH51" s="142"/>
      <c r="BI51" s="142"/>
      <c r="BJ51" s="173"/>
      <c r="BK51" s="114"/>
      <c r="BL51" s="114"/>
      <c r="BM51" s="142"/>
      <c r="BN51" s="142"/>
      <c r="BO51" s="173"/>
      <c r="BP51" s="114"/>
      <c r="BQ51" s="114"/>
      <c r="BR51" s="143"/>
      <c r="BS51" s="142"/>
      <c r="BT51" s="142"/>
      <c r="BU51" s="142"/>
      <c r="BV51" s="114"/>
      <c r="BW51" s="142"/>
      <c r="BX51" s="142"/>
      <c r="BY51" s="114"/>
      <c r="BZ51" s="142"/>
      <c r="CA51" s="173"/>
      <c r="CB51" s="142"/>
      <c r="CC51" s="144"/>
      <c r="CD51" s="144"/>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row>
    <row r="52" spans="1:106" ht="16.5" customHeight="1">
      <c r="A52" s="455"/>
      <c r="B52" s="456"/>
      <c r="C52" s="456"/>
      <c r="D52" s="456"/>
      <c r="E52" s="482"/>
      <c r="F52" s="456"/>
      <c r="G52" s="456"/>
      <c r="H52" s="456"/>
      <c r="I52" s="456"/>
      <c r="J52" s="455"/>
      <c r="K52" s="479"/>
      <c r="L52" s="480"/>
      <c r="M52" s="475"/>
      <c r="N52" s="478"/>
      <c r="O52" s="479"/>
      <c r="P52" s="480"/>
      <c r="Q52" s="481"/>
      <c r="R52" s="194">
        <v>6</v>
      </c>
      <c r="S52" s="205"/>
      <c r="T52" s="178" t="str">
        <f t="shared" si="9"/>
        <v/>
      </c>
      <c r="U52" s="178"/>
      <c r="V52" s="178"/>
      <c r="W52" s="178"/>
      <c r="X52" s="178"/>
      <c r="Y52" s="206"/>
      <c r="Z52" s="206"/>
      <c r="AA52" s="179" t="str">
        <f t="shared" si="6"/>
        <v/>
      </c>
      <c r="AB52" s="206"/>
      <c r="AC52" s="206"/>
      <c r="AD52" s="206"/>
      <c r="AE52" s="183" t="str">
        <f>IFERROR(IF(AND(T51="Probabilidad",T52="Probabilidad"),(AG51-(+AG51*AA52)),IF(AND(T51="Impacto",T52="Probabilidad"),(AG50-(+AG50*AA52)),IF(T52="Impacto",AG51,""))),"")</f>
        <v/>
      </c>
      <c r="AF52" s="181" t="str">
        <f t="shared" si="4"/>
        <v/>
      </c>
      <c r="AG52" s="179" t="str">
        <f t="shared" si="7"/>
        <v/>
      </c>
      <c r="AH52" s="181" t="str">
        <f t="shared" si="5"/>
        <v/>
      </c>
      <c r="AI52" s="179" t="str">
        <f>IFERROR(IF(AND(T51="Impacto",T52="Impacto"),(AI51-(+AI51*AA52)),IF(AND(T51="Probabilidad",T52="Impacto"),(AI50-(+AI50*AA52)),IF(T52="Probabilidad",AI51,""))),"")</f>
        <v/>
      </c>
      <c r="AJ52" s="182" t="str">
        <f t="shared" si="8"/>
        <v/>
      </c>
      <c r="AK52" s="465"/>
      <c r="AL52" s="196"/>
      <c r="AM52" s="194"/>
      <c r="AN52" s="197"/>
      <c r="AO52" s="197"/>
      <c r="AP52" s="196"/>
      <c r="AQ52" s="197"/>
      <c r="AR52" s="196"/>
      <c r="AS52" s="114"/>
      <c r="AT52" s="142"/>
      <c r="AU52" s="114"/>
      <c r="AV52" s="142"/>
      <c r="AW52" s="173"/>
      <c r="AX52" s="196"/>
      <c r="AY52" s="297"/>
      <c r="AZ52" s="194"/>
      <c r="BA52" s="197"/>
      <c r="BB52" s="197"/>
      <c r="BC52" s="142"/>
      <c r="BD52" s="142"/>
      <c r="BE52" s="173"/>
      <c r="BF52" s="114"/>
      <c r="BG52" s="114"/>
      <c r="BH52" s="142"/>
      <c r="BI52" s="142"/>
      <c r="BJ52" s="173"/>
      <c r="BK52" s="114"/>
      <c r="BL52" s="114"/>
      <c r="BM52" s="142"/>
      <c r="BN52" s="142"/>
      <c r="BO52" s="173"/>
      <c r="BP52" s="114"/>
      <c r="BQ52" s="114"/>
      <c r="BR52" s="143"/>
      <c r="BS52" s="142"/>
      <c r="BT52" s="142"/>
      <c r="BU52" s="142"/>
      <c r="BV52" s="114"/>
      <c r="BW52" s="142"/>
      <c r="BX52" s="142"/>
      <c r="BY52" s="114"/>
      <c r="BZ52" s="142"/>
      <c r="CA52" s="173"/>
      <c r="CB52" s="142"/>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row>
    <row r="53" spans="1:106" ht="16.5" customHeight="1">
      <c r="A53" s="455">
        <v>9</v>
      </c>
      <c r="B53" s="456"/>
      <c r="C53" s="456"/>
      <c r="D53" s="456"/>
      <c r="E53" s="482"/>
      <c r="F53" s="456"/>
      <c r="G53" s="456"/>
      <c r="H53" s="456"/>
      <c r="I53" s="456"/>
      <c r="J53" s="455"/>
      <c r="K53" s="479" t="str">
        <f>IF(J53&lt;=0,"",IF(J53&lt;=2,"Muy Baja",IF(J53&lt;=24,"Baja",IF(J53&lt;=500,"Media",IF(J53&lt;=5000,"Alta","Muy Alta")))))</f>
        <v/>
      </c>
      <c r="L53" s="480" t="str">
        <f>IF(K53="","",IF(K53="Muy Baja",0.2,IF(K53="Baja",0.4,IF(K53="Media",0.6,IF(K53="Alta",0.8,IF(K53="Muy Alta",1,))))))</f>
        <v/>
      </c>
      <c r="M53" s="475"/>
      <c r="N53" s="476">
        <f>IF(NOT(ISERROR(MATCH(M53,'Tabla Impacto'!$B$221:$B$223,0))),'Tabla Impacto'!$F$223&amp;"Por favor no seleccionar los criterios de impacto(Afectación Económica o presupuestal y Pérdida Reputacional)",M53)</f>
        <v>0</v>
      </c>
      <c r="O53" s="479" t="str">
        <f>IF(OR(N53='Tabla Impacto'!$C$11,N53='Tabla Impacto'!$D$11),"Leve",IF(OR(N53='Tabla Impacto'!$C$12,N53='Tabla Impacto'!$D$12),"Menor",IF(OR(N53='Tabla Impacto'!$C$13,N53='Tabla Impacto'!$D$13),"Moderado",IF(OR(N53='Tabla Impacto'!$C$14,N53='Tabla Impacto'!$D$14),"Mayor",IF(OR(N53='Tabla Impacto'!$C$15,N53='Tabla Impacto'!$D$15),"Catastrófico","")))))</f>
        <v/>
      </c>
      <c r="P53" s="480" t="str">
        <f>IF(O53="","",IF(O53="Leve",0.2,IF(O53="Menor",0.4,IF(O53="Moderado",0.6,IF(O53="Mayor",0.8,IF(O53="Catastrófico",1,))))))</f>
        <v/>
      </c>
      <c r="Q53" s="481"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94">
        <v>1</v>
      </c>
      <c r="S53" s="205"/>
      <c r="T53" s="178" t="str">
        <f t="shared" si="9"/>
        <v/>
      </c>
      <c r="U53" s="178"/>
      <c r="V53" s="178"/>
      <c r="W53" s="178"/>
      <c r="X53" s="178"/>
      <c r="Y53" s="206"/>
      <c r="Z53" s="206"/>
      <c r="AA53" s="179" t="str">
        <f t="shared" si="6"/>
        <v/>
      </c>
      <c r="AB53" s="206"/>
      <c r="AC53" s="206"/>
      <c r="AD53" s="206"/>
      <c r="AE53" s="183" t="str">
        <f>IFERROR(IF(T53="Probabilidad",(L53-(+L53*AA53)),IF(T53="Impacto",L53,"")),"")</f>
        <v/>
      </c>
      <c r="AF53" s="181" t="str">
        <f>IFERROR(IF(AE53="","",IF(AE53&lt;=0.2,"Muy Baja",IF(AE53&lt;=0.4,"Baja",IF(AE53&lt;=0.6,"Media",IF(AE53&lt;=0.8,"Alta","Muy Alta"))))),"")</f>
        <v/>
      </c>
      <c r="AG53" s="179" t="str">
        <f t="shared" si="7"/>
        <v/>
      </c>
      <c r="AH53" s="181" t="str">
        <f>IFERROR(IF(AI53="","",IF(AI53&lt;=0.2,"Leve",IF(AI53&lt;=0.4,"Menor",IF(AI53&lt;=0.6,"Moderado",IF(AI53&lt;=0.8,"Mayor","Catastrófico"))))),"")</f>
        <v/>
      </c>
      <c r="AI53" s="179" t="str">
        <f>IFERROR(IF(T53="Impacto",(P53-(+P53*AA53)),IF(T53="Probabilidad",P53,"")),"")</f>
        <v/>
      </c>
      <c r="AJ53" s="182" t="str">
        <f t="shared" si="8"/>
        <v/>
      </c>
      <c r="AK53" s="463"/>
      <c r="AL53" s="196"/>
      <c r="AM53" s="194"/>
      <c r="AN53" s="197"/>
      <c r="AO53" s="197"/>
      <c r="AP53" s="196"/>
      <c r="AQ53" s="197"/>
      <c r="AR53" s="196"/>
      <c r="AS53" s="114"/>
      <c r="AT53" s="142"/>
      <c r="AU53" s="114"/>
      <c r="AV53" s="142"/>
      <c r="AW53" s="173"/>
      <c r="AX53" s="196"/>
      <c r="AY53" s="297"/>
      <c r="AZ53" s="194"/>
      <c r="BA53" s="197"/>
      <c r="BB53" s="197"/>
      <c r="BC53" s="142"/>
      <c r="BD53" s="142"/>
      <c r="BE53" s="173"/>
      <c r="BF53" s="114"/>
      <c r="BG53" s="114"/>
      <c r="BH53" s="142"/>
      <c r="BI53" s="142"/>
      <c r="BJ53" s="173"/>
      <c r="BK53" s="114"/>
      <c r="BL53" s="114"/>
      <c r="BM53" s="142"/>
      <c r="BN53" s="142"/>
      <c r="BO53" s="173"/>
      <c r="BP53" s="114"/>
      <c r="BQ53" s="114"/>
      <c r="BR53" s="143"/>
      <c r="BS53" s="142"/>
      <c r="BT53" s="142"/>
      <c r="BU53" s="142"/>
      <c r="BV53" s="114"/>
      <c r="BW53" s="142"/>
      <c r="BX53" s="142"/>
      <c r="BY53" s="114"/>
      <c r="BZ53" s="142"/>
      <c r="CA53" s="173"/>
      <c r="CB53" s="142"/>
      <c r="CC53" s="144"/>
      <c r="CD53" s="144"/>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row>
    <row r="54" spans="1:106" ht="16.5" customHeight="1">
      <c r="A54" s="455"/>
      <c r="B54" s="456"/>
      <c r="C54" s="456"/>
      <c r="D54" s="456"/>
      <c r="E54" s="482"/>
      <c r="F54" s="456"/>
      <c r="G54" s="456"/>
      <c r="H54" s="456"/>
      <c r="I54" s="456"/>
      <c r="J54" s="455"/>
      <c r="K54" s="479"/>
      <c r="L54" s="480"/>
      <c r="M54" s="475"/>
      <c r="N54" s="477"/>
      <c r="O54" s="479"/>
      <c r="P54" s="480"/>
      <c r="Q54" s="481"/>
      <c r="R54" s="194">
        <v>2</v>
      </c>
      <c r="S54" s="205"/>
      <c r="T54" s="178" t="str">
        <f t="shared" si="9"/>
        <v/>
      </c>
      <c r="U54" s="178"/>
      <c r="V54" s="178"/>
      <c r="W54" s="178"/>
      <c r="X54" s="178"/>
      <c r="Y54" s="206"/>
      <c r="Z54" s="206"/>
      <c r="AA54" s="179" t="str">
        <f t="shared" si="6"/>
        <v/>
      </c>
      <c r="AB54" s="206"/>
      <c r="AC54" s="206"/>
      <c r="AD54" s="206"/>
      <c r="AE54" s="183" t="str">
        <f>IFERROR(IF(AND(T53="Probabilidad",T54="Probabilidad"),(AG53-(+AG53*AA54)),IF(T54="Probabilidad",(L53-(+L53*AA54)),IF(T54="Impacto",AG53,""))),"")</f>
        <v/>
      </c>
      <c r="AF54" s="181" t="str">
        <f t="shared" si="4"/>
        <v/>
      </c>
      <c r="AG54" s="179" t="str">
        <f t="shared" si="7"/>
        <v/>
      </c>
      <c r="AH54" s="181" t="str">
        <f t="shared" si="5"/>
        <v/>
      </c>
      <c r="AI54" s="179" t="str">
        <f>IFERROR(IF(AND(T53="Impacto",T54="Impacto"),(AI47-(+AI47*AA54)),IF(T54="Impacto",($P$53-(+$P$53*AA54)),IF(T54="Probabilidad",AI47,""))),"")</f>
        <v/>
      </c>
      <c r="AJ54" s="182" t="str">
        <f t="shared" si="8"/>
        <v/>
      </c>
      <c r="AK54" s="464"/>
      <c r="AL54" s="196"/>
      <c r="AM54" s="194"/>
      <c r="AN54" s="197"/>
      <c r="AO54" s="197"/>
      <c r="AP54" s="196"/>
      <c r="AQ54" s="197"/>
      <c r="AR54" s="196"/>
      <c r="AS54" s="114"/>
      <c r="AT54" s="142"/>
      <c r="AU54" s="114"/>
      <c r="AV54" s="142"/>
      <c r="AW54" s="173"/>
      <c r="AX54" s="196"/>
      <c r="AY54" s="297"/>
      <c r="AZ54" s="194"/>
      <c r="BA54" s="197"/>
      <c r="BB54" s="197"/>
      <c r="BC54" s="142"/>
      <c r="BD54" s="142"/>
      <c r="BE54" s="173"/>
      <c r="BF54" s="114"/>
      <c r="BG54" s="114"/>
      <c r="BH54" s="142"/>
      <c r="BI54" s="142"/>
      <c r="BJ54" s="173"/>
      <c r="BK54" s="114"/>
      <c r="BL54" s="114"/>
      <c r="BM54" s="142"/>
      <c r="BN54" s="142"/>
      <c r="BO54" s="173"/>
      <c r="BP54" s="114"/>
      <c r="BQ54" s="114"/>
      <c r="BR54" s="143"/>
      <c r="BS54" s="142"/>
      <c r="BT54" s="142"/>
      <c r="BU54" s="142"/>
      <c r="BV54" s="114"/>
      <c r="BW54" s="142"/>
      <c r="BX54" s="142"/>
      <c r="BY54" s="114"/>
      <c r="BZ54" s="142"/>
      <c r="CA54" s="173"/>
      <c r="CB54" s="142"/>
      <c r="CC54" s="144"/>
      <c r="CD54" s="144"/>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row>
    <row r="55" spans="1:106" ht="16.5" customHeight="1">
      <c r="A55" s="455"/>
      <c r="B55" s="456"/>
      <c r="C55" s="456"/>
      <c r="D55" s="456"/>
      <c r="E55" s="482"/>
      <c r="F55" s="456"/>
      <c r="G55" s="456"/>
      <c r="H55" s="456"/>
      <c r="I55" s="456"/>
      <c r="J55" s="455"/>
      <c r="K55" s="479"/>
      <c r="L55" s="480"/>
      <c r="M55" s="475"/>
      <c r="N55" s="477"/>
      <c r="O55" s="479"/>
      <c r="P55" s="480"/>
      <c r="Q55" s="481"/>
      <c r="R55" s="194">
        <v>3</v>
      </c>
      <c r="S55" s="205"/>
      <c r="T55" s="178" t="str">
        <f t="shared" si="9"/>
        <v/>
      </c>
      <c r="U55" s="178"/>
      <c r="V55" s="178"/>
      <c r="W55" s="178"/>
      <c r="X55" s="178"/>
      <c r="Y55" s="206"/>
      <c r="Z55" s="206"/>
      <c r="AA55" s="179" t="str">
        <f t="shared" si="6"/>
        <v/>
      </c>
      <c r="AB55" s="206"/>
      <c r="AC55" s="206"/>
      <c r="AD55" s="206"/>
      <c r="AE55" s="183" t="str">
        <f>IFERROR(IF(AND(T54="Probabilidad",T55="Probabilidad"),(AG54-(+AG54*AA55)),IF(AND(T54="Impacto",T55="Probabilidad"),(AG53-(+AG53*AA55)),IF(T55="Impacto",AG54,""))),"")</f>
        <v/>
      </c>
      <c r="AF55" s="181" t="str">
        <f t="shared" si="4"/>
        <v/>
      </c>
      <c r="AG55" s="179" t="str">
        <f t="shared" si="7"/>
        <v/>
      </c>
      <c r="AH55" s="181" t="str">
        <f t="shared" si="5"/>
        <v/>
      </c>
      <c r="AI55" s="179" t="str">
        <f>IFERROR(IF(AND(T54="Impacto",T55="Impacto"),(AI54-(+AI54*AA55)),IF(AND(T54="Probabilidad",T55="Impacto"),(AI53-(+AI53*AA55)),IF(T55="Probabilidad",AI54,""))),"")</f>
        <v/>
      </c>
      <c r="AJ55" s="182" t="str">
        <f t="shared" si="8"/>
        <v/>
      </c>
      <c r="AK55" s="464"/>
      <c r="AL55" s="196"/>
      <c r="AM55" s="194"/>
      <c r="AN55" s="197"/>
      <c r="AO55" s="197"/>
      <c r="AP55" s="196"/>
      <c r="AQ55" s="197"/>
      <c r="AR55" s="196"/>
      <c r="AS55" s="114"/>
      <c r="AT55" s="142"/>
      <c r="AU55" s="114"/>
      <c r="AV55" s="142"/>
      <c r="AW55" s="173"/>
      <c r="AX55" s="196"/>
      <c r="AY55" s="297"/>
      <c r="AZ55" s="194"/>
      <c r="BA55" s="197"/>
      <c r="BB55" s="197"/>
      <c r="BC55" s="142"/>
      <c r="BD55" s="142"/>
      <c r="BE55" s="173"/>
      <c r="BF55" s="114"/>
      <c r="BG55" s="114"/>
      <c r="BH55" s="142"/>
      <c r="BI55" s="142"/>
      <c r="BJ55" s="173"/>
      <c r="BK55" s="114"/>
      <c r="BL55" s="114"/>
      <c r="BM55" s="142"/>
      <c r="BN55" s="142"/>
      <c r="BO55" s="173"/>
      <c r="BP55" s="114"/>
      <c r="BQ55" s="114"/>
      <c r="BR55" s="143"/>
      <c r="BS55" s="142"/>
      <c r="BT55" s="142"/>
      <c r="BU55" s="142"/>
      <c r="BV55" s="114"/>
      <c r="BW55" s="142"/>
      <c r="BX55" s="142"/>
      <c r="BY55" s="114"/>
      <c r="BZ55" s="142"/>
      <c r="CA55" s="173"/>
      <c r="CB55" s="142"/>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row>
    <row r="56" spans="1:106" ht="16.5" customHeight="1">
      <c r="A56" s="455"/>
      <c r="B56" s="456"/>
      <c r="C56" s="456"/>
      <c r="D56" s="456"/>
      <c r="E56" s="482"/>
      <c r="F56" s="456"/>
      <c r="G56" s="456"/>
      <c r="H56" s="456"/>
      <c r="I56" s="456"/>
      <c r="J56" s="455"/>
      <c r="K56" s="479"/>
      <c r="L56" s="480"/>
      <c r="M56" s="475"/>
      <c r="N56" s="477"/>
      <c r="O56" s="479"/>
      <c r="P56" s="480"/>
      <c r="Q56" s="481"/>
      <c r="R56" s="194">
        <v>4</v>
      </c>
      <c r="S56" s="205"/>
      <c r="T56" s="178" t="str">
        <f t="shared" si="9"/>
        <v/>
      </c>
      <c r="U56" s="178"/>
      <c r="V56" s="178"/>
      <c r="W56" s="178"/>
      <c r="X56" s="178"/>
      <c r="Y56" s="206"/>
      <c r="Z56" s="206"/>
      <c r="AA56" s="179" t="str">
        <f t="shared" si="6"/>
        <v/>
      </c>
      <c r="AB56" s="206"/>
      <c r="AC56" s="206"/>
      <c r="AD56" s="206"/>
      <c r="AE56" s="183" t="str">
        <f>IFERROR(IF(AND(T55="Probabilidad",T56="Probabilidad"),(AG55-(+AG55*AA56)),IF(AND(T55="Impacto",T56="Probabilidad"),(AG54-(+AG54*AA56)),IF(T56="Impacto",AG55,""))),"")</f>
        <v/>
      </c>
      <c r="AF56" s="181" t="str">
        <f t="shared" si="4"/>
        <v/>
      </c>
      <c r="AG56" s="179" t="str">
        <f t="shared" si="7"/>
        <v/>
      </c>
      <c r="AH56" s="181" t="str">
        <f t="shared" si="5"/>
        <v/>
      </c>
      <c r="AI56" s="179" t="str">
        <f>IFERROR(IF(AND(T55="Impacto",T56="Impacto"),(AI55-(+AI55*AA56)),IF(AND(T55="Probabilidad",T56="Impacto"),(AI54-(+AI54*AA56)),IF(T56="Probabilidad",AI55,""))),"")</f>
        <v/>
      </c>
      <c r="AJ56" s="182" t="str">
        <f t="shared" si="8"/>
        <v/>
      </c>
      <c r="AK56" s="464"/>
      <c r="AL56" s="196"/>
      <c r="AM56" s="194"/>
      <c r="AN56" s="197"/>
      <c r="AO56" s="197"/>
      <c r="AP56" s="196"/>
      <c r="AQ56" s="197"/>
      <c r="AR56" s="196"/>
      <c r="AS56" s="114"/>
      <c r="AT56" s="142"/>
      <c r="AU56" s="114"/>
      <c r="AV56" s="142"/>
      <c r="AW56" s="173"/>
      <c r="AX56" s="196"/>
      <c r="AY56" s="297"/>
      <c r="AZ56" s="194"/>
      <c r="BA56" s="197"/>
      <c r="BB56" s="197"/>
      <c r="BC56" s="142"/>
      <c r="BD56" s="142"/>
      <c r="BE56" s="173"/>
      <c r="BF56" s="114"/>
      <c r="BG56" s="114"/>
      <c r="BH56" s="142"/>
      <c r="BI56" s="142"/>
      <c r="BJ56" s="173"/>
      <c r="BK56" s="114"/>
      <c r="BL56" s="114"/>
      <c r="BM56" s="142"/>
      <c r="BN56" s="142"/>
      <c r="BO56" s="173"/>
      <c r="BP56" s="114"/>
      <c r="BQ56" s="114"/>
      <c r="BR56" s="143"/>
      <c r="BS56" s="142"/>
      <c r="BT56" s="142"/>
      <c r="BU56" s="142"/>
      <c r="BV56" s="114"/>
      <c r="BW56" s="142"/>
      <c r="BX56" s="142"/>
      <c r="BY56" s="114"/>
      <c r="BZ56" s="142"/>
      <c r="CA56" s="173"/>
      <c r="CB56" s="142"/>
      <c r="CC56" s="144"/>
      <c r="CD56" s="144"/>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row>
    <row r="57" spans="1:106" ht="16.5" customHeight="1">
      <c r="A57" s="455"/>
      <c r="B57" s="456"/>
      <c r="C57" s="456"/>
      <c r="D57" s="456"/>
      <c r="E57" s="482"/>
      <c r="F57" s="456"/>
      <c r="G57" s="456"/>
      <c r="H57" s="456"/>
      <c r="I57" s="456"/>
      <c r="J57" s="455"/>
      <c r="K57" s="479"/>
      <c r="L57" s="480"/>
      <c r="M57" s="475"/>
      <c r="N57" s="477"/>
      <c r="O57" s="479"/>
      <c r="P57" s="480"/>
      <c r="Q57" s="481"/>
      <c r="R57" s="194">
        <v>5</v>
      </c>
      <c r="S57" s="205"/>
      <c r="T57" s="178" t="str">
        <f t="shared" si="9"/>
        <v/>
      </c>
      <c r="U57" s="178"/>
      <c r="V57" s="178"/>
      <c r="W57" s="178"/>
      <c r="X57" s="178"/>
      <c r="Y57" s="206"/>
      <c r="Z57" s="206"/>
      <c r="AA57" s="179" t="str">
        <f t="shared" si="6"/>
        <v/>
      </c>
      <c r="AB57" s="206"/>
      <c r="AC57" s="206"/>
      <c r="AD57" s="206"/>
      <c r="AE57" s="183" t="str">
        <f>IFERROR(IF(AND(T56="Probabilidad",T57="Probabilidad"),(AG56-(+AG56*AA57)),IF(AND(T56="Impacto",T57="Probabilidad"),(AG55-(+AG55*AA57)),IF(T57="Impacto",AG56,""))),"")</f>
        <v/>
      </c>
      <c r="AF57" s="181" t="str">
        <f t="shared" si="4"/>
        <v/>
      </c>
      <c r="AG57" s="179" t="str">
        <f t="shared" si="7"/>
        <v/>
      </c>
      <c r="AH57" s="181" t="str">
        <f t="shared" si="5"/>
        <v/>
      </c>
      <c r="AI57" s="179" t="str">
        <f>IFERROR(IF(AND(T56="Impacto",T57="Impacto"),(AI56-(+AI56*AA57)),IF(AND(T56="Probabilidad",T57="Impacto"),(AI55-(+AI55*AA57)),IF(T57="Probabilidad",AI56,""))),"")</f>
        <v/>
      </c>
      <c r="AJ57" s="182" t="str">
        <f t="shared" si="8"/>
        <v/>
      </c>
      <c r="AK57" s="464"/>
      <c r="AL57" s="196"/>
      <c r="AM57" s="194"/>
      <c r="AN57" s="197"/>
      <c r="AO57" s="197"/>
      <c r="AP57" s="196"/>
      <c r="AQ57" s="197"/>
      <c r="AR57" s="196"/>
      <c r="AS57" s="114"/>
      <c r="AT57" s="142"/>
      <c r="AU57" s="114"/>
      <c r="AV57" s="142"/>
      <c r="AW57" s="173"/>
      <c r="AX57" s="196"/>
      <c r="AY57" s="297"/>
      <c r="AZ57" s="194"/>
      <c r="BA57" s="197"/>
      <c r="BB57" s="197"/>
      <c r="BC57" s="142"/>
      <c r="BD57" s="142"/>
      <c r="BE57" s="173"/>
      <c r="BF57" s="114"/>
      <c r="BG57" s="114"/>
      <c r="BH57" s="142"/>
      <c r="BI57" s="142"/>
      <c r="BJ57" s="173"/>
      <c r="BK57" s="114"/>
      <c r="BL57" s="114"/>
      <c r="BM57" s="142"/>
      <c r="BN57" s="142"/>
      <c r="BO57" s="173"/>
      <c r="BP57" s="114"/>
      <c r="BQ57" s="114"/>
      <c r="BR57" s="143"/>
      <c r="BS57" s="142"/>
      <c r="BT57" s="142"/>
      <c r="BU57" s="142"/>
      <c r="BV57" s="114"/>
      <c r="BW57" s="142"/>
      <c r="BX57" s="142"/>
      <c r="BY57" s="114"/>
      <c r="BZ57" s="142"/>
      <c r="CA57" s="173"/>
      <c r="CB57" s="142"/>
      <c r="CC57" s="144"/>
      <c r="CD57" s="144"/>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row>
    <row r="58" spans="1:106" ht="16.5" customHeight="1">
      <c r="A58" s="455"/>
      <c r="B58" s="456"/>
      <c r="C58" s="456"/>
      <c r="D58" s="456"/>
      <c r="E58" s="482"/>
      <c r="F58" s="456"/>
      <c r="G58" s="456"/>
      <c r="H58" s="456"/>
      <c r="I58" s="456"/>
      <c r="J58" s="455"/>
      <c r="K58" s="479"/>
      <c r="L58" s="480"/>
      <c r="M58" s="475"/>
      <c r="N58" s="478"/>
      <c r="O58" s="479"/>
      <c r="P58" s="480"/>
      <c r="Q58" s="481"/>
      <c r="R58" s="194">
        <v>6</v>
      </c>
      <c r="S58" s="205"/>
      <c r="T58" s="178" t="str">
        <f t="shared" si="9"/>
        <v/>
      </c>
      <c r="U58" s="178"/>
      <c r="V58" s="178"/>
      <c r="W58" s="178"/>
      <c r="X58" s="178"/>
      <c r="Y58" s="206"/>
      <c r="Z58" s="206"/>
      <c r="AA58" s="179" t="str">
        <f t="shared" si="6"/>
        <v/>
      </c>
      <c r="AB58" s="206"/>
      <c r="AC58" s="206"/>
      <c r="AD58" s="206"/>
      <c r="AE58" s="183" t="str">
        <f>IFERROR(IF(AND(T57="Probabilidad",T58="Probabilidad"),(AG57-(+AG57*AA58)),IF(AND(T57="Impacto",T58="Probabilidad"),(AG56-(+AG56*AA58)),IF(T58="Impacto",AG57,""))),"")</f>
        <v/>
      </c>
      <c r="AF58" s="181" t="str">
        <f t="shared" si="4"/>
        <v/>
      </c>
      <c r="AG58" s="179" t="str">
        <f t="shared" si="7"/>
        <v/>
      </c>
      <c r="AH58" s="181" t="str">
        <f t="shared" si="5"/>
        <v/>
      </c>
      <c r="AI58" s="179" t="str">
        <f>IFERROR(IF(AND(T57="Impacto",T58="Impacto"),(AI57-(+AI57*AA58)),IF(AND(T57="Probabilidad",T58="Impacto"),(AI56-(+AI56*AA58)),IF(T58="Probabilidad",AI57,""))),"")</f>
        <v/>
      </c>
      <c r="AJ58" s="182" t="str">
        <f t="shared" si="8"/>
        <v/>
      </c>
      <c r="AK58" s="465"/>
      <c r="AL58" s="196"/>
      <c r="AM58" s="194"/>
      <c r="AN58" s="197"/>
      <c r="AO58" s="197"/>
      <c r="AP58" s="196"/>
      <c r="AQ58" s="197"/>
      <c r="AR58" s="196"/>
      <c r="AS58" s="114"/>
      <c r="AT58" s="142"/>
      <c r="AU58" s="114"/>
      <c r="AV58" s="142"/>
      <c r="AW58" s="173"/>
      <c r="AX58" s="196"/>
      <c r="AY58" s="297"/>
      <c r="AZ58" s="194"/>
      <c r="BA58" s="197"/>
      <c r="BB58" s="197"/>
      <c r="BC58" s="142"/>
      <c r="BD58" s="142"/>
      <c r="BE58" s="173"/>
      <c r="BF58" s="114"/>
      <c r="BG58" s="114"/>
      <c r="BH58" s="142"/>
      <c r="BI58" s="142"/>
      <c r="BJ58" s="173"/>
      <c r="BK58" s="114"/>
      <c r="BL58" s="114"/>
      <c r="BM58" s="142"/>
      <c r="BN58" s="142"/>
      <c r="BO58" s="173"/>
      <c r="BP58" s="114"/>
      <c r="BQ58" s="114"/>
      <c r="BR58" s="143"/>
      <c r="BS58" s="142"/>
      <c r="BT58" s="142"/>
      <c r="BU58" s="142"/>
      <c r="BV58" s="114"/>
      <c r="BW58" s="142"/>
      <c r="BX58" s="142"/>
      <c r="BY58" s="114"/>
      <c r="BZ58" s="142"/>
      <c r="CA58" s="173"/>
      <c r="CB58" s="142"/>
      <c r="CC58" s="144"/>
      <c r="CD58" s="144"/>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row>
    <row r="59" spans="1:106" ht="16.5" customHeight="1">
      <c r="A59" s="455">
        <v>10</v>
      </c>
      <c r="B59" s="456"/>
      <c r="C59" s="456"/>
      <c r="D59" s="456"/>
      <c r="E59" s="482"/>
      <c r="F59" s="456"/>
      <c r="G59" s="456"/>
      <c r="H59" s="456"/>
      <c r="I59" s="456"/>
      <c r="J59" s="455"/>
      <c r="K59" s="479" t="str">
        <f>IF(J59&lt;=0,"",IF(J59&lt;=2,"Muy Baja",IF(J59&lt;=24,"Baja",IF(J59&lt;=500,"Media",IF(J59&lt;=5000,"Alta","Muy Alta")))))</f>
        <v/>
      </c>
      <c r="L59" s="480" t="str">
        <f>IF(K59="","",IF(K59="Muy Baja",0.2,IF(K59="Baja",0.4,IF(K59="Media",0.6,IF(K59="Alta",0.8,IF(K59="Muy Alta",1,))))))</f>
        <v/>
      </c>
      <c r="M59" s="475"/>
      <c r="N59" s="476">
        <f>IF(NOT(ISERROR(MATCH(M59,'Tabla Impacto'!$B$221:$B$223,0))),'Tabla Impacto'!$F$223&amp;"Por favor no seleccionar los criterios de impacto(Afectación Económica o presupuestal y Pérdida Reputacional)",M59)</f>
        <v>0</v>
      </c>
      <c r="O59" s="479" t="str">
        <f>IF(OR(N59='Tabla Impacto'!$C$11,N59='Tabla Impacto'!$D$11),"Leve",IF(OR(N59='Tabla Impacto'!$C$12,N59='Tabla Impacto'!$D$12),"Menor",IF(OR(N59='Tabla Impacto'!$C$13,N59='Tabla Impacto'!$D$13),"Moderado",IF(OR(N59='Tabla Impacto'!$C$14,N59='Tabla Impacto'!$D$14),"Mayor",IF(OR(N59='Tabla Impacto'!$C$15,N59='Tabla Impacto'!$D$15),"Catastrófico","")))))</f>
        <v/>
      </c>
      <c r="P59" s="480" t="str">
        <f>IF(O59="","",IF(O59="Leve",0.2,IF(O59="Menor",0.4,IF(O59="Moderado",0.6,IF(O59="Mayor",0.8,IF(O59="Catastrófico",1,))))))</f>
        <v/>
      </c>
      <c r="Q59" s="481"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94">
        <v>1</v>
      </c>
      <c r="S59" s="205"/>
      <c r="T59" s="178" t="str">
        <f t="shared" si="9"/>
        <v/>
      </c>
      <c r="U59" s="178"/>
      <c r="V59" s="178"/>
      <c r="W59" s="178"/>
      <c r="X59" s="178"/>
      <c r="Y59" s="206"/>
      <c r="Z59" s="206"/>
      <c r="AA59" s="179" t="str">
        <f t="shared" si="6"/>
        <v/>
      </c>
      <c r="AB59" s="206"/>
      <c r="AC59" s="206"/>
      <c r="AD59" s="206"/>
      <c r="AE59" s="183" t="str">
        <f>IFERROR(IF(T59="Probabilidad",(L59-(+L59*AA59)),IF(T59="Impacto",L59,"")),"")</f>
        <v/>
      </c>
      <c r="AF59" s="181" t="str">
        <f>IFERROR(IF(AE59="","",IF(AE59&lt;=0.2,"Muy Baja",IF(AE59&lt;=0.4,"Baja",IF(AE59&lt;=0.6,"Media",IF(AE59&lt;=0.8,"Alta","Muy Alta"))))),"")</f>
        <v/>
      </c>
      <c r="AG59" s="179" t="str">
        <f t="shared" si="7"/>
        <v/>
      </c>
      <c r="AH59" s="181" t="str">
        <f>IFERROR(IF(AI59="","",IF(AI59&lt;=0.2,"Leve",IF(AI59&lt;=0.4,"Menor",IF(AI59&lt;=0.6,"Moderado",IF(AI59&lt;=0.8,"Mayor","Catastrófico"))))),"")</f>
        <v/>
      </c>
      <c r="AI59" s="179" t="str">
        <f>IFERROR(IF(T59="Impacto",(P59-(+P59*AA59)),IF(T59="Probabilidad",P59,"")),"")</f>
        <v/>
      </c>
      <c r="AJ59" s="182" t="str">
        <f t="shared" si="8"/>
        <v/>
      </c>
      <c r="AK59" s="463"/>
      <c r="AL59" s="196"/>
      <c r="AM59" s="194"/>
      <c r="AN59" s="197"/>
      <c r="AO59" s="197"/>
      <c r="AP59" s="196"/>
      <c r="AQ59" s="114"/>
      <c r="AR59" s="142"/>
      <c r="AS59" s="114"/>
      <c r="AT59" s="142"/>
      <c r="AU59" s="114"/>
      <c r="AV59" s="142"/>
      <c r="AW59" s="173"/>
      <c r="AX59" s="196"/>
      <c r="AY59" s="297"/>
      <c r="AZ59" s="194"/>
      <c r="BA59" s="197"/>
      <c r="BB59" s="197"/>
      <c r="BC59" s="142"/>
      <c r="BD59" s="142"/>
      <c r="BE59" s="173"/>
      <c r="BF59" s="114"/>
      <c r="BG59" s="114"/>
      <c r="BH59" s="142"/>
      <c r="BI59" s="142"/>
      <c r="BJ59" s="173"/>
      <c r="BK59" s="114"/>
      <c r="BL59" s="114"/>
      <c r="BM59" s="142"/>
      <c r="BN59" s="142"/>
      <c r="BO59" s="173"/>
      <c r="BP59" s="114"/>
      <c r="BQ59" s="114"/>
      <c r="BR59" s="143"/>
      <c r="BS59" s="142"/>
      <c r="BT59" s="142"/>
      <c r="BU59" s="142"/>
      <c r="BV59" s="114"/>
      <c r="BW59" s="142"/>
      <c r="BX59" s="142"/>
      <c r="BY59" s="114"/>
      <c r="BZ59" s="142"/>
      <c r="CA59" s="173"/>
      <c r="CB59" s="142"/>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row>
    <row r="60" spans="1:106" ht="16.5" customHeight="1">
      <c r="A60" s="455"/>
      <c r="B60" s="456"/>
      <c r="C60" s="456"/>
      <c r="D60" s="456"/>
      <c r="E60" s="482"/>
      <c r="F60" s="456"/>
      <c r="G60" s="456"/>
      <c r="H60" s="456"/>
      <c r="I60" s="456"/>
      <c r="J60" s="455"/>
      <c r="K60" s="479"/>
      <c r="L60" s="480"/>
      <c r="M60" s="475"/>
      <c r="N60" s="477"/>
      <c r="O60" s="479"/>
      <c r="P60" s="480"/>
      <c r="Q60" s="481"/>
      <c r="R60" s="194">
        <v>2</v>
      </c>
      <c r="S60" s="205"/>
      <c r="T60" s="178" t="str">
        <f t="shared" si="9"/>
        <v/>
      </c>
      <c r="U60" s="178"/>
      <c r="V60" s="178"/>
      <c r="W60" s="178"/>
      <c r="X60" s="178"/>
      <c r="Y60" s="206"/>
      <c r="Z60" s="206"/>
      <c r="AA60" s="179" t="str">
        <f t="shared" si="6"/>
        <v/>
      </c>
      <c r="AB60" s="206"/>
      <c r="AC60" s="206"/>
      <c r="AD60" s="206"/>
      <c r="AE60" s="183" t="str">
        <f>IFERROR(IF(AND(T59="Probabilidad",T60="Probabilidad"),(AG59-(+AG59*AA60)),IF(T60="Probabilidad",(L59-(+L59*AA60)),IF(T60="Impacto",AG59,""))),"")</f>
        <v/>
      </c>
      <c r="AF60" s="181" t="str">
        <f t="shared" si="4"/>
        <v/>
      </c>
      <c r="AG60" s="179" t="str">
        <f t="shared" si="7"/>
        <v/>
      </c>
      <c r="AH60" s="181" t="str">
        <f t="shared" si="5"/>
        <v/>
      </c>
      <c r="AI60" s="179" t="str">
        <f>IFERROR(IF(AND(T59="Impacto",T60="Impacto"),(AI53-(+AI53*AA60)),IF(T60="Impacto",($P$59-(+$P$59*AA60)),IF(T60="Probabilidad",AI53,""))),"")</f>
        <v/>
      </c>
      <c r="AJ60" s="182" t="str">
        <f t="shared" si="8"/>
        <v/>
      </c>
      <c r="AK60" s="464"/>
      <c r="AL60" s="196"/>
      <c r="AM60" s="194"/>
      <c r="AN60" s="197"/>
      <c r="AO60" s="197"/>
      <c r="AP60" s="196"/>
      <c r="AQ60" s="114"/>
      <c r="AR60" s="142"/>
      <c r="AS60" s="114"/>
      <c r="AT60" s="142"/>
      <c r="AU60" s="114"/>
      <c r="AV60" s="142"/>
      <c r="AW60" s="173"/>
      <c r="AX60" s="196"/>
      <c r="AY60" s="297"/>
      <c r="AZ60" s="194"/>
      <c r="BA60" s="197"/>
      <c r="BB60" s="197"/>
      <c r="BC60" s="142"/>
      <c r="BD60" s="142"/>
      <c r="BE60" s="173"/>
      <c r="BF60" s="114"/>
      <c r="BG60" s="114"/>
      <c r="BH60" s="142"/>
      <c r="BI60" s="142"/>
      <c r="BJ60" s="173"/>
      <c r="BK60" s="114"/>
      <c r="BL60" s="114"/>
      <c r="BM60" s="142"/>
      <c r="BN60" s="142"/>
      <c r="BO60" s="173"/>
      <c r="BP60" s="114"/>
      <c r="BQ60" s="114"/>
      <c r="BR60" s="143"/>
      <c r="BS60" s="142"/>
      <c r="BT60" s="142"/>
      <c r="BU60" s="142"/>
      <c r="BV60" s="114"/>
      <c r="BW60" s="142"/>
      <c r="BX60" s="142"/>
      <c r="BY60" s="114"/>
      <c r="BZ60" s="142"/>
      <c r="CA60" s="173"/>
      <c r="CB60" s="142"/>
    </row>
    <row r="61" spans="1:106" ht="16.5" customHeight="1">
      <c r="A61" s="455"/>
      <c r="B61" s="456"/>
      <c r="C61" s="456"/>
      <c r="D61" s="456"/>
      <c r="E61" s="482"/>
      <c r="F61" s="456"/>
      <c r="G61" s="456"/>
      <c r="H61" s="456"/>
      <c r="I61" s="456"/>
      <c r="J61" s="455"/>
      <c r="K61" s="479"/>
      <c r="L61" s="480"/>
      <c r="M61" s="475"/>
      <c r="N61" s="477"/>
      <c r="O61" s="479"/>
      <c r="P61" s="480"/>
      <c r="Q61" s="481"/>
      <c r="R61" s="194">
        <v>3</v>
      </c>
      <c r="S61" s="205"/>
      <c r="T61" s="178" t="str">
        <f t="shared" si="9"/>
        <v/>
      </c>
      <c r="U61" s="178"/>
      <c r="V61" s="178"/>
      <c r="W61" s="178"/>
      <c r="X61" s="178"/>
      <c r="Y61" s="206"/>
      <c r="Z61" s="206"/>
      <c r="AA61" s="179" t="str">
        <f t="shared" si="6"/>
        <v/>
      </c>
      <c r="AB61" s="206"/>
      <c r="AC61" s="206"/>
      <c r="AD61" s="206"/>
      <c r="AE61" s="183" t="str">
        <f>IFERROR(IF(AND(T60="Probabilidad",T61="Probabilidad"),(AG60-(+AG60*AA61)),IF(AND(T60="Impacto",T61="Probabilidad"),(AG59-(+AG59*AA61)),IF(T61="Impacto",AG60,""))),"")</f>
        <v/>
      </c>
      <c r="AF61" s="181" t="str">
        <f t="shared" si="4"/>
        <v/>
      </c>
      <c r="AG61" s="179" t="str">
        <f t="shared" si="7"/>
        <v/>
      </c>
      <c r="AH61" s="181" t="str">
        <f t="shared" si="5"/>
        <v/>
      </c>
      <c r="AI61" s="179" t="str">
        <f>IFERROR(IF(AND(T60="Impacto",T61="Impacto"),(AI60-(+AI60*AA61)),IF(AND(T60="Probabilidad",T61="Impacto"),(AI59-(+AI59*AA61)),IF(T61="Probabilidad",AI60,""))),"")</f>
        <v/>
      </c>
      <c r="AJ61" s="182" t="str">
        <f t="shared" si="8"/>
        <v/>
      </c>
      <c r="AK61" s="464"/>
      <c r="AL61" s="196"/>
      <c r="AM61" s="194"/>
      <c r="AN61" s="197"/>
      <c r="AO61" s="114"/>
      <c r="AP61" s="142"/>
      <c r="AQ61" s="114"/>
      <c r="AR61" s="142"/>
      <c r="AS61" s="114"/>
      <c r="AT61" s="142"/>
      <c r="AU61" s="114"/>
      <c r="AV61" s="142"/>
      <c r="AW61" s="173"/>
      <c r="AX61" s="142"/>
      <c r="AY61" s="175"/>
      <c r="AZ61" s="173"/>
      <c r="BA61" s="114"/>
      <c r="BB61" s="114"/>
      <c r="BC61" s="142"/>
      <c r="BD61" s="142"/>
      <c r="BE61" s="173"/>
      <c r="BF61" s="114"/>
      <c r="BG61" s="114"/>
      <c r="BH61" s="142"/>
      <c r="BI61" s="142"/>
      <c r="BJ61" s="173"/>
      <c r="BK61" s="114"/>
      <c r="BL61" s="114"/>
      <c r="BM61" s="142"/>
      <c r="BN61" s="142"/>
      <c r="BO61" s="173"/>
      <c r="BP61" s="114"/>
      <c r="BQ61" s="114"/>
      <c r="BR61" s="143"/>
      <c r="BS61" s="142"/>
      <c r="BT61" s="142"/>
      <c r="BU61" s="142"/>
      <c r="BV61" s="114"/>
      <c r="BW61" s="142"/>
      <c r="BX61" s="142"/>
      <c r="BY61" s="114"/>
      <c r="BZ61" s="142"/>
      <c r="CA61" s="173"/>
      <c r="CB61" s="142"/>
    </row>
    <row r="62" spans="1:106" ht="16.5" customHeight="1">
      <c r="A62" s="455"/>
      <c r="B62" s="456"/>
      <c r="C62" s="456"/>
      <c r="D62" s="456"/>
      <c r="E62" s="482"/>
      <c r="F62" s="456"/>
      <c r="G62" s="456"/>
      <c r="H62" s="456"/>
      <c r="I62" s="456"/>
      <c r="J62" s="455"/>
      <c r="K62" s="479"/>
      <c r="L62" s="480"/>
      <c r="M62" s="475"/>
      <c r="N62" s="477"/>
      <c r="O62" s="479"/>
      <c r="P62" s="480"/>
      <c r="Q62" s="481"/>
      <c r="R62" s="194">
        <v>4</v>
      </c>
      <c r="S62" s="205"/>
      <c r="T62" s="178" t="str">
        <f t="shared" si="9"/>
        <v/>
      </c>
      <c r="U62" s="178"/>
      <c r="V62" s="178"/>
      <c r="W62" s="178"/>
      <c r="X62" s="178"/>
      <c r="Y62" s="206"/>
      <c r="Z62" s="206"/>
      <c r="AA62" s="179" t="str">
        <f t="shared" si="6"/>
        <v/>
      </c>
      <c r="AB62" s="206"/>
      <c r="AC62" s="206"/>
      <c r="AD62" s="206"/>
      <c r="AE62" s="183" t="str">
        <f>IFERROR(IF(AND(T61="Probabilidad",T62="Probabilidad"),(AG61-(+AG61*AA62)),IF(AND(T61="Impacto",T62="Probabilidad"),(AG60-(+AG60*AA62)),IF(T62="Impacto",AG61,""))),"")</f>
        <v/>
      </c>
      <c r="AF62" s="181" t="str">
        <f t="shared" si="4"/>
        <v/>
      </c>
      <c r="AG62" s="179" t="str">
        <f t="shared" si="7"/>
        <v/>
      </c>
      <c r="AH62" s="181" t="str">
        <f t="shared" si="5"/>
        <v/>
      </c>
      <c r="AI62" s="179" t="str">
        <f>IFERROR(IF(AND(T61="Impacto",T62="Impacto"),(AI61-(+AI61*AA62)),IF(AND(T61="Probabilidad",T62="Impacto"),(AI60-(+AI60*AA62)),IF(T62="Probabilidad",AI61,""))),"")</f>
        <v/>
      </c>
      <c r="AJ62" s="182" t="str">
        <f t="shared" si="8"/>
        <v/>
      </c>
      <c r="AK62" s="464"/>
      <c r="AL62" s="196"/>
      <c r="AM62" s="194"/>
      <c r="AN62" s="197"/>
      <c r="AO62" s="114"/>
      <c r="AP62" s="142"/>
      <c r="AQ62" s="114"/>
      <c r="AR62" s="142"/>
      <c r="AS62" s="114"/>
      <c r="AT62" s="142"/>
      <c r="AU62" s="114"/>
      <c r="AV62" s="142"/>
      <c r="AW62" s="173"/>
      <c r="AX62" s="142"/>
      <c r="AY62" s="175"/>
      <c r="AZ62" s="173"/>
      <c r="BA62" s="114"/>
      <c r="BB62" s="114"/>
      <c r="BC62" s="142"/>
      <c r="BD62" s="142"/>
      <c r="BE62" s="173"/>
      <c r="BF62" s="114"/>
      <c r="BG62" s="114"/>
      <c r="BH62" s="142"/>
      <c r="BI62" s="142"/>
      <c r="BJ62" s="173"/>
      <c r="BK62" s="114"/>
      <c r="BL62" s="114"/>
      <c r="BM62" s="142"/>
      <c r="BN62" s="142"/>
      <c r="BO62" s="173"/>
      <c r="BP62" s="114"/>
      <c r="BQ62" s="114"/>
      <c r="BR62" s="143"/>
      <c r="BS62" s="142"/>
      <c r="BT62" s="142"/>
      <c r="BU62" s="142"/>
      <c r="BV62" s="114"/>
      <c r="BW62" s="142"/>
      <c r="BX62" s="142"/>
      <c r="BY62" s="114"/>
      <c r="BZ62" s="142"/>
      <c r="CA62" s="173"/>
      <c r="CB62" s="142"/>
    </row>
    <row r="63" spans="1:106" ht="16.5" customHeight="1">
      <c r="A63" s="455"/>
      <c r="B63" s="456"/>
      <c r="C63" s="456"/>
      <c r="D63" s="456"/>
      <c r="E63" s="482"/>
      <c r="F63" s="456"/>
      <c r="G63" s="456"/>
      <c r="H63" s="456"/>
      <c r="I63" s="456"/>
      <c r="J63" s="455"/>
      <c r="K63" s="479"/>
      <c r="L63" s="480"/>
      <c r="M63" s="475"/>
      <c r="N63" s="477"/>
      <c r="O63" s="479"/>
      <c r="P63" s="480"/>
      <c r="Q63" s="481"/>
      <c r="R63" s="194">
        <v>5</v>
      </c>
      <c r="S63" s="205"/>
      <c r="T63" s="178" t="str">
        <f t="shared" si="9"/>
        <v/>
      </c>
      <c r="U63" s="178"/>
      <c r="V63" s="178"/>
      <c r="W63" s="178"/>
      <c r="X63" s="178"/>
      <c r="Y63" s="206"/>
      <c r="Z63" s="206"/>
      <c r="AA63" s="179" t="str">
        <f t="shared" si="6"/>
        <v/>
      </c>
      <c r="AB63" s="206"/>
      <c r="AC63" s="206"/>
      <c r="AD63" s="206"/>
      <c r="AE63" s="183" t="str">
        <f>IFERROR(IF(AND(T62="Probabilidad",T63="Probabilidad"),(AG62-(+AG62*AA63)),IF(AND(T62="Impacto",T63="Probabilidad"),(AG61-(+AG61*AA63)),IF(T63="Impacto",AG62,""))),"")</f>
        <v/>
      </c>
      <c r="AF63" s="181" t="str">
        <f t="shared" si="4"/>
        <v/>
      </c>
      <c r="AG63" s="179" t="str">
        <f t="shared" si="7"/>
        <v/>
      </c>
      <c r="AH63" s="181" t="str">
        <f t="shared" si="5"/>
        <v/>
      </c>
      <c r="AI63" s="179" t="str">
        <f>IFERROR(IF(AND(T62="Impacto",T63="Impacto"),(AI62-(+AI62*AA63)),IF(AND(T62="Probabilidad",T63="Impacto"),(AI61-(+AI61*AA63)),IF(T63="Probabilidad",AI62,""))),"")</f>
        <v/>
      </c>
      <c r="AJ63" s="182" t="str">
        <f t="shared" si="8"/>
        <v/>
      </c>
      <c r="AK63" s="464"/>
      <c r="AL63" s="196"/>
      <c r="AM63" s="194"/>
      <c r="AN63" s="197"/>
      <c r="AO63" s="114"/>
      <c r="AP63" s="142"/>
      <c r="AQ63" s="114"/>
      <c r="AR63" s="142"/>
      <c r="AS63" s="114"/>
      <c r="AT63" s="142"/>
      <c r="AU63" s="114"/>
      <c r="AV63" s="142"/>
      <c r="AW63" s="173"/>
      <c r="AX63" s="142"/>
      <c r="AY63" s="175"/>
      <c r="AZ63" s="173"/>
      <c r="BA63" s="114"/>
      <c r="BB63" s="114"/>
      <c r="BC63" s="142"/>
      <c r="BD63" s="142"/>
      <c r="BE63" s="173"/>
      <c r="BF63" s="114"/>
      <c r="BG63" s="114"/>
      <c r="BH63" s="142"/>
      <c r="BI63" s="142"/>
      <c r="BJ63" s="173"/>
      <c r="BK63" s="114"/>
      <c r="BL63" s="114"/>
      <c r="BM63" s="142"/>
      <c r="BN63" s="142"/>
      <c r="BO63" s="173"/>
      <c r="BP63" s="114"/>
      <c r="BQ63" s="114"/>
      <c r="BR63" s="143"/>
      <c r="BS63" s="142"/>
      <c r="BT63" s="142"/>
      <c r="BU63" s="142"/>
      <c r="BV63" s="114"/>
      <c r="BW63" s="142"/>
      <c r="BX63" s="142"/>
      <c r="BY63" s="114"/>
      <c r="BZ63" s="142"/>
      <c r="CA63" s="173"/>
      <c r="CB63" s="142"/>
    </row>
    <row r="64" spans="1:106" ht="16.5" customHeight="1">
      <c r="A64" s="455"/>
      <c r="B64" s="456"/>
      <c r="C64" s="456"/>
      <c r="D64" s="456"/>
      <c r="E64" s="482"/>
      <c r="F64" s="456"/>
      <c r="G64" s="456"/>
      <c r="H64" s="456"/>
      <c r="I64" s="456"/>
      <c r="J64" s="455"/>
      <c r="K64" s="479"/>
      <c r="L64" s="480"/>
      <c r="M64" s="475"/>
      <c r="N64" s="478"/>
      <c r="O64" s="479"/>
      <c r="P64" s="480"/>
      <c r="Q64" s="481"/>
      <c r="R64" s="194">
        <v>6</v>
      </c>
      <c r="S64" s="205"/>
      <c r="T64" s="178" t="str">
        <f t="shared" si="9"/>
        <v/>
      </c>
      <c r="U64" s="178"/>
      <c r="V64" s="178"/>
      <c r="W64" s="178"/>
      <c r="X64" s="178"/>
      <c r="Y64" s="206"/>
      <c r="Z64" s="206"/>
      <c r="AA64" s="179" t="str">
        <f t="shared" si="6"/>
        <v/>
      </c>
      <c r="AB64" s="206"/>
      <c r="AC64" s="206"/>
      <c r="AD64" s="206"/>
      <c r="AE64" s="183" t="str">
        <f>IFERROR(IF(AND(T63="Probabilidad",T64="Probabilidad"),(AG63-(+AG63*AA64)),IF(AND(T63="Impacto",T64="Probabilidad"),(AG62-(+AG62*AA64)),IF(T64="Impacto",AG63,""))),"")</f>
        <v/>
      </c>
      <c r="AF64" s="181" t="str">
        <f t="shared" si="4"/>
        <v/>
      </c>
      <c r="AG64" s="179" t="str">
        <f t="shared" si="7"/>
        <v/>
      </c>
      <c r="AH64" s="181" t="str">
        <f t="shared" si="5"/>
        <v/>
      </c>
      <c r="AI64" s="179" t="str">
        <f>IFERROR(IF(AND(T63="Impacto",T64="Impacto"),(AI63-(+AI63*AA64)),IF(AND(T63="Probabilidad",T64="Impacto"),(AI62-(+AI62*AA64)),IF(T64="Probabilidad",AI63,""))),"")</f>
        <v/>
      </c>
      <c r="AJ64" s="182" t="str">
        <f t="shared" si="8"/>
        <v/>
      </c>
      <c r="AK64" s="465"/>
      <c r="AL64" s="196"/>
      <c r="AM64" s="194"/>
      <c r="AN64" s="197"/>
      <c r="AO64" s="114"/>
      <c r="AP64" s="142"/>
      <c r="AQ64" s="114"/>
      <c r="AR64" s="142"/>
      <c r="AS64" s="114"/>
      <c r="AT64" s="142"/>
      <c r="AU64" s="114"/>
      <c r="AV64" s="142"/>
      <c r="AW64" s="173"/>
      <c r="AX64" s="142"/>
      <c r="AY64" s="175"/>
      <c r="AZ64" s="173"/>
      <c r="BA64" s="114"/>
      <c r="BB64" s="114"/>
      <c r="BC64" s="142"/>
      <c r="BD64" s="142"/>
      <c r="BE64" s="173"/>
      <c r="BF64" s="114"/>
      <c r="BG64" s="114"/>
      <c r="BH64" s="142"/>
      <c r="BI64" s="142"/>
      <c r="BJ64" s="173"/>
      <c r="BK64" s="114"/>
      <c r="BL64" s="114"/>
      <c r="BM64" s="142"/>
      <c r="BN64" s="142"/>
      <c r="BO64" s="173"/>
      <c r="BP64" s="114"/>
      <c r="BQ64" s="114"/>
      <c r="BR64" s="143"/>
      <c r="BS64" s="142"/>
      <c r="BT64" s="142"/>
      <c r="BU64" s="142"/>
      <c r="BV64" s="114"/>
      <c r="BW64" s="142"/>
      <c r="BX64" s="142"/>
      <c r="BY64" s="114"/>
      <c r="BZ64" s="142"/>
      <c r="CA64" s="173"/>
      <c r="CB64" s="142"/>
    </row>
  </sheetData>
  <sheetProtection algorithmName="SHA-512" hashValue="IDbn23QRhEVig6ABEHigmQw8unz8dEcvYq0EteBRihsqCX9vyeNbXN6k3jRpTDauLSeU3bF0vmgBUXgfDRyUbQ==" saltValue="Sqrv2M5t3xGjxt5wATdOVA==" spinCount="100000" sheet="1" formatCells="0" formatColumns="0" formatRows="0"/>
  <dataConsolidate link="1"/>
  <mergeCells count="264">
    <mergeCell ref="C41:C46"/>
    <mergeCell ref="D41:D46"/>
    <mergeCell ref="B47:B52"/>
    <mergeCell ref="C47:C52"/>
    <mergeCell ref="D47:D52"/>
    <mergeCell ref="B53:B58"/>
    <mergeCell ref="C53:C58"/>
    <mergeCell ref="D53:D58"/>
    <mergeCell ref="B59:B64"/>
    <mergeCell ref="C59:C64"/>
    <mergeCell ref="D59:D6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K11">
    <cfRule type="cellIs" dxfId="177" priority="231" operator="equal">
      <formula>"Muy Baja"</formula>
    </cfRule>
    <cfRule type="cellIs" dxfId="176" priority="227" operator="equal">
      <formula>"Muy Alta"</formula>
    </cfRule>
    <cfRule type="cellIs" dxfId="175" priority="230" operator="equal">
      <formula>"Baja"</formula>
    </cfRule>
    <cfRule type="cellIs" dxfId="174" priority="229" operator="equal">
      <formula>"Media"</formula>
    </cfRule>
    <cfRule type="cellIs" dxfId="173" priority="228" operator="equal">
      <formula>"Alta"</formula>
    </cfRule>
  </conditionalFormatting>
  <conditionalFormatting sqref="K17">
    <cfRule type="cellIs" dxfId="172" priority="182" operator="equal">
      <formula>"Alta"</formula>
    </cfRule>
    <cfRule type="cellIs" dxfId="171" priority="185" operator="equal">
      <formula>"Muy Baja"</formula>
    </cfRule>
    <cfRule type="cellIs" dxfId="170" priority="181" operator="equal">
      <formula>"Muy Alta"</formula>
    </cfRule>
    <cfRule type="cellIs" dxfId="169" priority="184" operator="equal">
      <formula>"Baja"</formula>
    </cfRule>
    <cfRule type="cellIs" dxfId="168" priority="183" operator="equal">
      <formula>"Media"</formula>
    </cfRule>
  </conditionalFormatting>
  <conditionalFormatting sqref="K23">
    <cfRule type="cellIs" dxfId="167" priority="162" operator="equal">
      <formula>"Muy Baja"</formula>
    </cfRule>
    <cfRule type="cellIs" dxfId="166" priority="160" operator="equal">
      <formula>"Media"</formula>
    </cfRule>
    <cfRule type="cellIs" dxfId="165" priority="158" operator="equal">
      <formula>"Muy Alta"</formula>
    </cfRule>
    <cfRule type="cellIs" dxfId="164" priority="159" operator="equal">
      <formula>"Alta"</formula>
    </cfRule>
    <cfRule type="cellIs" dxfId="163" priority="161" operator="equal">
      <formula>"Baja"</formula>
    </cfRule>
  </conditionalFormatting>
  <conditionalFormatting sqref="K29">
    <cfRule type="cellIs" dxfId="162" priority="136" operator="equal">
      <formula>"Alta"</formula>
    </cfRule>
    <cfRule type="cellIs" dxfId="161" priority="135" operator="equal">
      <formula>"Muy Alta"</formula>
    </cfRule>
    <cfRule type="cellIs" dxfId="160" priority="137" operator="equal">
      <formula>"Media"</formula>
    </cfRule>
    <cfRule type="cellIs" dxfId="159" priority="138" operator="equal">
      <formula>"Baja"</formula>
    </cfRule>
    <cfRule type="cellIs" dxfId="158" priority="139" operator="equal">
      <formula>"Muy Baja"</formula>
    </cfRule>
  </conditionalFormatting>
  <conditionalFormatting sqref="K35">
    <cfRule type="cellIs" dxfId="157" priority="112" operator="equal">
      <formula>"Muy Alta"</formula>
    </cfRule>
    <cfRule type="cellIs" dxfId="156" priority="114" operator="equal">
      <formula>"Media"</formula>
    </cfRule>
    <cfRule type="cellIs" dxfId="155" priority="116" operator="equal">
      <formula>"Muy Baja"</formula>
    </cfRule>
    <cfRule type="cellIs" dxfId="154" priority="115" operator="equal">
      <formula>"Baja"</formula>
    </cfRule>
    <cfRule type="cellIs" dxfId="153" priority="113" operator="equal">
      <formula>"Alta"</formula>
    </cfRule>
  </conditionalFormatting>
  <conditionalFormatting sqref="K41">
    <cfRule type="cellIs" dxfId="152" priority="93" operator="equal">
      <formula>"Muy Baja"</formula>
    </cfRule>
    <cfRule type="cellIs" dxfId="151" priority="89" operator="equal">
      <formula>"Muy Alta"</formula>
    </cfRule>
    <cfRule type="cellIs" dxfId="150" priority="90" operator="equal">
      <formula>"Alta"</formula>
    </cfRule>
    <cfRule type="cellIs" dxfId="149" priority="91" operator="equal">
      <formula>"Media"</formula>
    </cfRule>
    <cfRule type="cellIs" dxfId="148" priority="92" operator="equal">
      <formula>"Baja"</formula>
    </cfRule>
  </conditionalFormatting>
  <conditionalFormatting sqref="K47">
    <cfRule type="cellIs" dxfId="147" priority="66" operator="equal">
      <formula>"Muy Alta"</formula>
    </cfRule>
    <cfRule type="cellIs" dxfId="146" priority="68" operator="equal">
      <formula>"Media"</formula>
    </cfRule>
    <cfRule type="cellIs" dxfId="145" priority="69" operator="equal">
      <formula>"Baja"</formula>
    </cfRule>
    <cfRule type="cellIs" dxfId="144" priority="70" operator="equal">
      <formula>"Muy Baja"</formula>
    </cfRule>
    <cfRule type="cellIs" dxfId="143" priority="67" operator="equal">
      <formula>"Alta"</formula>
    </cfRule>
  </conditionalFormatting>
  <conditionalFormatting sqref="K53">
    <cfRule type="cellIs" dxfId="142" priority="46" operator="equal">
      <formula>"Baja"</formula>
    </cfRule>
    <cfRule type="cellIs" dxfId="141" priority="43" operator="equal">
      <formula>"Muy Alta"</formula>
    </cfRule>
    <cfRule type="cellIs" dxfId="140" priority="44" operator="equal">
      <formula>"Alta"</formula>
    </cfRule>
    <cfRule type="cellIs" dxfId="139" priority="45" operator="equal">
      <formula>"Media"</formula>
    </cfRule>
    <cfRule type="cellIs" dxfId="138" priority="47" operator="equal">
      <formula>"Muy Baja"</formula>
    </cfRule>
  </conditionalFormatting>
  <conditionalFormatting sqref="K59">
    <cfRule type="cellIs" dxfId="137" priority="24" operator="equal">
      <formula>"Muy Baja"</formula>
    </cfRule>
    <cfRule type="cellIs" dxfId="136" priority="20" operator="equal">
      <formula>"Muy Alta"</formula>
    </cfRule>
    <cfRule type="cellIs" dxfId="135" priority="23" operator="equal">
      <formula>"Baja"</formula>
    </cfRule>
    <cfRule type="cellIs" dxfId="134" priority="22" operator="equal">
      <formula>"Media"</formula>
    </cfRule>
    <cfRule type="cellIs" dxfId="133" priority="21" operator="equal">
      <formula>"Alta"</formula>
    </cfRule>
  </conditionalFormatting>
  <conditionalFormatting sqref="N5 N11 N17 N23 N29 N35 N41 N47 N53 N59">
    <cfRule type="containsText" dxfId="132" priority="1" operator="containsText" text="❌">
      <formula>NOT(ISERROR(SEARCH("❌",N5)))</formula>
    </cfRule>
  </conditionalFormatting>
  <conditionalFormatting sqref="O5 O11 O17 O23 O29 O35 O41 O47 O53 O59">
    <cfRule type="cellIs" dxfId="131" priority="226" operator="equal">
      <formula>"Leve"</formula>
    </cfRule>
    <cfRule type="cellIs" dxfId="130" priority="222" operator="equal">
      <formula>"Catastrófico"</formula>
    </cfRule>
    <cfRule type="cellIs" dxfId="129" priority="223" operator="equal">
      <formula>"Mayor"</formula>
    </cfRule>
    <cfRule type="cellIs" dxfId="128" priority="224" operator="equal">
      <formula>"Moderado"</formula>
    </cfRule>
    <cfRule type="cellIs" dxfId="127" priority="225" operator="equal">
      <formula>"Menor"</formula>
    </cfRule>
  </conditionalFormatting>
  <conditionalFormatting sqref="Q5">
    <cfRule type="cellIs" dxfId="126" priority="221" operator="equal">
      <formula>"Bajo"</formula>
    </cfRule>
    <cfRule type="cellIs" dxfId="125" priority="218" operator="equal">
      <formula>"Extremo"</formula>
    </cfRule>
    <cfRule type="cellIs" dxfId="124" priority="219" operator="equal">
      <formula>"Alto"</formula>
    </cfRule>
    <cfRule type="cellIs" dxfId="123" priority="220" operator="equal">
      <formula>"Moderado"</formula>
    </cfRule>
  </conditionalFormatting>
  <conditionalFormatting sqref="Q11">
    <cfRule type="cellIs" dxfId="122" priority="200" operator="equal">
      <formula>"Extremo"</formula>
    </cfRule>
    <cfRule type="cellIs" dxfId="121" priority="203" operator="equal">
      <formula>"Bajo"</formula>
    </cfRule>
    <cfRule type="cellIs" dxfId="120" priority="202" operator="equal">
      <formula>"Moderado"</formula>
    </cfRule>
    <cfRule type="cellIs" dxfId="119" priority="201" operator="equal">
      <formula>"Alto"</formula>
    </cfRule>
  </conditionalFormatting>
  <conditionalFormatting sqref="Q17">
    <cfRule type="cellIs" dxfId="118" priority="180" operator="equal">
      <formula>"Bajo"</formula>
    </cfRule>
    <cfRule type="cellIs" dxfId="117" priority="177" operator="equal">
      <formula>"Extremo"</formula>
    </cfRule>
    <cfRule type="cellIs" dxfId="116" priority="178" operator="equal">
      <formula>"Alto"</formula>
    </cfRule>
    <cfRule type="cellIs" dxfId="115" priority="179" operator="equal">
      <formula>"Moderado"</formula>
    </cfRule>
  </conditionalFormatting>
  <conditionalFormatting sqref="Q23">
    <cfRule type="cellIs" dxfId="114" priority="154" operator="equal">
      <formula>"Extremo"</formula>
    </cfRule>
    <cfRule type="cellIs" dxfId="113" priority="155" operator="equal">
      <formula>"Alto"</formula>
    </cfRule>
    <cfRule type="cellIs" dxfId="112" priority="156" operator="equal">
      <formula>"Moderado"</formula>
    </cfRule>
    <cfRule type="cellIs" dxfId="111" priority="157" operator="equal">
      <formula>"Bajo"</formula>
    </cfRule>
  </conditionalFormatting>
  <conditionalFormatting sqref="Q29">
    <cfRule type="cellIs" dxfId="110" priority="132" operator="equal">
      <formula>"Alto"</formula>
    </cfRule>
    <cfRule type="cellIs" dxfId="109" priority="131" operator="equal">
      <formula>"Extremo"</formula>
    </cfRule>
    <cfRule type="cellIs" dxfId="108" priority="133" operator="equal">
      <formula>"Moderado"</formula>
    </cfRule>
    <cfRule type="cellIs" dxfId="107" priority="134" operator="equal">
      <formula>"Bajo"</formula>
    </cfRule>
  </conditionalFormatting>
  <conditionalFormatting sqref="Q35">
    <cfRule type="cellIs" dxfId="106" priority="110" operator="equal">
      <formula>"Moderado"</formula>
    </cfRule>
    <cfRule type="cellIs" dxfId="105" priority="109" operator="equal">
      <formula>"Alto"</formula>
    </cfRule>
    <cfRule type="cellIs" dxfId="104" priority="111" operator="equal">
      <formula>"Bajo"</formula>
    </cfRule>
    <cfRule type="cellIs" dxfId="103" priority="108" operator="equal">
      <formula>"Extremo"</formula>
    </cfRule>
  </conditionalFormatting>
  <conditionalFormatting sqref="Q41">
    <cfRule type="cellIs" dxfId="102" priority="88" operator="equal">
      <formula>"Bajo"</formula>
    </cfRule>
    <cfRule type="cellIs" dxfId="101" priority="87" operator="equal">
      <formula>"Moderado"</formula>
    </cfRule>
    <cfRule type="cellIs" dxfId="100" priority="86" operator="equal">
      <formula>"Alto"</formula>
    </cfRule>
    <cfRule type="cellIs" dxfId="99" priority="85" operator="equal">
      <formula>"Extremo"</formula>
    </cfRule>
  </conditionalFormatting>
  <conditionalFormatting sqref="Q47">
    <cfRule type="cellIs" dxfId="98" priority="62" operator="equal">
      <formula>"Extremo"</formula>
    </cfRule>
    <cfRule type="cellIs" dxfId="97" priority="63" operator="equal">
      <formula>"Alto"</formula>
    </cfRule>
    <cfRule type="cellIs" dxfId="96" priority="65" operator="equal">
      <formula>"Bajo"</formula>
    </cfRule>
    <cfRule type="cellIs" dxfId="95" priority="64" operator="equal">
      <formula>"Moderado"</formula>
    </cfRule>
  </conditionalFormatting>
  <conditionalFormatting sqref="Q53">
    <cfRule type="cellIs" dxfId="94" priority="39" operator="equal">
      <formula>"Extremo"</formula>
    </cfRule>
    <cfRule type="cellIs" dxfId="93" priority="40" operator="equal">
      <formula>"Alto"</formula>
    </cfRule>
    <cfRule type="cellIs" dxfId="92" priority="42" operator="equal">
      <formula>"Bajo"</formula>
    </cfRule>
    <cfRule type="cellIs" dxfId="91" priority="41" operator="equal">
      <formula>"Moderado"</formula>
    </cfRule>
  </conditionalFormatting>
  <conditionalFormatting sqref="Q59">
    <cfRule type="cellIs" dxfId="90" priority="16" operator="equal">
      <formula>"Extremo"</formula>
    </cfRule>
    <cfRule type="cellIs" dxfId="89" priority="19" operator="equal">
      <formula>"Bajo"</formula>
    </cfRule>
    <cfRule type="cellIs" dxfId="88" priority="18" operator="equal">
      <formula>"Moderado"</formula>
    </cfRule>
    <cfRule type="cellIs" dxfId="87" priority="17" operator="equal">
      <formula>"Alto"</formula>
    </cfRule>
  </conditionalFormatting>
  <conditionalFormatting sqref="AF5:AF64">
    <cfRule type="cellIs" dxfId="86" priority="15" operator="equal">
      <formula>"Muy Baja"</formula>
    </cfRule>
    <cfRule type="cellIs" dxfId="85" priority="13" operator="equal">
      <formula>"Media"</formula>
    </cfRule>
    <cfRule type="cellIs" dxfId="84" priority="12" operator="equal">
      <formula>"Alta"</formula>
    </cfRule>
    <cfRule type="cellIs" dxfId="83" priority="11" operator="equal">
      <formula>"Muy Alta"</formula>
    </cfRule>
    <cfRule type="cellIs" dxfId="82" priority="14" operator="equal">
      <formula>"Baja"</formula>
    </cfRule>
  </conditionalFormatting>
  <conditionalFormatting sqref="AH5:AH64">
    <cfRule type="cellIs" dxfId="81" priority="10" operator="equal">
      <formula>"Leve"</formula>
    </cfRule>
    <cfRule type="cellIs" dxfId="80" priority="9" operator="equal">
      <formula>"Menor"</formula>
    </cfRule>
    <cfRule type="cellIs" dxfId="79" priority="7" operator="equal">
      <formula>"Mayor"</formula>
    </cfRule>
    <cfRule type="cellIs" dxfId="78" priority="6" operator="equal">
      <formula>"Catastrófico"</formula>
    </cfRule>
    <cfRule type="cellIs" dxfId="77" priority="8" operator="equal">
      <formula>"Moderado"</formula>
    </cfRule>
  </conditionalFormatting>
  <conditionalFormatting sqref="AJ5:AJ64">
    <cfRule type="cellIs" dxfId="76" priority="2" operator="equal">
      <formula>"Extremo"</formula>
    </cfRule>
    <cfRule type="cellIs" dxfId="75" priority="5" operator="equal">
      <formula>"Bajo"</formula>
    </cfRule>
    <cfRule type="cellIs" dxfId="74" priority="4" operator="equal">
      <formula>"Moderado"</formula>
    </cfRule>
    <cfRule type="cellIs" dxfId="73" priority="3" operator="equal">
      <formula>"Alto"</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BQ5:BQ64 BL5:BL64 BG12:BG64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opLeftCell="BX1" zoomScale="70" zoomScaleNormal="70" zoomScaleSheetLayoutView="10" zoomScalePageLayoutView="55" workbookViewId="0">
      <selection activeCell="CB5" sqref="CB5"/>
    </sheetView>
  </sheetViews>
  <sheetFormatPr defaultColWidth="11.42578125" defaultRowHeight="21" customHeight="1"/>
  <cols>
    <col min="1" max="1" width="4" style="192" bestFit="1" customWidth="1"/>
    <col min="2" max="4" width="18.7109375" style="193" customWidth="1"/>
    <col min="5" max="5" width="32.42578125" style="1" customWidth="1"/>
    <col min="6" max="6" width="14.140625" style="192" customWidth="1"/>
    <col min="7" max="7" width="13.140625" style="192" customWidth="1"/>
    <col min="8" max="8" width="16.140625" style="192" customWidth="1"/>
    <col min="9" max="9" width="19" style="219" customWidth="1"/>
    <col min="10" max="12" width="17.85546875" style="1" customWidth="1"/>
    <col min="13" max="13" width="16.5703125" style="1" customWidth="1"/>
    <col min="14" max="14" width="5.85546875" style="1" customWidth="1"/>
    <col min="15" max="15" width="48.42578125" style="1" customWidth="1"/>
    <col min="16" max="24" width="31" style="1" hidden="1" customWidth="1"/>
    <col min="25" max="25" width="31" style="220" hidden="1" customWidth="1"/>
    <col min="26" max="26" width="31" style="221" hidden="1" customWidth="1"/>
    <col min="27" max="36" width="31" style="1" hidden="1" customWidth="1"/>
    <col min="37" max="37" width="17.85546875" style="1" hidden="1" customWidth="1"/>
    <col min="38" max="38" width="16.5703125" style="1" hidden="1" customWidth="1"/>
    <col min="39" max="39" width="31" style="1" hidden="1" customWidth="1"/>
    <col min="40" max="40" width="36.85546875" style="1" customWidth="1"/>
    <col min="41" max="41" width="18.85546875" style="1" customWidth="1"/>
    <col min="42" max="42" width="22.140625" style="1" customWidth="1"/>
    <col min="43" max="43" width="17.7109375" style="145" hidden="1" customWidth="1"/>
    <col min="44" max="44" width="43.5703125" style="145" hidden="1" customWidth="1"/>
    <col min="45" max="45" width="20.5703125" style="145" customWidth="1"/>
    <col min="46" max="46" width="18.5703125" style="145" customWidth="1"/>
    <col min="47" max="47" width="20.5703125" style="145" customWidth="1"/>
    <col min="48" max="48" width="18.5703125" style="145" customWidth="1"/>
    <col min="49" max="49" width="20.5703125" style="145" hidden="1" customWidth="1"/>
    <col min="50" max="50" width="18.5703125" style="145" hidden="1" customWidth="1"/>
    <col min="51" max="51" width="21" style="145" hidden="1" customWidth="1"/>
    <col min="52" max="52" width="34.7109375" style="1" hidden="1" customWidth="1"/>
    <col min="53" max="53" width="51.140625" style="1" hidden="1" customWidth="1"/>
    <col min="54" max="54" width="18.85546875" style="1" hidden="1" customWidth="1"/>
    <col min="55" max="55" width="16.85546875" style="1" hidden="1" customWidth="1"/>
    <col min="56" max="56" width="19.5703125" style="1" hidden="1" customWidth="1"/>
    <col min="57" max="57" width="23" style="145" customWidth="1"/>
    <col min="58" max="58" width="43.7109375" style="145" customWidth="1"/>
    <col min="59" max="59" width="18.85546875" style="145" customWidth="1"/>
    <col min="60" max="60" width="33.28515625" style="145" customWidth="1"/>
    <col min="61" max="61" width="19.5703125" style="145" customWidth="1"/>
    <col min="62" max="63" width="23" style="145" customWidth="1"/>
    <col min="64" max="64" width="18.85546875" style="145" customWidth="1"/>
    <col min="65" max="65" width="32" style="145" customWidth="1"/>
    <col min="66" max="66" width="19.5703125" style="145" customWidth="1"/>
    <col min="67" max="68" width="23" style="145" hidden="1" customWidth="1"/>
    <col min="69" max="69" width="18.85546875" style="145" hidden="1" customWidth="1"/>
    <col min="70" max="70" width="16.85546875" style="145" hidden="1" customWidth="1"/>
    <col min="71" max="71" width="19.5703125" style="145" hidden="1" customWidth="1"/>
    <col min="72" max="72" width="20.7109375" style="145" customWidth="1"/>
    <col min="73" max="74" width="23" style="145" customWidth="1"/>
    <col min="75" max="75" width="18.5703125" style="145" customWidth="1"/>
    <col min="76" max="76" width="20.5703125" style="1" customWidth="1"/>
    <col min="77" max="77" width="23" style="1" customWidth="1"/>
    <col min="78" max="78" width="18.5703125" style="1" customWidth="1"/>
    <col min="79" max="79" width="20.5703125" style="145" customWidth="1"/>
    <col min="80" max="80" width="23" style="145" customWidth="1"/>
    <col min="81" max="81" width="18.85546875" style="145" customWidth="1"/>
    <col min="82" max="82" width="18.5703125" style="145" customWidth="1"/>
    <col min="83" max="16384" width="11.42578125" style="145"/>
  </cols>
  <sheetData>
    <row r="1" spans="1:108" ht="21" customHeight="1">
      <c r="AN1" s="144"/>
      <c r="AO1" s="144"/>
      <c r="AP1" s="144"/>
      <c r="AQ1" s="144"/>
      <c r="AR1" s="144"/>
      <c r="AS1" s="144"/>
      <c r="AT1" s="144"/>
      <c r="AU1" s="144"/>
      <c r="AV1" s="144"/>
      <c r="AW1" s="144"/>
      <c r="AX1" s="144"/>
      <c r="AY1" s="144"/>
      <c r="AZ1" s="2"/>
      <c r="BA1" s="2"/>
      <c r="BB1" s="2"/>
      <c r="BC1" s="2"/>
      <c r="BD1" s="2"/>
      <c r="BE1" s="144"/>
      <c r="BF1" s="144"/>
      <c r="BG1" s="144"/>
      <c r="BH1" s="144"/>
      <c r="BI1" s="144"/>
      <c r="BJ1" s="144"/>
      <c r="BK1" s="144"/>
      <c r="BL1" s="144"/>
      <c r="BM1" s="144"/>
      <c r="BN1" s="144"/>
      <c r="BO1" s="144"/>
      <c r="BP1" s="144"/>
      <c r="BQ1" s="144"/>
      <c r="BR1" s="144"/>
      <c r="BS1" s="144"/>
    </row>
    <row r="2" spans="1:108" ht="21" customHeight="1">
      <c r="A2" s="460" t="s">
        <v>124</v>
      </c>
      <c r="B2" s="461"/>
      <c r="C2" s="461"/>
      <c r="D2" s="461"/>
      <c r="E2" s="461"/>
      <c r="F2" s="461"/>
      <c r="G2" s="461"/>
      <c r="H2" s="461"/>
      <c r="I2" s="462"/>
      <c r="J2" s="460" t="s">
        <v>125</v>
      </c>
      <c r="K2" s="461"/>
      <c r="L2" s="461"/>
      <c r="M2" s="462"/>
      <c r="N2" s="460" t="s">
        <v>126</v>
      </c>
      <c r="O2" s="461"/>
      <c r="P2" s="461"/>
      <c r="Q2" s="461"/>
      <c r="R2" s="461"/>
      <c r="S2" s="461"/>
      <c r="T2" s="461"/>
      <c r="U2" s="461"/>
      <c r="V2" s="461"/>
      <c r="W2" s="461"/>
      <c r="X2" s="461"/>
      <c r="Y2" s="461"/>
      <c r="Z2" s="461"/>
      <c r="AA2" s="461"/>
      <c r="AB2" s="461"/>
      <c r="AC2" s="461"/>
      <c r="AD2" s="461"/>
      <c r="AE2" s="461"/>
      <c r="AF2" s="461"/>
      <c r="AG2" s="461"/>
      <c r="AH2" s="462"/>
      <c r="AI2" s="460" t="s">
        <v>295</v>
      </c>
      <c r="AJ2" s="461"/>
      <c r="AK2" s="461"/>
      <c r="AL2" s="462"/>
      <c r="AM2" s="202"/>
      <c r="AN2" s="504" t="s">
        <v>128</v>
      </c>
      <c r="AO2" s="504"/>
      <c r="AP2" s="504"/>
      <c r="AQ2" s="504"/>
      <c r="AR2" s="504"/>
      <c r="AS2" s="504"/>
      <c r="AT2" s="504"/>
      <c r="AU2" s="504"/>
      <c r="AV2" s="504"/>
      <c r="AW2" s="504"/>
      <c r="AX2" s="504"/>
      <c r="AY2" s="504"/>
      <c r="AZ2" s="453" t="s">
        <v>129</v>
      </c>
      <c r="BA2" s="453"/>
      <c r="BB2" s="453"/>
      <c r="BC2" s="453"/>
      <c r="BD2" s="453"/>
      <c r="BE2" s="453" t="s">
        <v>130</v>
      </c>
      <c r="BF2" s="453"/>
      <c r="BG2" s="453"/>
      <c r="BH2" s="453"/>
      <c r="BI2" s="453"/>
      <c r="BJ2" s="453" t="s">
        <v>131</v>
      </c>
      <c r="BK2" s="453"/>
      <c r="BL2" s="453"/>
      <c r="BM2" s="453"/>
      <c r="BN2" s="453"/>
      <c r="BO2" s="453" t="s">
        <v>132</v>
      </c>
      <c r="BP2" s="453"/>
      <c r="BQ2" s="453"/>
      <c r="BR2" s="453"/>
      <c r="BS2" s="453"/>
      <c r="BT2" s="501" t="s">
        <v>133</v>
      </c>
      <c r="BU2" s="501"/>
      <c r="BV2" s="501"/>
      <c r="BW2" s="501"/>
      <c r="BX2" s="466" t="s">
        <v>134</v>
      </c>
      <c r="BY2" s="466"/>
      <c r="BZ2" s="466"/>
      <c r="CA2" s="457" t="s">
        <v>135</v>
      </c>
      <c r="CB2" s="458"/>
      <c r="CC2" s="458"/>
      <c r="CD2" s="459"/>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row>
    <row r="3" spans="1:108" s="151" customFormat="1" ht="21" customHeight="1">
      <c r="A3" s="529" t="s">
        <v>136</v>
      </c>
      <c r="B3" s="493" t="s">
        <v>7</v>
      </c>
      <c r="C3" s="493" t="s">
        <v>9</v>
      </c>
      <c r="D3" s="493" t="s">
        <v>11</v>
      </c>
      <c r="E3" s="530" t="s">
        <v>21</v>
      </c>
      <c r="F3" s="530" t="s">
        <v>15</v>
      </c>
      <c r="G3" s="493" t="s">
        <v>17</v>
      </c>
      <c r="H3" s="493" t="s">
        <v>19</v>
      </c>
      <c r="I3" s="493" t="s">
        <v>23</v>
      </c>
      <c r="J3" s="493" t="s">
        <v>296</v>
      </c>
      <c r="K3" s="493" t="s">
        <v>15</v>
      </c>
      <c r="L3" s="493" t="s">
        <v>297</v>
      </c>
      <c r="M3" s="517" t="s">
        <v>29</v>
      </c>
      <c r="N3" s="522" t="s">
        <v>145</v>
      </c>
      <c r="O3" s="493" t="s">
        <v>31</v>
      </c>
      <c r="P3" s="493" t="s">
        <v>298</v>
      </c>
      <c r="Q3" s="517" t="s">
        <v>153</v>
      </c>
      <c r="R3" s="493" t="s">
        <v>153</v>
      </c>
      <c r="S3" s="493" t="s">
        <v>299</v>
      </c>
      <c r="T3" s="493" t="s">
        <v>300</v>
      </c>
      <c r="U3" s="493" t="s">
        <v>301</v>
      </c>
      <c r="V3" s="493" t="s">
        <v>302</v>
      </c>
      <c r="W3" s="493" t="s">
        <v>303</v>
      </c>
      <c r="X3" s="493" t="s">
        <v>304</v>
      </c>
      <c r="Y3" s="493" t="s">
        <v>305</v>
      </c>
      <c r="Z3" s="493" t="s">
        <v>306</v>
      </c>
      <c r="AA3" s="493" t="s">
        <v>307</v>
      </c>
      <c r="AB3" s="493" t="s">
        <v>308</v>
      </c>
      <c r="AC3" s="525" t="s">
        <v>309</v>
      </c>
      <c r="AD3" s="526"/>
      <c r="AE3" s="493" t="s">
        <v>310</v>
      </c>
      <c r="AF3" s="493" t="s">
        <v>311</v>
      </c>
      <c r="AG3" s="493" t="s">
        <v>312</v>
      </c>
      <c r="AH3" s="493" t="s">
        <v>313</v>
      </c>
      <c r="AI3" s="493" t="s">
        <v>296</v>
      </c>
      <c r="AJ3" s="493" t="s">
        <v>15</v>
      </c>
      <c r="AK3" s="493" t="s">
        <v>297</v>
      </c>
      <c r="AL3" s="517" t="s">
        <v>314</v>
      </c>
      <c r="AM3" s="493" t="s">
        <v>315</v>
      </c>
      <c r="AN3" s="472" t="s">
        <v>152</v>
      </c>
      <c r="AO3" s="472" t="s">
        <v>153</v>
      </c>
      <c r="AP3" s="472" t="s">
        <v>154</v>
      </c>
      <c r="AQ3" s="472" t="s">
        <v>155</v>
      </c>
      <c r="AR3" s="472" t="s">
        <v>156</v>
      </c>
      <c r="AS3" s="472" t="s">
        <v>155</v>
      </c>
      <c r="AT3" s="473" t="s">
        <v>157</v>
      </c>
      <c r="AU3" s="472" t="s">
        <v>155</v>
      </c>
      <c r="AV3" s="472" t="s">
        <v>158</v>
      </c>
      <c r="AW3" s="472" t="s">
        <v>155</v>
      </c>
      <c r="AX3" s="473" t="s">
        <v>159</v>
      </c>
      <c r="AY3" s="472" t="s">
        <v>53</v>
      </c>
      <c r="AZ3" s="454" t="s">
        <v>160</v>
      </c>
      <c r="BA3" s="454" t="s">
        <v>161</v>
      </c>
      <c r="BB3" s="454" t="s">
        <v>153</v>
      </c>
      <c r="BC3" s="454" t="s">
        <v>162</v>
      </c>
      <c r="BD3" s="454" t="s">
        <v>163</v>
      </c>
      <c r="BE3" s="454" t="s">
        <v>160</v>
      </c>
      <c r="BF3" s="454" t="s">
        <v>161</v>
      </c>
      <c r="BG3" s="454" t="s">
        <v>153</v>
      </c>
      <c r="BH3" s="454" t="s">
        <v>162</v>
      </c>
      <c r="BI3" s="454" t="s">
        <v>163</v>
      </c>
      <c r="BJ3" s="454" t="s">
        <v>160</v>
      </c>
      <c r="BK3" s="454" t="s">
        <v>161</v>
      </c>
      <c r="BL3" s="454" t="s">
        <v>153</v>
      </c>
      <c r="BM3" s="454" t="s">
        <v>162</v>
      </c>
      <c r="BN3" s="454" t="s">
        <v>163</v>
      </c>
      <c r="BO3" s="454" t="s">
        <v>160</v>
      </c>
      <c r="BP3" s="454" t="s">
        <v>161</v>
      </c>
      <c r="BQ3" s="454" t="s">
        <v>153</v>
      </c>
      <c r="BR3" s="454" t="s">
        <v>162</v>
      </c>
      <c r="BS3" s="454" t="s">
        <v>163</v>
      </c>
      <c r="BT3" s="521" t="s">
        <v>316</v>
      </c>
      <c r="BU3" s="521" t="s">
        <v>165</v>
      </c>
      <c r="BV3" s="521" t="s">
        <v>166</v>
      </c>
      <c r="BW3" s="521" t="s">
        <v>161</v>
      </c>
      <c r="BX3" s="467" t="s">
        <v>155</v>
      </c>
      <c r="BY3" s="467" t="s">
        <v>167</v>
      </c>
      <c r="BZ3" s="467" t="s">
        <v>168</v>
      </c>
      <c r="CA3" s="507" t="s">
        <v>169</v>
      </c>
      <c r="CB3" s="507" t="s">
        <v>170</v>
      </c>
      <c r="CC3" s="507" t="s">
        <v>171</v>
      </c>
      <c r="CD3" s="507" t="s">
        <v>172</v>
      </c>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row>
    <row r="4" spans="1:108" s="153" customFormat="1" ht="34.5" customHeight="1" thickBot="1">
      <c r="A4" s="529"/>
      <c r="B4" s="493"/>
      <c r="C4" s="493"/>
      <c r="D4" s="493"/>
      <c r="E4" s="530"/>
      <c r="F4" s="530"/>
      <c r="G4" s="493"/>
      <c r="H4" s="493"/>
      <c r="I4" s="493"/>
      <c r="J4" s="493"/>
      <c r="K4" s="493"/>
      <c r="L4" s="493"/>
      <c r="M4" s="518"/>
      <c r="N4" s="522"/>
      <c r="O4" s="493"/>
      <c r="P4" s="493"/>
      <c r="Q4" s="518"/>
      <c r="R4" s="493" t="s">
        <v>153</v>
      </c>
      <c r="S4" s="493"/>
      <c r="T4" s="493"/>
      <c r="U4" s="493"/>
      <c r="V4" s="493"/>
      <c r="W4" s="493" t="s">
        <v>303</v>
      </c>
      <c r="X4" s="493"/>
      <c r="Y4" s="493" t="s">
        <v>303</v>
      </c>
      <c r="Z4" s="493"/>
      <c r="AA4" s="493" t="s">
        <v>307</v>
      </c>
      <c r="AB4" s="493"/>
      <c r="AC4" s="527"/>
      <c r="AD4" s="528"/>
      <c r="AE4" s="493"/>
      <c r="AF4" s="493"/>
      <c r="AG4" s="493"/>
      <c r="AH4" s="493"/>
      <c r="AI4" s="493"/>
      <c r="AJ4" s="493"/>
      <c r="AK4" s="493"/>
      <c r="AL4" s="518"/>
      <c r="AM4" s="493"/>
      <c r="AN4" s="472"/>
      <c r="AO4" s="472"/>
      <c r="AP4" s="472"/>
      <c r="AQ4" s="472"/>
      <c r="AR4" s="472"/>
      <c r="AS4" s="472"/>
      <c r="AT4" s="474"/>
      <c r="AU4" s="472"/>
      <c r="AV4" s="472"/>
      <c r="AW4" s="472"/>
      <c r="AX4" s="474"/>
      <c r="AY4" s="472"/>
      <c r="AZ4" s="454"/>
      <c r="BA4" s="454"/>
      <c r="BB4" s="454"/>
      <c r="BC4" s="454"/>
      <c r="BD4" s="454"/>
      <c r="BE4" s="454"/>
      <c r="BF4" s="454"/>
      <c r="BG4" s="454"/>
      <c r="BH4" s="454"/>
      <c r="BI4" s="454"/>
      <c r="BJ4" s="454"/>
      <c r="BK4" s="454"/>
      <c r="BL4" s="454"/>
      <c r="BM4" s="454"/>
      <c r="BN4" s="454"/>
      <c r="BO4" s="454"/>
      <c r="BP4" s="454"/>
      <c r="BQ4" s="454"/>
      <c r="BR4" s="454"/>
      <c r="BS4" s="454"/>
      <c r="BT4" s="521"/>
      <c r="BU4" s="521"/>
      <c r="BV4" s="521"/>
      <c r="BW4" s="521"/>
      <c r="BX4" s="467"/>
      <c r="BY4" s="467"/>
      <c r="BZ4" s="467"/>
      <c r="CA4" s="507"/>
      <c r="CB4" s="507"/>
      <c r="CC4" s="507"/>
      <c r="CD4" s="507"/>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row>
    <row r="5" spans="1:108" s="149" customFormat="1" ht="203.25" customHeight="1">
      <c r="A5" s="455">
        <v>1</v>
      </c>
      <c r="B5" s="456" t="s">
        <v>72</v>
      </c>
      <c r="C5" s="456" t="s">
        <v>181</v>
      </c>
      <c r="D5" s="456" t="s">
        <v>182</v>
      </c>
      <c r="E5" s="482" t="s">
        <v>317</v>
      </c>
      <c r="F5" s="456" t="s">
        <v>183</v>
      </c>
      <c r="G5" s="456" t="s">
        <v>318</v>
      </c>
      <c r="H5" s="456" t="s">
        <v>319</v>
      </c>
      <c r="I5" s="456" t="s">
        <v>320</v>
      </c>
      <c r="J5" s="455">
        <v>1</v>
      </c>
      <c r="K5" s="455">
        <v>5</v>
      </c>
      <c r="L5" s="512">
        <f>+(J5*K5)*4</f>
        <v>20</v>
      </c>
      <c r="M5" s="509" t="str">
        <f>IF(OR(AND(J5=3,K5=4),AND(J5=2,K5=5),AND(J5=2,K5=5),AND(L5=20),AND(L5&gt;=52,L5&lt;=100)),"ZONA RIESGO EXTREMA",IF(OR(AND(J5=5,K5=2),AND(J5=4,K5=3),AND(J5=1,K5=4),AND(L5=16),AND(L5&gt;=28,L5&lt;=48)),"ZONA RIESGO ALTA",IF(OR(AND(J5=1,K5=3),AND(J5=4,K5=1),AND(L5=24)),"ZONA RIESGO MODERADA",IF(AND(L5&gt;=4,L5&lt;=16),"ZONA RIESGO BAJA"))))</f>
        <v>ZONA RIESGO EXTREMA</v>
      </c>
      <c r="N5" s="194">
        <v>1</v>
      </c>
      <c r="O5" s="205" t="s">
        <v>321</v>
      </c>
      <c r="P5" s="196">
        <v>15</v>
      </c>
      <c r="Q5" s="196">
        <v>15</v>
      </c>
      <c r="R5" s="196">
        <v>15</v>
      </c>
      <c r="S5" s="196">
        <v>15</v>
      </c>
      <c r="T5" s="196">
        <v>15</v>
      </c>
      <c r="U5" s="196">
        <v>15</v>
      </c>
      <c r="V5" s="196">
        <v>10</v>
      </c>
      <c r="W5" s="184">
        <f>SUM(P5:V5)</f>
        <v>100</v>
      </c>
      <c r="X5" s="185" t="str">
        <f t="shared" ref="X5:X64" si="0">IF(AND(W5&gt;=86,W5&lt;=95),"MODERADO",IF(AND(W5&gt;=96), "FUERTE",IF(AND(W5&lt;=85), "DEBIL")))</f>
        <v>FUERTE</v>
      </c>
      <c r="Y5" s="222" t="s">
        <v>322</v>
      </c>
      <c r="Z5" s="187" t="str">
        <f>IFERROR((_xlfn.IFS(AND(X5="FUERTE",Y5="FUERTE"),"FUERTE",AND(X5="FUERTE",Y5="MODERADO"),"MODERADO",AND(X5="FUERTE",Y5="DEBIL"),"DEBIL",AND(X5="MODERADO",Y5="FUERTE"),"MODERADO",AND(X5="MODERADO",Y5="MODERADO"),"MODERADO",AND(X5="MODERADO",Y5="DEBIL"),"DEBIL",AND(X5="DEBIL",Y5="FUERTE"),"DEBIL",AND(X5="DEBIL",Y5="MODERADO"),"DEBIL",AND(X5="DEBIL",Y5="DEBIL"),"DEBIL")),"")</f>
        <v>FUERTE</v>
      </c>
      <c r="AA5" s="184" t="str">
        <f>IF(AND(Z5="FUERTE"),"NO", "SI")</f>
        <v>NO</v>
      </c>
      <c r="AB5" s="196" t="s">
        <v>323</v>
      </c>
      <c r="AC5" s="519">
        <f>IF(AND(W5&gt;0,SUM(W6:W10)=0),W5,IF(AND(SUM(W5:W6)&gt;0,SUM(W7:W10)=0),AVERAGE(W5:W6),IF(AND(SUM(W5:W7)&gt;0,SUM(W8:W10)=0),AVERAGE(W5:W7),IF(AND(SUM(W5:W8)&gt;0,SUM(W9:W10)=0),AVERAGE(W5:W8),IF(AND(SUM(W5:W9)&gt;0,W10=0),AVERAGE(W5:W9),AVERAGE(W5:W10))))))</f>
        <v>100</v>
      </c>
      <c r="AD5" s="519" t="str">
        <f>IF(AND(AC5&gt;=50,AC5&lt;=99),"MODERADO",IF(AND(AC5=100), "FUERTE",IF(AND(AC5&lt;50), "DEBIL")))</f>
        <v>FUERTE</v>
      </c>
      <c r="AE5" s="520" t="s">
        <v>324</v>
      </c>
      <c r="AF5" s="520" t="s">
        <v>324</v>
      </c>
      <c r="AG5" s="524">
        <f>IFERROR(_xlfn.IFS(AND(AD5="MODERADO",AE5="Directamente"),1,AND(AD5="FUERTE",AE5="Directamente"),2),"0")</f>
        <v>2</v>
      </c>
      <c r="AH5" s="524">
        <f>IFERROR(_xlfn.IFS(AND(AD5="MODERADO",AF5="Directamente"),1,AND(AD5="FUERTE",AF5="Directamente"),2,AND(AD5="FUERTE",AF5="Indirectamente"),1),"0")</f>
        <v>2</v>
      </c>
      <c r="AI5" s="523">
        <v>1</v>
      </c>
      <c r="AJ5" s="523">
        <v>3</v>
      </c>
      <c r="AK5" s="512">
        <f>+(AI5*AJ5)*4</f>
        <v>12</v>
      </c>
      <c r="AL5" s="509" t="str">
        <f>IF(OR(AND(AI5=3,AJ5=4),AND(AI5=2,AJ5=5),AND(AI5=2,AJ5=5),AND(AK5=20),AND(AK5&gt;=52,AK5&lt;=100)),"ZONA RIESGO EXTREMA",IF(OR(AND(AI5=5,AJ5=2),AND(AI5=4,AJ5=3),AND(AI5=1,AJ5=4),AND(AK5=16),AND(AK5&gt;=28,AK5&lt;=48)),"ZONA RIESGO ALTA",IF(OR(AND(AI5=1,AJ5=3),AND(AI5=4,AJ5=1),AND(AK5=24)),"ZONA RIESGO MODERADA",IF(AND(AK5&gt;=4,AK5&lt;=16),"ZONA RIESGO BAJA"))))</f>
        <v>ZONA RIESGO MODERADA</v>
      </c>
      <c r="AM5" s="516" t="s">
        <v>325</v>
      </c>
      <c r="AN5" s="205" t="s">
        <v>326</v>
      </c>
      <c r="AO5" s="196" t="s">
        <v>327</v>
      </c>
      <c r="AP5" s="197">
        <v>45291</v>
      </c>
      <c r="AQ5" s="291" t="s">
        <v>328</v>
      </c>
      <c r="AR5" s="304" t="s">
        <v>329</v>
      </c>
      <c r="AS5" s="286" t="s">
        <v>330</v>
      </c>
      <c r="AT5" s="304" t="s">
        <v>331</v>
      </c>
      <c r="AU5" s="375" t="s">
        <v>332</v>
      </c>
      <c r="AV5" s="376" t="s">
        <v>333</v>
      </c>
      <c r="AW5" s="114"/>
      <c r="AX5" s="142"/>
      <c r="AY5" s="173"/>
      <c r="AZ5" s="291" t="s">
        <v>328</v>
      </c>
      <c r="BA5" s="304" t="s">
        <v>334</v>
      </c>
      <c r="BB5" s="305" t="s">
        <v>335</v>
      </c>
      <c r="BC5" s="305" t="s">
        <v>336</v>
      </c>
      <c r="BD5" s="197" t="s">
        <v>206</v>
      </c>
      <c r="BE5" s="286" t="s">
        <v>337</v>
      </c>
      <c r="BF5" s="304" t="s">
        <v>338</v>
      </c>
      <c r="BG5" s="353" t="s">
        <v>335</v>
      </c>
      <c r="BH5" s="354" t="s">
        <v>339</v>
      </c>
      <c r="BI5" s="197" t="s">
        <v>206</v>
      </c>
      <c r="BJ5" s="375" t="s">
        <v>340</v>
      </c>
      <c r="BK5" s="376" t="s">
        <v>341</v>
      </c>
      <c r="BL5" s="377" t="s">
        <v>335</v>
      </c>
      <c r="BM5" s="332" t="s">
        <v>342</v>
      </c>
      <c r="BN5" s="114"/>
      <c r="BO5" s="142"/>
      <c r="BP5" s="142"/>
      <c r="BQ5" s="173"/>
      <c r="BR5" s="114"/>
      <c r="BS5" s="114"/>
      <c r="BT5" s="143" t="s">
        <v>343</v>
      </c>
      <c r="BU5" s="142"/>
      <c r="BV5" s="142"/>
      <c r="BW5" s="142"/>
      <c r="BX5" s="143" t="s">
        <v>214</v>
      </c>
      <c r="BY5" s="285" t="s">
        <v>237</v>
      </c>
      <c r="BZ5" s="285" t="s">
        <v>216</v>
      </c>
      <c r="CA5" s="143" t="s">
        <v>344</v>
      </c>
      <c r="CB5" s="142" t="s">
        <v>345</v>
      </c>
      <c r="CC5" s="142" t="s">
        <v>346</v>
      </c>
      <c r="CD5" s="142" t="s">
        <v>347</v>
      </c>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row>
    <row r="6" spans="1:108" ht="24" customHeight="1">
      <c r="A6" s="455"/>
      <c r="B6" s="456"/>
      <c r="C6" s="456"/>
      <c r="D6" s="456"/>
      <c r="E6" s="482"/>
      <c r="F6" s="456"/>
      <c r="G6" s="456"/>
      <c r="H6" s="456"/>
      <c r="I6" s="456"/>
      <c r="J6" s="455"/>
      <c r="K6" s="455"/>
      <c r="L6" s="512"/>
      <c r="M6" s="510"/>
      <c r="N6" s="194">
        <v>2</v>
      </c>
      <c r="O6" s="205"/>
      <c r="P6" s="196"/>
      <c r="Q6" s="196"/>
      <c r="R6" s="196"/>
      <c r="S6" s="196"/>
      <c r="T6" s="196"/>
      <c r="U6" s="196"/>
      <c r="V6" s="196"/>
      <c r="W6" s="184">
        <f>SUM(P6:V6)</f>
        <v>0</v>
      </c>
      <c r="X6" s="185" t="str">
        <f t="shared" si="0"/>
        <v>DEBIL</v>
      </c>
      <c r="Y6" s="222"/>
      <c r="Z6" s="187" t="str">
        <f>IFERROR((_xlfn.IFS(AND(X6="FUERTE",Y6="FUERTE"),"FUERTE",AND(X6="FUERTE",Y6="MODERADO"),"MODERADO",AND(X6="FUERTE",Y6="DEBIL"),"DEBIL",AND(X6="MODERADO",Y6="FUERTE"),"MODERADO",AND(X6="MODERADO",Y6="MODERADO"),"MODERADO",AND(X6="MODERADO",Y6="DEBIL"),"DEBIL",AND(X6="DEBIL",Y6="FUERTE"),"DEBIL",AND(X6="DEBIL",Y6="MODERADO"),"DEBIL",AND(X6="DEBIL",Y6="DEBIL"),"DEBIL")),"")</f>
        <v/>
      </c>
      <c r="AA6" s="184" t="str">
        <f>IF(AND(Z6="FUERTE"),"NO", "SI")</f>
        <v>SI</v>
      </c>
      <c r="AB6" s="196"/>
      <c r="AC6" s="519"/>
      <c r="AD6" s="519"/>
      <c r="AE6" s="520"/>
      <c r="AF6" s="520"/>
      <c r="AG6" s="524"/>
      <c r="AH6" s="524"/>
      <c r="AI6" s="523"/>
      <c r="AJ6" s="523"/>
      <c r="AK6" s="512"/>
      <c r="AL6" s="510"/>
      <c r="AM6" s="477"/>
      <c r="AN6" s="196"/>
      <c r="AO6" s="194"/>
      <c r="AP6" s="197"/>
      <c r="AQ6" s="309"/>
      <c r="AR6" s="289"/>
      <c r="AS6" s="197"/>
      <c r="AT6" s="196"/>
      <c r="AU6" s="114"/>
      <c r="AV6" s="142"/>
      <c r="AW6" s="114"/>
      <c r="AX6" s="142"/>
      <c r="AY6" s="173"/>
      <c r="AZ6" s="306"/>
      <c r="BA6" s="289"/>
      <c r="BB6" s="307"/>
      <c r="BC6" s="308"/>
      <c r="BD6" s="197"/>
      <c r="BE6" s="197"/>
      <c r="BF6" s="196"/>
      <c r="BG6" s="307"/>
      <c r="BH6" s="197"/>
      <c r="BI6" s="197"/>
      <c r="BJ6" s="142"/>
      <c r="BK6" s="142"/>
      <c r="BL6" s="173"/>
      <c r="BM6" s="114"/>
      <c r="BN6" s="114"/>
      <c r="BO6" s="142"/>
      <c r="BP6" s="142"/>
      <c r="BQ6" s="173"/>
      <c r="BR6" s="114"/>
      <c r="BS6" s="114"/>
      <c r="BT6" s="114"/>
      <c r="BU6" s="142"/>
      <c r="BV6" s="142"/>
      <c r="BW6" s="142"/>
      <c r="BX6" s="114"/>
      <c r="BY6" s="142"/>
      <c r="BZ6" s="142"/>
      <c r="CA6" s="114"/>
      <c r="CB6" s="142"/>
      <c r="CC6" s="142"/>
      <c r="CD6" s="142"/>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row>
    <row r="7" spans="1:108" ht="21" customHeight="1" thickTop="1" thickBot="1">
      <c r="A7" s="455"/>
      <c r="B7" s="456"/>
      <c r="C7" s="456"/>
      <c r="D7" s="456"/>
      <c r="E7" s="482"/>
      <c r="F7" s="456"/>
      <c r="G7" s="456"/>
      <c r="H7" s="456"/>
      <c r="I7" s="456"/>
      <c r="J7" s="455"/>
      <c r="K7" s="455"/>
      <c r="L7" s="512"/>
      <c r="M7" s="510"/>
      <c r="N7" s="194">
        <v>3</v>
      </c>
      <c r="O7" s="223"/>
      <c r="P7" s="196"/>
      <c r="Q7" s="196"/>
      <c r="R7" s="196"/>
      <c r="S7" s="196"/>
      <c r="T7" s="196"/>
      <c r="U7" s="196"/>
      <c r="V7" s="196"/>
      <c r="W7" s="184">
        <f t="shared" ref="W7:W64" si="1">SUM(P7:V7)</f>
        <v>0</v>
      </c>
      <c r="X7" s="185" t="str">
        <f t="shared" si="0"/>
        <v>DEBIL</v>
      </c>
      <c r="Y7" s="222"/>
      <c r="Z7" s="187" t="str">
        <f t="shared" ref="Z7:Z64" si="2">IFERROR((_xlfn.IFS(AND(X7="FUERTE",Y7="FUERTE"),"FUERTE",AND(X7="FUERTE",Y7="MODERADO"),"MODERADO",AND(X7="FUERTE",Y7="DEBIL"),"DEBIL",AND(X7="MODERADO",Y7="FUERTE"),"MODERADO",AND(X7="MODERADO",Y7="MODERADO"),"MODERADO",AND(X7="MODERADO",Y7="DEBIL"),"DEBIL",AND(X7="DEBIL",Y7="FUERTE"),"DEBIL",AND(X7="DEBIL",Y7="MODERADO"),"DEBIL",AND(X7="DEBIL",Y7="DEBIL"),"DEBIL")),"")</f>
        <v/>
      </c>
      <c r="AA7" s="184" t="str">
        <f t="shared" ref="AA7:AA64" si="3">IF(AND(Z7="FUERTE"),"NO", "SI")</f>
        <v>SI</v>
      </c>
      <c r="AB7" s="196"/>
      <c r="AC7" s="519"/>
      <c r="AD7" s="519"/>
      <c r="AE7" s="520"/>
      <c r="AF7" s="520"/>
      <c r="AG7" s="524"/>
      <c r="AH7" s="524"/>
      <c r="AI7" s="523"/>
      <c r="AJ7" s="523"/>
      <c r="AK7" s="512"/>
      <c r="AL7" s="510"/>
      <c r="AM7" s="477"/>
      <c r="AN7" s="196"/>
      <c r="AO7" s="194"/>
      <c r="AP7" s="197"/>
      <c r="AQ7" s="197"/>
      <c r="AR7" s="196"/>
      <c r="AS7" s="197"/>
      <c r="AT7" s="196"/>
      <c r="AU7" s="114"/>
      <c r="AV7" s="142"/>
      <c r="AW7" s="114"/>
      <c r="AX7" s="142"/>
      <c r="AY7" s="173"/>
      <c r="AZ7" s="196"/>
      <c r="BA7" s="196"/>
      <c r="BB7" s="194"/>
      <c r="BC7" s="197"/>
      <c r="BD7" s="197"/>
      <c r="BE7" s="196"/>
      <c r="BF7" s="196"/>
      <c r="BG7" s="194"/>
      <c r="BH7" s="197"/>
      <c r="BI7" s="197"/>
      <c r="BJ7" s="142"/>
      <c r="BK7" s="142"/>
      <c r="BL7" s="173"/>
      <c r="BM7" s="114"/>
      <c r="BN7" s="114"/>
      <c r="BO7" s="142"/>
      <c r="BP7" s="142"/>
      <c r="BQ7" s="173"/>
      <c r="BR7" s="114"/>
      <c r="BS7" s="114"/>
      <c r="BT7" s="114"/>
      <c r="BU7" s="142"/>
      <c r="BV7" s="142"/>
      <c r="BW7" s="142"/>
      <c r="BX7" s="114"/>
      <c r="BY7" s="142"/>
      <c r="BZ7" s="142"/>
      <c r="CA7" s="114"/>
      <c r="CB7" s="142"/>
      <c r="CC7" s="173"/>
      <c r="CD7" s="142"/>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row>
    <row r="8" spans="1:108" ht="21" customHeight="1" thickTop="1" thickBot="1">
      <c r="A8" s="455"/>
      <c r="B8" s="456"/>
      <c r="C8" s="456"/>
      <c r="D8" s="456"/>
      <c r="E8" s="482"/>
      <c r="F8" s="456"/>
      <c r="G8" s="456"/>
      <c r="H8" s="456"/>
      <c r="I8" s="456"/>
      <c r="J8" s="455"/>
      <c r="K8" s="455"/>
      <c r="L8" s="512"/>
      <c r="M8" s="510"/>
      <c r="N8" s="194">
        <v>4</v>
      </c>
      <c r="O8" s="205"/>
      <c r="P8" s="196"/>
      <c r="Q8" s="196"/>
      <c r="R8" s="196"/>
      <c r="S8" s="196"/>
      <c r="T8" s="196"/>
      <c r="U8" s="196"/>
      <c r="V8" s="196"/>
      <c r="W8" s="184">
        <f t="shared" si="1"/>
        <v>0</v>
      </c>
      <c r="X8" s="185" t="str">
        <f t="shared" si="0"/>
        <v>DEBIL</v>
      </c>
      <c r="Y8" s="222"/>
      <c r="Z8" s="187" t="str">
        <f t="shared" si="2"/>
        <v/>
      </c>
      <c r="AA8" s="184" t="str">
        <f t="shared" si="3"/>
        <v>SI</v>
      </c>
      <c r="AB8" s="196"/>
      <c r="AC8" s="519"/>
      <c r="AD8" s="519"/>
      <c r="AE8" s="520"/>
      <c r="AF8" s="520"/>
      <c r="AG8" s="524"/>
      <c r="AH8" s="524"/>
      <c r="AI8" s="523"/>
      <c r="AJ8" s="523"/>
      <c r="AK8" s="512"/>
      <c r="AL8" s="510"/>
      <c r="AM8" s="477"/>
      <c r="AN8" s="196"/>
      <c r="AO8" s="194"/>
      <c r="AP8" s="197"/>
      <c r="AQ8" s="197"/>
      <c r="AR8" s="196"/>
      <c r="AS8" s="197"/>
      <c r="AT8" s="196"/>
      <c r="AU8" s="114"/>
      <c r="AV8" s="142"/>
      <c r="AW8" s="114"/>
      <c r="AX8" s="142"/>
      <c r="AY8" s="173"/>
      <c r="AZ8" s="196"/>
      <c r="BA8" s="196"/>
      <c r="BB8" s="194"/>
      <c r="BC8" s="197"/>
      <c r="BD8" s="197"/>
      <c r="BE8" s="196"/>
      <c r="BF8" s="196"/>
      <c r="BG8" s="194"/>
      <c r="BH8" s="197"/>
      <c r="BI8" s="197"/>
      <c r="BJ8" s="142"/>
      <c r="BK8" s="142"/>
      <c r="BL8" s="173"/>
      <c r="BM8" s="114"/>
      <c r="BN8" s="114"/>
      <c r="BO8" s="142"/>
      <c r="BP8" s="142"/>
      <c r="BQ8" s="173"/>
      <c r="BR8" s="114"/>
      <c r="BS8" s="114"/>
      <c r="BT8" s="114"/>
      <c r="BU8" s="142"/>
      <c r="BV8" s="142"/>
      <c r="BW8" s="142"/>
      <c r="BX8" s="114"/>
      <c r="BY8" s="142"/>
      <c r="BZ8" s="142"/>
      <c r="CA8" s="114"/>
      <c r="CB8" s="142"/>
      <c r="CC8" s="173"/>
      <c r="CD8" s="142"/>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row>
    <row r="9" spans="1:108" ht="21" customHeight="1" thickTop="1" thickBot="1">
      <c r="A9" s="455"/>
      <c r="B9" s="456"/>
      <c r="C9" s="456"/>
      <c r="D9" s="456"/>
      <c r="E9" s="482"/>
      <c r="F9" s="456"/>
      <c r="G9" s="456"/>
      <c r="H9" s="456"/>
      <c r="I9" s="456"/>
      <c r="J9" s="455"/>
      <c r="K9" s="455"/>
      <c r="L9" s="512"/>
      <c r="M9" s="510"/>
      <c r="N9" s="194">
        <v>5</v>
      </c>
      <c r="O9" s="205"/>
      <c r="P9" s="196"/>
      <c r="Q9" s="196"/>
      <c r="R9" s="196"/>
      <c r="S9" s="196"/>
      <c r="T9" s="196"/>
      <c r="U9" s="196"/>
      <c r="V9" s="196"/>
      <c r="W9" s="184">
        <f t="shared" si="1"/>
        <v>0</v>
      </c>
      <c r="X9" s="185" t="str">
        <f t="shared" si="0"/>
        <v>DEBIL</v>
      </c>
      <c r="Y9" s="222"/>
      <c r="Z9" s="187" t="str">
        <f t="shared" si="2"/>
        <v/>
      </c>
      <c r="AA9" s="184" t="str">
        <f t="shared" si="3"/>
        <v>SI</v>
      </c>
      <c r="AB9" s="196"/>
      <c r="AC9" s="519"/>
      <c r="AD9" s="519"/>
      <c r="AE9" s="520"/>
      <c r="AF9" s="520"/>
      <c r="AG9" s="524"/>
      <c r="AH9" s="524"/>
      <c r="AI9" s="523"/>
      <c r="AJ9" s="523"/>
      <c r="AK9" s="512"/>
      <c r="AL9" s="510"/>
      <c r="AM9" s="477"/>
      <c r="AN9" s="196"/>
      <c r="AO9" s="194"/>
      <c r="AP9" s="197"/>
      <c r="AQ9" s="197"/>
      <c r="AR9" s="196"/>
      <c r="AS9" s="197"/>
      <c r="AT9" s="196"/>
      <c r="AU9" s="114"/>
      <c r="AV9" s="142"/>
      <c r="AW9" s="114"/>
      <c r="AX9" s="142"/>
      <c r="AY9" s="173"/>
      <c r="AZ9" s="196"/>
      <c r="BA9" s="196"/>
      <c r="BB9" s="194"/>
      <c r="BC9" s="197"/>
      <c r="BD9" s="197"/>
      <c r="BE9" s="196"/>
      <c r="BF9" s="196"/>
      <c r="BG9" s="194"/>
      <c r="BH9" s="197"/>
      <c r="BI9" s="197"/>
      <c r="BJ9" s="142"/>
      <c r="BK9" s="142"/>
      <c r="BL9" s="173"/>
      <c r="BM9" s="114"/>
      <c r="BN9" s="114"/>
      <c r="BO9" s="142"/>
      <c r="BP9" s="142"/>
      <c r="BQ9" s="173"/>
      <c r="BR9" s="114"/>
      <c r="BS9" s="114"/>
      <c r="BT9" s="114"/>
      <c r="BU9" s="142"/>
      <c r="BV9" s="142"/>
      <c r="BW9" s="142"/>
      <c r="BX9" s="114"/>
      <c r="BY9" s="142"/>
      <c r="BZ9" s="142"/>
      <c r="CA9" s="114"/>
      <c r="CB9" s="142"/>
      <c r="CC9" s="173"/>
      <c r="CD9" s="142"/>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row>
    <row r="10" spans="1:108" ht="21" customHeight="1" thickTop="1" thickBot="1">
      <c r="A10" s="455"/>
      <c r="B10" s="456"/>
      <c r="C10" s="456"/>
      <c r="D10" s="456"/>
      <c r="E10" s="482"/>
      <c r="F10" s="456"/>
      <c r="G10" s="456"/>
      <c r="H10" s="456"/>
      <c r="I10" s="456"/>
      <c r="J10" s="455"/>
      <c r="K10" s="455"/>
      <c r="L10" s="512"/>
      <c r="M10" s="511"/>
      <c r="N10" s="194">
        <v>6</v>
      </c>
      <c r="O10" s="205"/>
      <c r="P10" s="196"/>
      <c r="Q10" s="196"/>
      <c r="R10" s="196"/>
      <c r="S10" s="196"/>
      <c r="T10" s="196"/>
      <c r="U10" s="196"/>
      <c r="V10" s="196"/>
      <c r="W10" s="184">
        <f t="shared" si="1"/>
        <v>0</v>
      </c>
      <c r="X10" s="185" t="str">
        <f t="shared" si="0"/>
        <v>DEBIL</v>
      </c>
      <c r="Y10" s="222"/>
      <c r="Z10" s="187" t="str">
        <f t="shared" si="2"/>
        <v/>
      </c>
      <c r="AA10" s="184" t="str">
        <f t="shared" si="3"/>
        <v>SI</v>
      </c>
      <c r="AB10" s="196"/>
      <c r="AC10" s="519"/>
      <c r="AD10" s="519"/>
      <c r="AE10" s="520"/>
      <c r="AF10" s="520"/>
      <c r="AG10" s="524"/>
      <c r="AH10" s="524"/>
      <c r="AI10" s="523"/>
      <c r="AJ10" s="523"/>
      <c r="AK10" s="512"/>
      <c r="AL10" s="511"/>
      <c r="AM10" s="478"/>
      <c r="AN10" s="196"/>
      <c r="AO10" s="194"/>
      <c r="AP10" s="197"/>
      <c r="AQ10" s="197"/>
      <c r="AR10" s="196"/>
      <c r="AS10" s="197"/>
      <c r="AT10" s="196"/>
      <c r="AU10" s="114"/>
      <c r="AV10" s="142"/>
      <c r="AW10" s="114"/>
      <c r="AX10" s="142"/>
      <c r="AY10" s="173"/>
      <c r="AZ10" s="196"/>
      <c r="BA10" s="196"/>
      <c r="BB10" s="194"/>
      <c r="BC10" s="197"/>
      <c r="BD10" s="197"/>
      <c r="BE10" s="196"/>
      <c r="BF10" s="196"/>
      <c r="BG10" s="194"/>
      <c r="BH10" s="197"/>
      <c r="BI10" s="197"/>
      <c r="BJ10" s="142"/>
      <c r="BK10" s="142"/>
      <c r="BL10" s="173"/>
      <c r="BM10" s="114"/>
      <c r="BN10" s="114"/>
      <c r="BO10" s="142"/>
      <c r="BP10" s="142"/>
      <c r="BQ10" s="173"/>
      <c r="BR10" s="114"/>
      <c r="BS10" s="114"/>
      <c r="BT10" s="114"/>
      <c r="BU10" s="142"/>
      <c r="BV10" s="142"/>
      <c r="BW10" s="142"/>
      <c r="BX10" s="114"/>
      <c r="BY10" s="142"/>
      <c r="BZ10" s="142"/>
      <c r="CA10" s="114"/>
      <c r="CB10" s="142"/>
      <c r="CC10" s="173"/>
      <c r="CD10" s="142"/>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row>
    <row r="11" spans="1:108" ht="21" customHeight="1" thickTop="1" thickBot="1">
      <c r="A11" s="455">
        <v>2</v>
      </c>
      <c r="B11" s="456"/>
      <c r="C11" s="456"/>
      <c r="D11" s="456"/>
      <c r="E11" s="482"/>
      <c r="F11" s="456"/>
      <c r="G11" s="456"/>
      <c r="H11" s="456"/>
      <c r="I11" s="456"/>
      <c r="J11" s="455"/>
      <c r="K11" s="455"/>
      <c r="L11" s="512">
        <f>+(J11*K11)*4</f>
        <v>0</v>
      </c>
      <c r="M11" s="509" t="b">
        <f>IF(OR(AND(J11=3,K11=4),AND(J11=2,K11=5),AND(J11=2,K11=5),AND(L11=20),AND(L11&gt;=52,L11&lt;=100)),"ZONA RIESGO EXTREMA",IF(OR(AND(J11=5,K11=2),AND(J11=4,K11=3),AND(J11=1,K11=4),AND(L11=16),AND(L11&gt;=28,L11&lt;=48)),"ZONA RIESGO ALTA",IF(OR(AND(J11=1,K11=3),AND(J11=4,K11=1),AND(L11=24)),"ZONA RIESGO MODERADA",IF(AND(L11&gt;=4,L11&lt;=16),"ZONA RIESGO BAJA"))))</f>
        <v>0</v>
      </c>
      <c r="N11" s="194">
        <v>1</v>
      </c>
      <c r="O11" s="205"/>
      <c r="P11" s="196"/>
      <c r="Q11" s="196"/>
      <c r="R11" s="196"/>
      <c r="S11" s="196"/>
      <c r="T11" s="196"/>
      <c r="U11" s="196"/>
      <c r="V11" s="196"/>
      <c r="W11" s="184">
        <f t="shared" si="1"/>
        <v>0</v>
      </c>
      <c r="X11" s="186" t="str">
        <f t="shared" si="0"/>
        <v>DEBIL</v>
      </c>
      <c r="Y11" s="222"/>
      <c r="Z11" s="187" t="str">
        <f t="shared" si="2"/>
        <v/>
      </c>
      <c r="AA11" s="184" t="str">
        <f t="shared" si="3"/>
        <v>SI</v>
      </c>
      <c r="AB11" s="196"/>
      <c r="AC11" s="513">
        <f>IF(AND(W11&gt;0,SUM(W12:W16)=0),W11,IF(AND(SUM(W11:W12)&gt;0,SUM(W13:W16)=0),AVERAGE(W11:W12),IF(AND(SUM(W11:W13)&gt;0,SUM(W14:W16)=0),AVERAGE(W11:W13),IF(AND(SUM(W11:W14)&gt;0,SUM(W15:W16)=0),AVERAGE(W11:W14),IF(AND(SUM(W11:W15)&gt;0,W16=0),AVERAGE(W11:W15),AVERAGE(W11:W16))))))</f>
        <v>0</v>
      </c>
      <c r="AD11" s="513" t="str">
        <f>IF(AND(AC11&gt;=50,AC11&lt;=99),"MODERADO",IF(AND(AC11=100), "FUERTE",IF(AND(AC11&lt;50), "DEBIL")))</f>
        <v>DEBIL</v>
      </c>
      <c r="AE11" s="514"/>
      <c r="AF11" s="514"/>
      <c r="AG11" s="515" t="str">
        <f>IFERROR(_xlfn.IFS(AND(AD11="MODERADO",AE11="Directamente"),1,AND(AD11="FUERTE",AE11="Directamente"),2),"0")</f>
        <v>0</v>
      </c>
      <c r="AH11" s="515" t="str">
        <f>IFERROR(_xlfn.IFS(AND(AD11="MODERADO",AF11="Directamente"),1,AND(AD11="FUERTE",AF11="Directamente"),2,AND(AD11="FUERTE",AF11="Indirectamente"),1),"0")</f>
        <v>0</v>
      </c>
      <c r="AI11" s="508"/>
      <c r="AJ11" s="508"/>
      <c r="AK11" s="512">
        <f>+(AI11*AJ11)*4</f>
        <v>0</v>
      </c>
      <c r="AL11" s="509"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516"/>
      <c r="AN11" s="196"/>
      <c r="AO11" s="194"/>
      <c r="AP11" s="197"/>
      <c r="AQ11" s="197"/>
      <c r="AR11" s="196"/>
      <c r="AS11" s="197"/>
      <c r="AT11" s="196"/>
      <c r="AU11" s="114"/>
      <c r="AV11" s="142"/>
      <c r="AW11" s="114"/>
      <c r="AX11" s="142"/>
      <c r="AY11" s="173"/>
      <c r="AZ11" s="196"/>
      <c r="BA11" s="196"/>
      <c r="BB11" s="194"/>
      <c r="BC11" s="197"/>
      <c r="BD11" s="197"/>
      <c r="BE11" s="196"/>
      <c r="BF11" s="196"/>
      <c r="BG11" s="194"/>
      <c r="BH11" s="197"/>
      <c r="BI11" s="197"/>
      <c r="BJ11" s="142"/>
      <c r="BK11" s="142"/>
      <c r="BL11" s="173"/>
      <c r="BM11" s="114"/>
      <c r="BN11" s="114"/>
      <c r="BO11" s="142"/>
      <c r="BP11" s="142"/>
      <c r="BQ11" s="173"/>
      <c r="BR11" s="114"/>
      <c r="BS11" s="114"/>
      <c r="BT11" s="114"/>
      <c r="BU11" s="142"/>
      <c r="BV11" s="142"/>
      <c r="BW11" s="142"/>
      <c r="BX11" s="114"/>
      <c r="BY11" s="142"/>
      <c r="BZ11" s="142"/>
      <c r="CA11" s="114"/>
      <c r="CB11" s="142"/>
      <c r="CC11" s="173"/>
      <c r="CD11" s="142"/>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row>
    <row r="12" spans="1:108" ht="21" customHeight="1" thickTop="1" thickBot="1">
      <c r="A12" s="455"/>
      <c r="B12" s="456"/>
      <c r="C12" s="456"/>
      <c r="D12" s="456"/>
      <c r="E12" s="482"/>
      <c r="F12" s="456"/>
      <c r="G12" s="456"/>
      <c r="H12" s="456"/>
      <c r="I12" s="456"/>
      <c r="J12" s="455"/>
      <c r="K12" s="455"/>
      <c r="L12" s="512"/>
      <c r="M12" s="510"/>
      <c r="N12" s="194">
        <v>2</v>
      </c>
      <c r="O12" s="205"/>
      <c r="P12" s="196"/>
      <c r="Q12" s="196"/>
      <c r="R12" s="196"/>
      <c r="S12" s="196"/>
      <c r="T12" s="196"/>
      <c r="U12" s="196"/>
      <c r="V12" s="196"/>
      <c r="W12" s="184">
        <f t="shared" si="1"/>
        <v>0</v>
      </c>
      <c r="X12" s="186" t="str">
        <f t="shared" si="0"/>
        <v>DEBIL</v>
      </c>
      <c r="Y12" s="222"/>
      <c r="Z12" s="187" t="str">
        <f t="shared" si="2"/>
        <v/>
      </c>
      <c r="AA12" s="184" t="str">
        <f t="shared" si="3"/>
        <v>SI</v>
      </c>
      <c r="AB12" s="196"/>
      <c r="AC12" s="513"/>
      <c r="AD12" s="513"/>
      <c r="AE12" s="514"/>
      <c r="AF12" s="514"/>
      <c r="AG12" s="515"/>
      <c r="AH12" s="515"/>
      <c r="AI12" s="508"/>
      <c r="AJ12" s="508"/>
      <c r="AK12" s="512"/>
      <c r="AL12" s="510"/>
      <c r="AM12" s="477"/>
      <c r="AN12" s="196"/>
      <c r="AO12" s="194"/>
      <c r="AP12" s="197"/>
      <c r="AQ12" s="197"/>
      <c r="AR12" s="196"/>
      <c r="AS12" s="197"/>
      <c r="AT12" s="196"/>
      <c r="AU12" s="114"/>
      <c r="AV12" s="142"/>
      <c r="AW12" s="114"/>
      <c r="AX12" s="142"/>
      <c r="AY12" s="173"/>
      <c r="AZ12" s="196"/>
      <c r="BA12" s="196"/>
      <c r="BB12" s="194"/>
      <c r="BC12" s="197"/>
      <c r="BD12" s="197"/>
      <c r="BE12" s="196"/>
      <c r="BF12" s="196"/>
      <c r="BG12" s="194"/>
      <c r="BH12" s="197"/>
      <c r="BI12" s="197"/>
      <c r="BJ12" s="142"/>
      <c r="BK12" s="142"/>
      <c r="BL12" s="173"/>
      <c r="BM12" s="114"/>
      <c r="BN12" s="114"/>
      <c r="BO12" s="142"/>
      <c r="BP12" s="142"/>
      <c r="BQ12" s="173"/>
      <c r="BR12" s="114"/>
      <c r="BS12" s="114"/>
      <c r="BT12" s="114"/>
      <c r="BU12" s="142"/>
      <c r="BV12" s="142"/>
      <c r="BW12" s="142"/>
      <c r="BX12" s="114"/>
      <c r="BY12" s="142"/>
      <c r="BZ12" s="142"/>
      <c r="CA12" s="114"/>
      <c r="CB12" s="142"/>
      <c r="CC12" s="173"/>
      <c r="CD12" s="142"/>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row>
    <row r="13" spans="1:108" ht="21" customHeight="1" thickTop="1" thickBot="1">
      <c r="A13" s="455"/>
      <c r="B13" s="456"/>
      <c r="C13" s="456"/>
      <c r="D13" s="456"/>
      <c r="E13" s="482"/>
      <c r="F13" s="456"/>
      <c r="G13" s="456"/>
      <c r="H13" s="456"/>
      <c r="I13" s="456"/>
      <c r="J13" s="455"/>
      <c r="K13" s="455"/>
      <c r="L13" s="512"/>
      <c r="M13" s="510"/>
      <c r="N13" s="194">
        <v>3</v>
      </c>
      <c r="O13" s="223"/>
      <c r="P13" s="196"/>
      <c r="Q13" s="196"/>
      <c r="R13" s="196"/>
      <c r="S13" s="196"/>
      <c r="T13" s="196"/>
      <c r="U13" s="196"/>
      <c r="V13" s="196"/>
      <c r="W13" s="184">
        <f t="shared" si="1"/>
        <v>0</v>
      </c>
      <c r="X13" s="186" t="str">
        <f t="shared" si="0"/>
        <v>DEBIL</v>
      </c>
      <c r="Y13" s="222"/>
      <c r="Z13" s="187" t="str">
        <f t="shared" si="2"/>
        <v/>
      </c>
      <c r="AA13" s="184" t="str">
        <f t="shared" si="3"/>
        <v>SI</v>
      </c>
      <c r="AB13" s="196"/>
      <c r="AC13" s="513"/>
      <c r="AD13" s="513"/>
      <c r="AE13" s="514"/>
      <c r="AF13" s="514"/>
      <c r="AG13" s="515"/>
      <c r="AH13" s="515"/>
      <c r="AI13" s="508"/>
      <c r="AJ13" s="508"/>
      <c r="AK13" s="512"/>
      <c r="AL13" s="510"/>
      <c r="AM13" s="477"/>
      <c r="AN13" s="196"/>
      <c r="AO13" s="194"/>
      <c r="AP13" s="197"/>
      <c r="AQ13" s="197"/>
      <c r="AR13" s="196"/>
      <c r="AS13" s="197"/>
      <c r="AT13" s="196"/>
      <c r="AU13" s="114"/>
      <c r="AV13" s="142"/>
      <c r="AW13" s="114"/>
      <c r="AX13" s="142"/>
      <c r="AY13" s="173"/>
      <c r="AZ13" s="196"/>
      <c r="BA13" s="196"/>
      <c r="BB13" s="194"/>
      <c r="BC13" s="197"/>
      <c r="BD13" s="197"/>
      <c r="BE13" s="196"/>
      <c r="BF13" s="196"/>
      <c r="BG13" s="194"/>
      <c r="BH13" s="197"/>
      <c r="BI13" s="197"/>
      <c r="BJ13" s="142"/>
      <c r="BK13" s="142"/>
      <c r="BL13" s="173"/>
      <c r="BM13" s="114"/>
      <c r="BN13" s="114"/>
      <c r="BO13" s="142"/>
      <c r="BP13" s="142"/>
      <c r="BQ13" s="173"/>
      <c r="BR13" s="114"/>
      <c r="BS13" s="114"/>
      <c r="BT13" s="114"/>
      <c r="BU13" s="142"/>
      <c r="BV13" s="142"/>
      <c r="BW13" s="142"/>
      <c r="BX13" s="114"/>
      <c r="BY13" s="142"/>
      <c r="BZ13" s="142"/>
      <c r="CA13" s="114"/>
      <c r="CB13" s="142"/>
      <c r="CC13" s="173"/>
      <c r="CD13" s="142"/>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row>
    <row r="14" spans="1:108" ht="21" customHeight="1" thickTop="1" thickBot="1">
      <c r="A14" s="455"/>
      <c r="B14" s="456"/>
      <c r="C14" s="456"/>
      <c r="D14" s="456"/>
      <c r="E14" s="482"/>
      <c r="F14" s="456"/>
      <c r="G14" s="456"/>
      <c r="H14" s="456"/>
      <c r="I14" s="456"/>
      <c r="J14" s="455"/>
      <c r="K14" s="455"/>
      <c r="L14" s="512"/>
      <c r="M14" s="510"/>
      <c r="N14" s="194">
        <v>4</v>
      </c>
      <c r="O14" s="205"/>
      <c r="P14" s="196"/>
      <c r="Q14" s="196"/>
      <c r="R14" s="196"/>
      <c r="S14" s="196"/>
      <c r="T14" s="196"/>
      <c r="U14" s="196"/>
      <c r="V14" s="196"/>
      <c r="W14" s="184">
        <f t="shared" si="1"/>
        <v>0</v>
      </c>
      <c r="X14" s="186" t="str">
        <f t="shared" si="0"/>
        <v>DEBIL</v>
      </c>
      <c r="Y14" s="222"/>
      <c r="Z14" s="187" t="str">
        <f t="shared" si="2"/>
        <v/>
      </c>
      <c r="AA14" s="184" t="str">
        <f t="shared" si="3"/>
        <v>SI</v>
      </c>
      <c r="AB14" s="196"/>
      <c r="AC14" s="513"/>
      <c r="AD14" s="513"/>
      <c r="AE14" s="514"/>
      <c r="AF14" s="514"/>
      <c r="AG14" s="515"/>
      <c r="AH14" s="515"/>
      <c r="AI14" s="508"/>
      <c r="AJ14" s="508"/>
      <c r="AK14" s="512"/>
      <c r="AL14" s="510"/>
      <c r="AM14" s="477"/>
      <c r="AN14" s="196"/>
      <c r="AO14" s="194"/>
      <c r="AP14" s="197"/>
      <c r="AQ14" s="197"/>
      <c r="AR14" s="196"/>
      <c r="AS14" s="197"/>
      <c r="AT14" s="196"/>
      <c r="AU14" s="114"/>
      <c r="AV14" s="142"/>
      <c r="AW14" s="114"/>
      <c r="AX14" s="142"/>
      <c r="AY14" s="173"/>
      <c r="AZ14" s="196"/>
      <c r="BA14" s="196"/>
      <c r="BB14" s="194"/>
      <c r="BC14" s="197"/>
      <c r="BD14" s="197"/>
      <c r="BE14" s="196"/>
      <c r="BF14" s="196"/>
      <c r="BG14" s="194"/>
      <c r="BH14" s="197"/>
      <c r="BI14" s="197"/>
      <c r="BJ14" s="142"/>
      <c r="BK14" s="142"/>
      <c r="BL14" s="173"/>
      <c r="BM14" s="114"/>
      <c r="BN14" s="114"/>
      <c r="BO14" s="142"/>
      <c r="BP14" s="142"/>
      <c r="BQ14" s="173"/>
      <c r="BR14" s="114"/>
      <c r="BS14" s="114"/>
      <c r="BT14" s="114"/>
      <c r="BU14" s="142"/>
      <c r="BV14" s="142"/>
      <c r="BW14" s="142"/>
      <c r="BX14" s="114"/>
      <c r="BY14" s="142"/>
      <c r="BZ14" s="142"/>
      <c r="CA14" s="114"/>
      <c r="CB14" s="142"/>
      <c r="CC14" s="173"/>
      <c r="CD14" s="142"/>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row>
    <row r="15" spans="1:108" ht="21" customHeight="1" thickTop="1" thickBot="1">
      <c r="A15" s="455"/>
      <c r="B15" s="456"/>
      <c r="C15" s="456"/>
      <c r="D15" s="456"/>
      <c r="E15" s="482"/>
      <c r="F15" s="456"/>
      <c r="G15" s="456"/>
      <c r="H15" s="456"/>
      <c r="I15" s="456"/>
      <c r="J15" s="455"/>
      <c r="K15" s="455"/>
      <c r="L15" s="512"/>
      <c r="M15" s="510"/>
      <c r="N15" s="194">
        <v>5</v>
      </c>
      <c r="O15" s="205"/>
      <c r="P15" s="196"/>
      <c r="Q15" s="196"/>
      <c r="R15" s="196"/>
      <c r="S15" s="196"/>
      <c r="T15" s="196"/>
      <c r="U15" s="196"/>
      <c r="V15" s="196"/>
      <c r="W15" s="184">
        <f t="shared" si="1"/>
        <v>0</v>
      </c>
      <c r="X15" s="186" t="str">
        <f t="shared" si="0"/>
        <v>DEBIL</v>
      </c>
      <c r="Y15" s="222"/>
      <c r="Z15" s="187" t="str">
        <f t="shared" si="2"/>
        <v/>
      </c>
      <c r="AA15" s="184" t="str">
        <f t="shared" si="3"/>
        <v>SI</v>
      </c>
      <c r="AB15" s="196"/>
      <c r="AC15" s="513"/>
      <c r="AD15" s="513"/>
      <c r="AE15" s="514"/>
      <c r="AF15" s="514"/>
      <c r="AG15" s="515"/>
      <c r="AH15" s="515"/>
      <c r="AI15" s="508"/>
      <c r="AJ15" s="508"/>
      <c r="AK15" s="512"/>
      <c r="AL15" s="510"/>
      <c r="AM15" s="477"/>
      <c r="AN15" s="196"/>
      <c r="AO15" s="194"/>
      <c r="AP15" s="197"/>
      <c r="AQ15" s="197"/>
      <c r="AR15" s="196"/>
      <c r="AS15" s="114"/>
      <c r="AT15" s="142"/>
      <c r="AU15" s="114"/>
      <c r="AV15" s="142"/>
      <c r="AW15" s="114"/>
      <c r="AX15" s="142"/>
      <c r="AY15" s="173"/>
      <c r="AZ15" s="196"/>
      <c r="BA15" s="196"/>
      <c r="BB15" s="194"/>
      <c r="BC15" s="197"/>
      <c r="BD15" s="197"/>
      <c r="BE15" s="196"/>
      <c r="BF15" s="196"/>
      <c r="BG15" s="194"/>
      <c r="BH15" s="197"/>
      <c r="BI15" s="197"/>
      <c r="BJ15" s="142"/>
      <c r="BK15" s="142"/>
      <c r="BL15" s="173"/>
      <c r="BM15" s="114"/>
      <c r="BN15" s="114"/>
      <c r="BO15" s="142"/>
      <c r="BP15" s="142"/>
      <c r="BQ15" s="173"/>
      <c r="BR15" s="114"/>
      <c r="BS15" s="114"/>
      <c r="BT15" s="114"/>
      <c r="BU15" s="142"/>
      <c r="BV15" s="142"/>
      <c r="BW15" s="142"/>
      <c r="BX15" s="114"/>
      <c r="BY15" s="142"/>
      <c r="BZ15" s="142"/>
      <c r="CA15" s="114"/>
      <c r="CB15" s="142"/>
      <c r="CC15" s="173"/>
      <c r="CD15" s="142"/>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row>
    <row r="16" spans="1:108" ht="21" customHeight="1" thickTop="1" thickBot="1">
      <c r="A16" s="455"/>
      <c r="B16" s="456"/>
      <c r="C16" s="456"/>
      <c r="D16" s="456"/>
      <c r="E16" s="482"/>
      <c r="F16" s="456"/>
      <c r="G16" s="456"/>
      <c r="H16" s="456"/>
      <c r="I16" s="456"/>
      <c r="J16" s="455"/>
      <c r="K16" s="455"/>
      <c r="L16" s="512"/>
      <c r="M16" s="511"/>
      <c r="N16" s="194">
        <v>6</v>
      </c>
      <c r="O16" s="205"/>
      <c r="P16" s="196"/>
      <c r="Q16" s="196"/>
      <c r="R16" s="196"/>
      <c r="S16" s="196"/>
      <c r="T16" s="196"/>
      <c r="U16" s="196"/>
      <c r="V16" s="196"/>
      <c r="W16" s="184">
        <f t="shared" si="1"/>
        <v>0</v>
      </c>
      <c r="X16" s="186" t="str">
        <f t="shared" si="0"/>
        <v>DEBIL</v>
      </c>
      <c r="Y16" s="222"/>
      <c r="Z16" s="187" t="str">
        <f t="shared" si="2"/>
        <v/>
      </c>
      <c r="AA16" s="184" t="str">
        <f t="shared" si="3"/>
        <v>SI</v>
      </c>
      <c r="AB16" s="196"/>
      <c r="AC16" s="513"/>
      <c r="AD16" s="513"/>
      <c r="AE16" s="514"/>
      <c r="AF16" s="514"/>
      <c r="AG16" s="515"/>
      <c r="AH16" s="515"/>
      <c r="AI16" s="508"/>
      <c r="AJ16" s="508"/>
      <c r="AK16" s="512"/>
      <c r="AL16" s="511"/>
      <c r="AM16" s="478"/>
      <c r="AN16" s="196"/>
      <c r="AO16" s="194"/>
      <c r="AP16" s="197"/>
      <c r="AQ16" s="197"/>
      <c r="AR16" s="196"/>
      <c r="AS16" s="114"/>
      <c r="AT16" s="142"/>
      <c r="AU16" s="114"/>
      <c r="AV16" s="142"/>
      <c r="AW16" s="114"/>
      <c r="AX16" s="142"/>
      <c r="AY16" s="173"/>
      <c r="AZ16" s="196"/>
      <c r="BA16" s="196"/>
      <c r="BB16" s="194"/>
      <c r="BC16" s="197"/>
      <c r="BD16" s="197"/>
      <c r="BE16" s="196"/>
      <c r="BF16" s="196"/>
      <c r="BG16" s="194"/>
      <c r="BH16" s="197"/>
      <c r="BI16" s="197"/>
      <c r="BJ16" s="142"/>
      <c r="BK16" s="142"/>
      <c r="BL16" s="173"/>
      <c r="BM16" s="114"/>
      <c r="BN16" s="114"/>
      <c r="BO16" s="142"/>
      <c r="BP16" s="142"/>
      <c r="BQ16" s="173"/>
      <c r="BR16" s="114"/>
      <c r="BS16" s="114"/>
      <c r="BT16" s="114"/>
      <c r="BU16" s="142"/>
      <c r="BV16" s="142"/>
      <c r="BW16" s="142"/>
      <c r="BX16" s="114"/>
      <c r="BY16" s="142"/>
      <c r="BZ16" s="142"/>
      <c r="CA16" s="114"/>
      <c r="CB16" s="142"/>
      <c r="CC16" s="173"/>
      <c r="CD16" s="142"/>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row>
    <row r="17" spans="1:108" ht="21" customHeight="1" thickTop="1" thickBot="1">
      <c r="A17" s="455">
        <v>3</v>
      </c>
      <c r="B17" s="456"/>
      <c r="C17" s="456"/>
      <c r="D17" s="456"/>
      <c r="E17" s="482"/>
      <c r="F17" s="456"/>
      <c r="G17" s="456"/>
      <c r="H17" s="456"/>
      <c r="I17" s="456"/>
      <c r="J17" s="455"/>
      <c r="K17" s="455"/>
      <c r="L17" s="512">
        <f>+(J17*K17)*4</f>
        <v>0</v>
      </c>
      <c r="M17" s="509" t="b">
        <f>IF(OR(AND(J17=3,K17=4),AND(J17=2,K17=5),AND(J17=2,K17=5),AND(L17=20),AND(L17&gt;=52,L17&lt;=100)),"ZONA RIESGO EXTREMA",IF(OR(AND(J17=5,K17=2),AND(J17=4,K17=3),AND(J17=1,K17=4),AND(L17=16),AND(L17&gt;=28,L17&lt;=48)),"ZONA RIESGO ALTA",IF(OR(AND(J17=1,K17=3),AND(J17=4,K17=1),AND(L17=24)),"ZONA RIESGO MODERADA",IF(AND(L17&gt;=4,L17&lt;=16),"ZONA RIESGO BAJA"))))</f>
        <v>0</v>
      </c>
      <c r="N17" s="194">
        <v>1</v>
      </c>
      <c r="O17" s="205"/>
      <c r="P17" s="196"/>
      <c r="Q17" s="196"/>
      <c r="R17" s="196"/>
      <c r="S17" s="196"/>
      <c r="T17" s="196"/>
      <c r="U17" s="196"/>
      <c r="V17" s="196"/>
      <c r="W17" s="184">
        <f t="shared" si="1"/>
        <v>0</v>
      </c>
      <c r="X17" s="186" t="str">
        <f t="shared" si="0"/>
        <v>DEBIL</v>
      </c>
      <c r="Y17" s="222"/>
      <c r="Z17" s="187" t="str">
        <f t="shared" si="2"/>
        <v/>
      </c>
      <c r="AA17" s="184" t="str">
        <f t="shared" si="3"/>
        <v>SI</v>
      </c>
      <c r="AB17" s="196"/>
      <c r="AC17" s="513">
        <f>IF(AND(W17&gt;0,SUM(W18:W22)=0),W17,IF(AND(SUM(W17:W18)&gt;0,SUM(W19:W22)=0),AVERAGE(W17:W18),IF(AND(SUM(W17:W19)&gt;0,SUM(W20:W22)=0),AVERAGE(W17:W19),IF(AND(SUM(W17:W20)&gt;0,SUM(W21:W22)=0),AVERAGE(W17:W20),IF(AND(SUM(W17:W21)&gt;0,W22=0),AVERAGE(W17:W21),AVERAGE(W17:W22))))))</f>
        <v>0</v>
      </c>
      <c r="AD17" s="513" t="str">
        <f>IF(AND(AC17&gt;=50,AC17&lt;=99),"MODERADO",IF(AND(AC17=100), "FUERTE",IF(AND(AC17&lt;50), "DEBIL")))</f>
        <v>DEBIL</v>
      </c>
      <c r="AE17" s="514"/>
      <c r="AF17" s="514"/>
      <c r="AG17" s="515" t="str">
        <f>IFERROR(_xlfn.IFS(AND(AD17="MODERADO",AE17="Directamente"),1,AND(AD17="FUERTE",AE17="Directamente"),2),"0")</f>
        <v>0</v>
      </c>
      <c r="AH17" s="515" t="str">
        <f>IFERROR(_xlfn.IFS(AND(AD17="MODERADO",AF17="Directamente"),1,AND(AD17="FUERTE",AF17="Directamente"),2,AND(AD17="FUERTE",AF17="Indirectamente"),1),"0")</f>
        <v>0</v>
      </c>
      <c r="AI17" s="508"/>
      <c r="AJ17" s="508"/>
      <c r="AK17" s="512">
        <f>+(AI17*AJ17)*4</f>
        <v>0</v>
      </c>
      <c r="AL17" s="509"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516"/>
      <c r="AN17" s="196"/>
      <c r="AO17" s="194"/>
      <c r="AP17" s="197"/>
      <c r="AQ17" s="197"/>
      <c r="AR17" s="196"/>
      <c r="AS17" s="114"/>
      <c r="AT17" s="142"/>
      <c r="AU17" s="114"/>
      <c r="AV17" s="142"/>
      <c r="AW17" s="114"/>
      <c r="AX17" s="142"/>
      <c r="AY17" s="173"/>
      <c r="AZ17" s="196"/>
      <c r="BA17" s="196"/>
      <c r="BB17" s="194"/>
      <c r="BC17" s="197"/>
      <c r="BD17" s="197"/>
      <c r="BE17" s="196"/>
      <c r="BF17" s="196"/>
      <c r="BG17" s="194"/>
      <c r="BH17" s="197"/>
      <c r="BI17" s="197"/>
      <c r="BJ17" s="142"/>
      <c r="BK17" s="142"/>
      <c r="BL17" s="173"/>
      <c r="BM17" s="114"/>
      <c r="BN17" s="114"/>
      <c r="BO17" s="142"/>
      <c r="BP17" s="142"/>
      <c r="BQ17" s="173"/>
      <c r="BR17" s="114"/>
      <c r="BS17" s="114"/>
      <c r="BT17" s="114"/>
      <c r="BU17" s="142"/>
      <c r="BV17" s="142"/>
      <c r="BW17" s="142"/>
      <c r="BX17" s="114"/>
      <c r="BY17" s="142"/>
      <c r="BZ17" s="142"/>
      <c r="CA17" s="114"/>
      <c r="CB17" s="142"/>
      <c r="CC17" s="173"/>
      <c r="CD17" s="142"/>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row>
    <row r="18" spans="1:108" ht="21" customHeight="1" thickTop="1" thickBot="1">
      <c r="A18" s="455"/>
      <c r="B18" s="456"/>
      <c r="C18" s="456"/>
      <c r="D18" s="456"/>
      <c r="E18" s="482"/>
      <c r="F18" s="456"/>
      <c r="G18" s="456"/>
      <c r="H18" s="456"/>
      <c r="I18" s="456"/>
      <c r="J18" s="455"/>
      <c r="K18" s="455"/>
      <c r="L18" s="512"/>
      <c r="M18" s="510"/>
      <c r="N18" s="194">
        <v>2</v>
      </c>
      <c r="O18" s="205"/>
      <c r="P18" s="196"/>
      <c r="Q18" s="196"/>
      <c r="R18" s="196"/>
      <c r="S18" s="196"/>
      <c r="T18" s="196"/>
      <c r="U18" s="196"/>
      <c r="V18" s="196"/>
      <c r="W18" s="184">
        <f t="shared" si="1"/>
        <v>0</v>
      </c>
      <c r="X18" s="186" t="str">
        <f t="shared" si="0"/>
        <v>DEBIL</v>
      </c>
      <c r="Y18" s="222"/>
      <c r="Z18" s="187" t="str">
        <f t="shared" si="2"/>
        <v/>
      </c>
      <c r="AA18" s="184" t="str">
        <f t="shared" si="3"/>
        <v>SI</v>
      </c>
      <c r="AB18" s="196"/>
      <c r="AC18" s="513"/>
      <c r="AD18" s="513"/>
      <c r="AE18" s="514"/>
      <c r="AF18" s="514"/>
      <c r="AG18" s="515"/>
      <c r="AH18" s="515"/>
      <c r="AI18" s="508"/>
      <c r="AJ18" s="508"/>
      <c r="AK18" s="512"/>
      <c r="AL18" s="510"/>
      <c r="AM18" s="477"/>
      <c r="AN18" s="196"/>
      <c r="AO18" s="194"/>
      <c r="AP18" s="197"/>
      <c r="AQ18" s="197"/>
      <c r="AR18" s="196"/>
      <c r="AS18" s="114"/>
      <c r="AT18" s="142"/>
      <c r="AU18" s="114"/>
      <c r="AV18" s="142"/>
      <c r="AW18" s="114"/>
      <c r="AX18" s="142"/>
      <c r="AY18" s="173"/>
      <c r="AZ18" s="196"/>
      <c r="BA18" s="196"/>
      <c r="BB18" s="194"/>
      <c r="BC18" s="197"/>
      <c r="BD18" s="197"/>
      <c r="BE18" s="196"/>
      <c r="BF18" s="196"/>
      <c r="BG18" s="194"/>
      <c r="BH18" s="197"/>
      <c r="BI18" s="197"/>
      <c r="BJ18" s="142"/>
      <c r="BK18" s="142"/>
      <c r="BL18" s="173"/>
      <c r="BM18" s="114"/>
      <c r="BN18" s="114"/>
      <c r="BO18" s="142"/>
      <c r="BP18" s="142"/>
      <c r="BQ18" s="173"/>
      <c r="BR18" s="114"/>
      <c r="BS18" s="114"/>
      <c r="BT18" s="114"/>
      <c r="BU18" s="142"/>
      <c r="BV18" s="142"/>
      <c r="BW18" s="142"/>
      <c r="BX18" s="114"/>
      <c r="BY18" s="142"/>
      <c r="BZ18" s="142"/>
      <c r="CA18" s="114"/>
      <c r="CB18" s="142"/>
      <c r="CC18" s="173"/>
      <c r="CD18" s="142"/>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row>
    <row r="19" spans="1:108" ht="21" customHeight="1" thickTop="1" thickBot="1">
      <c r="A19" s="455"/>
      <c r="B19" s="456"/>
      <c r="C19" s="456"/>
      <c r="D19" s="456"/>
      <c r="E19" s="482"/>
      <c r="F19" s="456"/>
      <c r="G19" s="456"/>
      <c r="H19" s="456"/>
      <c r="I19" s="456"/>
      <c r="J19" s="455"/>
      <c r="K19" s="455"/>
      <c r="L19" s="512"/>
      <c r="M19" s="510"/>
      <c r="N19" s="194">
        <v>3</v>
      </c>
      <c r="O19" s="223"/>
      <c r="P19" s="196"/>
      <c r="Q19" s="196"/>
      <c r="R19" s="196"/>
      <c r="S19" s="196"/>
      <c r="T19" s="196"/>
      <c r="U19" s="196"/>
      <c r="V19" s="196"/>
      <c r="W19" s="184">
        <f t="shared" si="1"/>
        <v>0</v>
      </c>
      <c r="X19" s="186" t="str">
        <f t="shared" si="0"/>
        <v>DEBIL</v>
      </c>
      <c r="Y19" s="222"/>
      <c r="Z19" s="187" t="str">
        <f t="shared" si="2"/>
        <v/>
      </c>
      <c r="AA19" s="184" t="str">
        <f t="shared" si="3"/>
        <v>SI</v>
      </c>
      <c r="AB19" s="196"/>
      <c r="AC19" s="513"/>
      <c r="AD19" s="513"/>
      <c r="AE19" s="514"/>
      <c r="AF19" s="514"/>
      <c r="AG19" s="515"/>
      <c r="AH19" s="515"/>
      <c r="AI19" s="508"/>
      <c r="AJ19" s="508"/>
      <c r="AK19" s="512"/>
      <c r="AL19" s="510"/>
      <c r="AM19" s="477"/>
      <c r="AN19" s="196"/>
      <c r="AO19" s="194"/>
      <c r="AP19" s="197"/>
      <c r="AQ19" s="197"/>
      <c r="AR19" s="196"/>
      <c r="AS19" s="114"/>
      <c r="AT19" s="142"/>
      <c r="AU19" s="114"/>
      <c r="AV19" s="142"/>
      <c r="AW19" s="114"/>
      <c r="AX19" s="142"/>
      <c r="AY19" s="173"/>
      <c r="AZ19" s="196"/>
      <c r="BA19" s="196"/>
      <c r="BB19" s="194"/>
      <c r="BC19" s="197"/>
      <c r="BD19" s="197"/>
      <c r="BE19" s="196"/>
      <c r="BF19" s="196"/>
      <c r="BG19" s="194"/>
      <c r="BH19" s="197"/>
      <c r="BI19" s="197"/>
      <c r="BJ19" s="142"/>
      <c r="BK19" s="142"/>
      <c r="BL19" s="173"/>
      <c r="BM19" s="114"/>
      <c r="BN19" s="114"/>
      <c r="BO19" s="142"/>
      <c r="BP19" s="142"/>
      <c r="BQ19" s="173"/>
      <c r="BR19" s="114"/>
      <c r="BS19" s="114"/>
      <c r="BT19" s="114"/>
      <c r="BU19" s="142"/>
      <c r="BV19" s="142"/>
      <c r="BW19" s="142"/>
      <c r="BX19" s="114"/>
      <c r="BY19" s="142"/>
      <c r="BZ19" s="142"/>
      <c r="CA19" s="114"/>
      <c r="CB19" s="142"/>
      <c r="CC19" s="173"/>
      <c r="CD19" s="142"/>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row>
    <row r="20" spans="1:108" ht="21" customHeight="1" thickTop="1" thickBot="1">
      <c r="A20" s="455"/>
      <c r="B20" s="456"/>
      <c r="C20" s="456"/>
      <c r="D20" s="456"/>
      <c r="E20" s="482"/>
      <c r="F20" s="456"/>
      <c r="G20" s="456"/>
      <c r="H20" s="456"/>
      <c r="I20" s="456"/>
      <c r="J20" s="455"/>
      <c r="K20" s="455"/>
      <c r="L20" s="512"/>
      <c r="M20" s="510"/>
      <c r="N20" s="194">
        <v>4</v>
      </c>
      <c r="O20" s="205"/>
      <c r="P20" s="196"/>
      <c r="Q20" s="196"/>
      <c r="R20" s="196"/>
      <c r="S20" s="196"/>
      <c r="T20" s="196"/>
      <c r="U20" s="196"/>
      <c r="V20" s="196"/>
      <c r="W20" s="184">
        <f t="shared" si="1"/>
        <v>0</v>
      </c>
      <c r="X20" s="186" t="str">
        <f t="shared" si="0"/>
        <v>DEBIL</v>
      </c>
      <c r="Y20" s="222"/>
      <c r="Z20" s="187" t="str">
        <f t="shared" si="2"/>
        <v/>
      </c>
      <c r="AA20" s="184" t="str">
        <f t="shared" si="3"/>
        <v>SI</v>
      </c>
      <c r="AB20" s="196"/>
      <c r="AC20" s="513"/>
      <c r="AD20" s="513"/>
      <c r="AE20" s="514"/>
      <c r="AF20" s="514"/>
      <c r="AG20" s="515"/>
      <c r="AH20" s="515"/>
      <c r="AI20" s="508"/>
      <c r="AJ20" s="508"/>
      <c r="AK20" s="512"/>
      <c r="AL20" s="510"/>
      <c r="AM20" s="477"/>
      <c r="AN20" s="196"/>
      <c r="AO20" s="194"/>
      <c r="AP20" s="197"/>
      <c r="AQ20" s="197"/>
      <c r="AR20" s="196"/>
      <c r="AS20" s="114"/>
      <c r="AT20" s="142"/>
      <c r="AU20" s="114"/>
      <c r="AV20" s="142"/>
      <c r="AW20" s="114"/>
      <c r="AX20" s="142"/>
      <c r="AY20" s="173"/>
      <c r="AZ20" s="196"/>
      <c r="BA20" s="196"/>
      <c r="BB20" s="194"/>
      <c r="BC20" s="197"/>
      <c r="BD20" s="197"/>
      <c r="BE20" s="196"/>
      <c r="BF20" s="196"/>
      <c r="BG20" s="194"/>
      <c r="BH20" s="197"/>
      <c r="BI20" s="197"/>
      <c r="BJ20" s="142"/>
      <c r="BK20" s="142"/>
      <c r="BL20" s="173"/>
      <c r="BM20" s="114"/>
      <c r="BN20" s="114"/>
      <c r="BO20" s="142"/>
      <c r="BP20" s="142"/>
      <c r="BQ20" s="173"/>
      <c r="BR20" s="114"/>
      <c r="BS20" s="114"/>
      <c r="BT20" s="114"/>
      <c r="BU20" s="142"/>
      <c r="BV20" s="142"/>
      <c r="BW20" s="142"/>
      <c r="BX20" s="114"/>
      <c r="BY20" s="142"/>
      <c r="BZ20" s="142"/>
      <c r="CA20" s="114"/>
      <c r="CB20" s="142"/>
      <c r="CC20" s="173"/>
      <c r="CD20" s="142"/>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row>
    <row r="21" spans="1:108" ht="21" customHeight="1" thickTop="1" thickBot="1">
      <c r="A21" s="455"/>
      <c r="B21" s="456"/>
      <c r="C21" s="456"/>
      <c r="D21" s="456"/>
      <c r="E21" s="482"/>
      <c r="F21" s="456"/>
      <c r="G21" s="456"/>
      <c r="H21" s="456"/>
      <c r="I21" s="456"/>
      <c r="J21" s="455"/>
      <c r="K21" s="455"/>
      <c r="L21" s="512"/>
      <c r="M21" s="510"/>
      <c r="N21" s="194">
        <v>5</v>
      </c>
      <c r="O21" s="205"/>
      <c r="P21" s="196"/>
      <c r="Q21" s="196"/>
      <c r="R21" s="196"/>
      <c r="S21" s="196"/>
      <c r="T21" s="196"/>
      <c r="U21" s="196"/>
      <c r="V21" s="196"/>
      <c r="W21" s="184">
        <f t="shared" si="1"/>
        <v>0</v>
      </c>
      <c r="X21" s="186" t="str">
        <f t="shared" si="0"/>
        <v>DEBIL</v>
      </c>
      <c r="Y21" s="222"/>
      <c r="Z21" s="187" t="str">
        <f t="shared" si="2"/>
        <v/>
      </c>
      <c r="AA21" s="184" t="str">
        <f t="shared" si="3"/>
        <v>SI</v>
      </c>
      <c r="AB21" s="196"/>
      <c r="AC21" s="513"/>
      <c r="AD21" s="513"/>
      <c r="AE21" s="514"/>
      <c r="AF21" s="514"/>
      <c r="AG21" s="515"/>
      <c r="AH21" s="515"/>
      <c r="AI21" s="508"/>
      <c r="AJ21" s="508"/>
      <c r="AK21" s="512"/>
      <c r="AL21" s="510"/>
      <c r="AM21" s="477"/>
      <c r="AN21" s="196"/>
      <c r="AO21" s="194"/>
      <c r="AP21" s="197"/>
      <c r="AQ21" s="197"/>
      <c r="AR21" s="196"/>
      <c r="AS21" s="114"/>
      <c r="AT21" s="142"/>
      <c r="AU21" s="114"/>
      <c r="AV21" s="142"/>
      <c r="AW21" s="114"/>
      <c r="AX21" s="142"/>
      <c r="AY21" s="173"/>
      <c r="AZ21" s="196"/>
      <c r="BA21" s="196"/>
      <c r="BB21" s="194"/>
      <c r="BC21" s="197"/>
      <c r="BD21" s="197"/>
      <c r="BE21" s="196"/>
      <c r="BF21" s="196"/>
      <c r="BG21" s="194"/>
      <c r="BH21" s="197"/>
      <c r="BI21" s="197"/>
      <c r="BJ21" s="142"/>
      <c r="BK21" s="142"/>
      <c r="BL21" s="173"/>
      <c r="BM21" s="114"/>
      <c r="BN21" s="114"/>
      <c r="BO21" s="142"/>
      <c r="BP21" s="142"/>
      <c r="BQ21" s="173"/>
      <c r="BR21" s="114"/>
      <c r="BS21" s="114"/>
      <c r="BT21" s="114"/>
      <c r="BU21" s="142"/>
      <c r="BV21" s="142"/>
      <c r="BW21" s="142"/>
      <c r="BX21" s="114"/>
      <c r="BY21" s="142"/>
      <c r="BZ21" s="142"/>
      <c r="CA21" s="114"/>
      <c r="CB21" s="142"/>
      <c r="CC21" s="173"/>
      <c r="CD21" s="142"/>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row>
    <row r="22" spans="1:108" ht="21" customHeight="1" thickTop="1" thickBot="1">
      <c r="A22" s="455"/>
      <c r="B22" s="456"/>
      <c r="C22" s="456"/>
      <c r="D22" s="456"/>
      <c r="E22" s="482"/>
      <c r="F22" s="456"/>
      <c r="G22" s="456"/>
      <c r="H22" s="456"/>
      <c r="I22" s="456"/>
      <c r="J22" s="455"/>
      <c r="K22" s="455"/>
      <c r="L22" s="512"/>
      <c r="M22" s="511"/>
      <c r="N22" s="194">
        <v>6</v>
      </c>
      <c r="O22" s="205"/>
      <c r="P22" s="196"/>
      <c r="Q22" s="196"/>
      <c r="R22" s="196"/>
      <c r="S22" s="196"/>
      <c r="T22" s="196"/>
      <c r="U22" s="196"/>
      <c r="V22" s="196"/>
      <c r="W22" s="184">
        <f t="shared" si="1"/>
        <v>0</v>
      </c>
      <c r="X22" s="186" t="str">
        <f t="shared" si="0"/>
        <v>DEBIL</v>
      </c>
      <c r="Y22" s="222"/>
      <c r="Z22" s="187" t="str">
        <f t="shared" si="2"/>
        <v/>
      </c>
      <c r="AA22" s="184" t="str">
        <f t="shared" si="3"/>
        <v>SI</v>
      </c>
      <c r="AB22" s="196"/>
      <c r="AC22" s="513"/>
      <c r="AD22" s="513"/>
      <c r="AE22" s="514"/>
      <c r="AF22" s="514"/>
      <c r="AG22" s="515"/>
      <c r="AH22" s="515"/>
      <c r="AI22" s="508"/>
      <c r="AJ22" s="508"/>
      <c r="AK22" s="512"/>
      <c r="AL22" s="511"/>
      <c r="AM22" s="478"/>
      <c r="AN22" s="196"/>
      <c r="AO22" s="194"/>
      <c r="AP22" s="197"/>
      <c r="AQ22" s="197"/>
      <c r="AR22" s="196"/>
      <c r="AS22" s="114"/>
      <c r="AT22" s="142"/>
      <c r="AU22" s="114"/>
      <c r="AV22" s="142"/>
      <c r="AW22" s="114"/>
      <c r="AX22" s="142"/>
      <c r="AY22" s="173"/>
      <c r="AZ22" s="196"/>
      <c r="BA22" s="196"/>
      <c r="BB22" s="194"/>
      <c r="BC22" s="197"/>
      <c r="BD22" s="197"/>
      <c r="BE22" s="196"/>
      <c r="BF22" s="196"/>
      <c r="BG22" s="194"/>
      <c r="BH22" s="197"/>
      <c r="BI22" s="197"/>
      <c r="BJ22" s="142"/>
      <c r="BK22" s="142"/>
      <c r="BL22" s="173"/>
      <c r="BM22" s="114"/>
      <c r="BN22" s="114"/>
      <c r="BO22" s="142"/>
      <c r="BP22" s="142"/>
      <c r="BQ22" s="173"/>
      <c r="BR22" s="114"/>
      <c r="BS22" s="114"/>
      <c r="BT22" s="114"/>
      <c r="BU22" s="142"/>
      <c r="BV22" s="142"/>
      <c r="BW22" s="142"/>
      <c r="BX22" s="114"/>
      <c r="BY22" s="142"/>
      <c r="BZ22" s="142"/>
      <c r="CA22" s="114"/>
      <c r="CB22" s="142"/>
      <c r="CC22" s="173"/>
      <c r="CD22" s="142"/>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row>
    <row r="23" spans="1:108" ht="21" customHeight="1" thickTop="1" thickBot="1">
      <c r="A23" s="455">
        <v>4</v>
      </c>
      <c r="B23" s="456"/>
      <c r="C23" s="456"/>
      <c r="D23" s="456"/>
      <c r="E23" s="482"/>
      <c r="F23" s="456"/>
      <c r="G23" s="456"/>
      <c r="H23" s="456"/>
      <c r="I23" s="456"/>
      <c r="J23" s="455"/>
      <c r="K23" s="455"/>
      <c r="L23" s="512">
        <f>+(J23*K23)*4</f>
        <v>0</v>
      </c>
      <c r="M23" s="509" t="b">
        <f>IF(OR(AND(J23=3,K23=4),AND(J23=2,K23=5),AND(J23=2,K23=5),AND(L23=20),AND(L23&gt;=52,L23&lt;=100)),"ZONA RIESGO EXTREMA",IF(OR(AND(J23=5,K23=2),AND(J23=4,K23=3),AND(J23=1,K23=4),AND(L23=16),AND(L23&gt;=28,L23&lt;=48)),"ZONA RIESGO ALTA",IF(OR(AND(J23=1,K23=3),AND(J23=4,K23=1),AND(L23=24)),"ZONA RIESGO MODERADA",IF(AND(L23&gt;=4,L23&lt;=16),"ZONA RIESGO BAJA"))))</f>
        <v>0</v>
      </c>
      <c r="N23" s="194">
        <v>1</v>
      </c>
      <c r="O23" s="205"/>
      <c r="P23" s="196"/>
      <c r="Q23" s="196"/>
      <c r="R23" s="196"/>
      <c r="S23" s="196"/>
      <c r="T23" s="196"/>
      <c r="U23" s="196"/>
      <c r="V23" s="196"/>
      <c r="W23" s="184">
        <f t="shared" si="1"/>
        <v>0</v>
      </c>
      <c r="X23" s="186" t="str">
        <f t="shared" si="0"/>
        <v>DEBIL</v>
      </c>
      <c r="Y23" s="222"/>
      <c r="Z23" s="187" t="str">
        <f t="shared" si="2"/>
        <v/>
      </c>
      <c r="AA23" s="184" t="str">
        <f t="shared" si="3"/>
        <v>SI</v>
      </c>
      <c r="AB23" s="196"/>
      <c r="AC23" s="513">
        <f>IF(AND(W23&gt;0,SUM(W24:W28)=0),W23,IF(AND(SUM(W23:W24)&gt;0,SUM(W25:W28)=0),AVERAGE(W23:W24),IF(AND(SUM(W23:W25)&gt;0,SUM(W26:W28)=0),AVERAGE(W23:W25),IF(AND(SUM(W23:W26)&gt;0,SUM(W27:W28)=0),AVERAGE(W23:W26),IF(AND(SUM(W23:W27)&gt;0,W28=0),AVERAGE(W23:W27),AVERAGE(W23:W28))))))</f>
        <v>0</v>
      </c>
      <c r="AD23" s="513" t="str">
        <f>IF(AND(AC23&gt;=50,AC23&lt;=99),"MODERADO",IF(AND(AC23=100), "FUERTE",IF(AND(AC23&lt;50), "DEBIL")))</f>
        <v>DEBIL</v>
      </c>
      <c r="AE23" s="514"/>
      <c r="AF23" s="514"/>
      <c r="AG23" s="515" t="str">
        <f>IFERROR(_xlfn.IFS(AND(AD23="MODERADO",AE23="Directamente"),1,AND(AD23="FUERTE",AE23="Directamente"),2),"0")</f>
        <v>0</v>
      </c>
      <c r="AH23" s="515" t="str">
        <f>IFERROR(_xlfn.IFS(AND(AD23="MODERADO",AF23="Directamente"),1,AND(AD23="FUERTE",AF23="Directamente"),2,AND(AD23="FUERTE",AF23="Indirectamente"),1),"0")</f>
        <v>0</v>
      </c>
      <c r="AI23" s="508"/>
      <c r="AJ23" s="508"/>
      <c r="AK23" s="512">
        <f>+(AI23*AJ23)*4</f>
        <v>0</v>
      </c>
      <c r="AL23" s="509"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516"/>
      <c r="AN23" s="196"/>
      <c r="AO23" s="194"/>
      <c r="AP23" s="197"/>
      <c r="AQ23" s="197"/>
      <c r="AR23" s="196"/>
      <c r="AS23" s="114"/>
      <c r="AT23" s="142"/>
      <c r="AU23" s="114"/>
      <c r="AV23" s="142"/>
      <c r="AW23" s="114"/>
      <c r="AX23" s="142"/>
      <c r="AY23" s="173"/>
      <c r="AZ23" s="196"/>
      <c r="BA23" s="196"/>
      <c r="BB23" s="194"/>
      <c r="BC23" s="197"/>
      <c r="BD23" s="197"/>
      <c r="BE23" s="196"/>
      <c r="BF23" s="196"/>
      <c r="BG23" s="194"/>
      <c r="BH23" s="197"/>
      <c r="BI23" s="197"/>
      <c r="BJ23" s="142"/>
      <c r="BK23" s="142"/>
      <c r="BL23" s="173"/>
      <c r="BM23" s="114"/>
      <c r="BN23" s="114"/>
      <c r="BO23" s="142"/>
      <c r="BP23" s="142"/>
      <c r="BQ23" s="173"/>
      <c r="BR23" s="114"/>
      <c r="BS23" s="114"/>
      <c r="BT23" s="114"/>
      <c r="BU23" s="142"/>
      <c r="BV23" s="142"/>
      <c r="BW23" s="142"/>
      <c r="BX23" s="114"/>
      <c r="BY23" s="142"/>
      <c r="BZ23" s="142"/>
      <c r="CA23" s="114"/>
      <c r="CB23" s="142"/>
      <c r="CC23" s="173"/>
      <c r="CD23" s="142"/>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row>
    <row r="24" spans="1:108" ht="21" customHeight="1" thickTop="1" thickBot="1">
      <c r="A24" s="455"/>
      <c r="B24" s="456"/>
      <c r="C24" s="456"/>
      <c r="D24" s="456"/>
      <c r="E24" s="482"/>
      <c r="F24" s="456"/>
      <c r="G24" s="456"/>
      <c r="H24" s="456"/>
      <c r="I24" s="456"/>
      <c r="J24" s="455"/>
      <c r="K24" s="455"/>
      <c r="L24" s="512"/>
      <c r="M24" s="510"/>
      <c r="N24" s="194">
        <v>2</v>
      </c>
      <c r="O24" s="205"/>
      <c r="P24" s="196"/>
      <c r="Q24" s="196"/>
      <c r="R24" s="196"/>
      <c r="S24" s="196"/>
      <c r="T24" s="196"/>
      <c r="U24" s="196"/>
      <c r="V24" s="196"/>
      <c r="W24" s="184">
        <f t="shared" si="1"/>
        <v>0</v>
      </c>
      <c r="X24" s="186" t="str">
        <f t="shared" si="0"/>
        <v>DEBIL</v>
      </c>
      <c r="Y24" s="222"/>
      <c r="Z24" s="187" t="str">
        <f t="shared" si="2"/>
        <v/>
      </c>
      <c r="AA24" s="184" t="str">
        <f t="shared" si="3"/>
        <v>SI</v>
      </c>
      <c r="AB24" s="196"/>
      <c r="AC24" s="513"/>
      <c r="AD24" s="513"/>
      <c r="AE24" s="514"/>
      <c r="AF24" s="514"/>
      <c r="AG24" s="515"/>
      <c r="AH24" s="515"/>
      <c r="AI24" s="508"/>
      <c r="AJ24" s="508"/>
      <c r="AK24" s="512"/>
      <c r="AL24" s="510"/>
      <c r="AM24" s="477"/>
      <c r="AN24" s="196"/>
      <c r="AO24" s="194"/>
      <c r="AP24" s="197"/>
      <c r="AQ24" s="197"/>
      <c r="AR24" s="196"/>
      <c r="AS24" s="114"/>
      <c r="AT24" s="142"/>
      <c r="AU24" s="114"/>
      <c r="AV24" s="142"/>
      <c r="AW24" s="114"/>
      <c r="AX24" s="142"/>
      <c r="AY24" s="173"/>
      <c r="AZ24" s="196"/>
      <c r="BA24" s="196"/>
      <c r="BB24" s="194"/>
      <c r="BC24" s="197"/>
      <c r="BD24" s="197"/>
      <c r="BE24" s="196"/>
      <c r="BF24" s="196"/>
      <c r="BG24" s="194"/>
      <c r="BH24" s="197"/>
      <c r="BI24" s="197"/>
      <c r="BJ24" s="142"/>
      <c r="BK24" s="142"/>
      <c r="BL24" s="173"/>
      <c r="BM24" s="114"/>
      <c r="BN24" s="114"/>
      <c r="BO24" s="142"/>
      <c r="BP24" s="142"/>
      <c r="BQ24" s="173"/>
      <c r="BR24" s="114"/>
      <c r="BS24" s="114"/>
      <c r="BT24" s="114"/>
      <c r="BU24" s="142"/>
      <c r="BV24" s="142"/>
      <c r="BW24" s="142"/>
      <c r="BX24" s="114"/>
      <c r="BY24" s="142"/>
      <c r="BZ24" s="142"/>
      <c r="CA24" s="114"/>
      <c r="CB24" s="142"/>
      <c r="CC24" s="173"/>
      <c r="CD24" s="142"/>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row>
    <row r="25" spans="1:108" ht="21" customHeight="1" thickTop="1" thickBot="1">
      <c r="A25" s="455"/>
      <c r="B25" s="456"/>
      <c r="C25" s="456"/>
      <c r="D25" s="456"/>
      <c r="E25" s="482"/>
      <c r="F25" s="456"/>
      <c r="G25" s="456"/>
      <c r="H25" s="456"/>
      <c r="I25" s="456"/>
      <c r="J25" s="455"/>
      <c r="K25" s="455"/>
      <c r="L25" s="512"/>
      <c r="M25" s="510"/>
      <c r="N25" s="194">
        <v>3</v>
      </c>
      <c r="O25" s="223"/>
      <c r="P25" s="196"/>
      <c r="Q25" s="196"/>
      <c r="R25" s="196"/>
      <c r="S25" s="196"/>
      <c r="T25" s="196"/>
      <c r="U25" s="196"/>
      <c r="V25" s="196"/>
      <c r="W25" s="184">
        <f t="shared" si="1"/>
        <v>0</v>
      </c>
      <c r="X25" s="186" t="str">
        <f t="shared" si="0"/>
        <v>DEBIL</v>
      </c>
      <c r="Y25" s="222"/>
      <c r="Z25" s="187" t="str">
        <f t="shared" si="2"/>
        <v/>
      </c>
      <c r="AA25" s="184" t="str">
        <f t="shared" si="3"/>
        <v>SI</v>
      </c>
      <c r="AB25" s="196"/>
      <c r="AC25" s="513"/>
      <c r="AD25" s="513"/>
      <c r="AE25" s="514"/>
      <c r="AF25" s="514"/>
      <c r="AG25" s="515"/>
      <c r="AH25" s="515"/>
      <c r="AI25" s="508"/>
      <c r="AJ25" s="508"/>
      <c r="AK25" s="512"/>
      <c r="AL25" s="510"/>
      <c r="AM25" s="477"/>
      <c r="AN25" s="196"/>
      <c r="AO25" s="194"/>
      <c r="AP25" s="197"/>
      <c r="AQ25" s="197"/>
      <c r="AR25" s="196"/>
      <c r="AS25" s="114"/>
      <c r="AT25" s="142"/>
      <c r="AU25" s="114"/>
      <c r="AV25" s="142"/>
      <c r="AW25" s="114"/>
      <c r="AX25" s="142"/>
      <c r="AY25" s="173"/>
      <c r="AZ25" s="196"/>
      <c r="BA25" s="196"/>
      <c r="BB25" s="194"/>
      <c r="BC25" s="197"/>
      <c r="BD25" s="197"/>
      <c r="BE25" s="196"/>
      <c r="BF25" s="196"/>
      <c r="BG25" s="194"/>
      <c r="BH25" s="197"/>
      <c r="BI25" s="197"/>
      <c r="BJ25" s="142"/>
      <c r="BK25" s="142"/>
      <c r="BL25" s="173"/>
      <c r="BM25" s="114"/>
      <c r="BN25" s="114"/>
      <c r="BO25" s="142"/>
      <c r="BP25" s="142"/>
      <c r="BQ25" s="173"/>
      <c r="BR25" s="114"/>
      <c r="BS25" s="114"/>
      <c r="BT25" s="114"/>
      <c r="BU25" s="142"/>
      <c r="BV25" s="142"/>
      <c r="BW25" s="142"/>
      <c r="BX25" s="114"/>
      <c r="BY25" s="142"/>
      <c r="BZ25" s="142"/>
      <c r="CA25" s="114"/>
      <c r="CB25" s="142"/>
      <c r="CC25" s="173"/>
      <c r="CD25" s="142"/>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row>
    <row r="26" spans="1:108" ht="21" customHeight="1" thickTop="1" thickBot="1">
      <c r="A26" s="455"/>
      <c r="B26" s="456"/>
      <c r="C26" s="456"/>
      <c r="D26" s="456"/>
      <c r="E26" s="482"/>
      <c r="F26" s="456"/>
      <c r="G26" s="456"/>
      <c r="H26" s="456"/>
      <c r="I26" s="456"/>
      <c r="J26" s="455"/>
      <c r="K26" s="455"/>
      <c r="L26" s="512"/>
      <c r="M26" s="510"/>
      <c r="N26" s="194">
        <v>4</v>
      </c>
      <c r="O26" s="205"/>
      <c r="P26" s="196"/>
      <c r="Q26" s="196"/>
      <c r="R26" s="196"/>
      <c r="S26" s="196"/>
      <c r="T26" s="196"/>
      <c r="U26" s="196"/>
      <c r="V26" s="196"/>
      <c r="W26" s="184">
        <f t="shared" si="1"/>
        <v>0</v>
      </c>
      <c r="X26" s="186" t="str">
        <f t="shared" si="0"/>
        <v>DEBIL</v>
      </c>
      <c r="Y26" s="222"/>
      <c r="Z26" s="187" t="str">
        <f t="shared" si="2"/>
        <v/>
      </c>
      <c r="AA26" s="184" t="str">
        <f t="shared" si="3"/>
        <v>SI</v>
      </c>
      <c r="AB26" s="196"/>
      <c r="AC26" s="513"/>
      <c r="AD26" s="513"/>
      <c r="AE26" s="514"/>
      <c r="AF26" s="514"/>
      <c r="AG26" s="515"/>
      <c r="AH26" s="515"/>
      <c r="AI26" s="508"/>
      <c r="AJ26" s="508"/>
      <c r="AK26" s="512"/>
      <c r="AL26" s="510"/>
      <c r="AM26" s="477"/>
      <c r="AN26" s="196"/>
      <c r="AO26" s="194"/>
      <c r="AP26" s="197"/>
      <c r="AQ26" s="114"/>
      <c r="AR26" s="142"/>
      <c r="AS26" s="114"/>
      <c r="AT26" s="142"/>
      <c r="AU26" s="114"/>
      <c r="AV26" s="142"/>
      <c r="AW26" s="114"/>
      <c r="AX26" s="142"/>
      <c r="AY26" s="173"/>
      <c r="AZ26" s="196"/>
      <c r="BA26" s="196"/>
      <c r="BB26" s="194"/>
      <c r="BC26" s="197"/>
      <c r="BD26" s="197"/>
      <c r="BE26" s="196"/>
      <c r="BF26" s="196"/>
      <c r="BG26" s="194"/>
      <c r="BH26" s="197"/>
      <c r="BI26" s="197"/>
      <c r="BJ26" s="142"/>
      <c r="BK26" s="142"/>
      <c r="BL26" s="173"/>
      <c r="BM26" s="114"/>
      <c r="BN26" s="114"/>
      <c r="BO26" s="142"/>
      <c r="BP26" s="142"/>
      <c r="BQ26" s="173"/>
      <c r="BR26" s="114"/>
      <c r="BS26" s="114"/>
      <c r="BT26" s="114"/>
      <c r="BU26" s="142"/>
      <c r="BV26" s="142"/>
      <c r="BW26" s="142"/>
      <c r="BX26" s="114"/>
      <c r="BY26" s="142"/>
      <c r="BZ26" s="142"/>
      <c r="CA26" s="114"/>
      <c r="CB26" s="142"/>
      <c r="CC26" s="173"/>
      <c r="CD26" s="142"/>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row>
    <row r="27" spans="1:108" ht="21" customHeight="1" thickTop="1" thickBot="1">
      <c r="A27" s="455"/>
      <c r="B27" s="456"/>
      <c r="C27" s="456"/>
      <c r="D27" s="456"/>
      <c r="E27" s="482"/>
      <c r="F27" s="456"/>
      <c r="G27" s="456"/>
      <c r="H27" s="456"/>
      <c r="I27" s="456"/>
      <c r="J27" s="455"/>
      <c r="K27" s="455"/>
      <c r="L27" s="512"/>
      <c r="M27" s="510"/>
      <c r="N27" s="194">
        <v>5</v>
      </c>
      <c r="O27" s="205"/>
      <c r="P27" s="196"/>
      <c r="Q27" s="196"/>
      <c r="R27" s="196"/>
      <c r="S27" s="196"/>
      <c r="T27" s="196"/>
      <c r="U27" s="196"/>
      <c r="V27" s="196"/>
      <c r="W27" s="184">
        <f t="shared" si="1"/>
        <v>0</v>
      </c>
      <c r="X27" s="186" t="str">
        <f t="shared" si="0"/>
        <v>DEBIL</v>
      </c>
      <c r="Y27" s="222"/>
      <c r="Z27" s="187" t="str">
        <f t="shared" si="2"/>
        <v/>
      </c>
      <c r="AA27" s="184" t="str">
        <f t="shared" si="3"/>
        <v>SI</v>
      </c>
      <c r="AB27" s="196"/>
      <c r="AC27" s="513"/>
      <c r="AD27" s="513"/>
      <c r="AE27" s="514"/>
      <c r="AF27" s="514"/>
      <c r="AG27" s="515"/>
      <c r="AH27" s="515"/>
      <c r="AI27" s="508"/>
      <c r="AJ27" s="508"/>
      <c r="AK27" s="512"/>
      <c r="AL27" s="510"/>
      <c r="AM27" s="477"/>
      <c r="AN27" s="196"/>
      <c r="AO27" s="194"/>
      <c r="AP27" s="197"/>
      <c r="AQ27" s="114"/>
      <c r="AR27" s="142"/>
      <c r="AS27" s="114"/>
      <c r="AT27" s="142"/>
      <c r="AU27" s="114"/>
      <c r="AV27" s="142"/>
      <c r="AW27" s="114"/>
      <c r="AX27" s="142"/>
      <c r="AY27" s="173"/>
      <c r="AZ27" s="196"/>
      <c r="BA27" s="196"/>
      <c r="BB27" s="194"/>
      <c r="BC27" s="197"/>
      <c r="BD27" s="197"/>
      <c r="BE27" s="196"/>
      <c r="BF27" s="196"/>
      <c r="BG27" s="194"/>
      <c r="BH27" s="197"/>
      <c r="BI27" s="197"/>
      <c r="BJ27" s="142"/>
      <c r="BK27" s="142"/>
      <c r="BL27" s="173"/>
      <c r="BM27" s="114"/>
      <c r="BN27" s="114"/>
      <c r="BO27" s="142"/>
      <c r="BP27" s="142"/>
      <c r="BQ27" s="173"/>
      <c r="BR27" s="114"/>
      <c r="BS27" s="114"/>
      <c r="BT27" s="114"/>
      <c r="BU27" s="142"/>
      <c r="BV27" s="142"/>
      <c r="BW27" s="142"/>
      <c r="BX27" s="114"/>
      <c r="BY27" s="142"/>
      <c r="BZ27" s="142"/>
      <c r="CA27" s="114"/>
      <c r="CB27" s="142"/>
      <c r="CC27" s="173"/>
      <c r="CD27" s="142"/>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row>
    <row r="28" spans="1:108" ht="21" customHeight="1" thickTop="1" thickBot="1">
      <c r="A28" s="455"/>
      <c r="B28" s="456"/>
      <c r="C28" s="456"/>
      <c r="D28" s="456"/>
      <c r="E28" s="482"/>
      <c r="F28" s="456"/>
      <c r="G28" s="456"/>
      <c r="H28" s="456"/>
      <c r="I28" s="456"/>
      <c r="J28" s="455"/>
      <c r="K28" s="455"/>
      <c r="L28" s="512"/>
      <c r="M28" s="511"/>
      <c r="N28" s="194">
        <v>6</v>
      </c>
      <c r="O28" s="205"/>
      <c r="P28" s="196"/>
      <c r="Q28" s="196"/>
      <c r="R28" s="196"/>
      <c r="S28" s="196"/>
      <c r="T28" s="196"/>
      <c r="U28" s="196"/>
      <c r="V28" s="196"/>
      <c r="W28" s="184">
        <f t="shared" si="1"/>
        <v>0</v>
      </c>
      <c r="X28" s="186" t="str">
        <f t="shared" si="0"/>
        <v>DEBIL</v>
      </c>
      <c r="Y28" s="222"/>
      <c r="Z28" s="187" t="str">
        <f t="shared" si="2"/>
        <v/>
      </c>
      <c r="AA28" s="184" t="str">
        <f t="shared" si="3"/>
        <v>SI</v>
      </c>
      <c r="AB28" s="196"/>
      <c r="AC28" s="513"/>
      <c r="AD28" s="513"/>
      <c r="AE28" s="514"/>
      <c r="AF28" s="514"/>
      <c r="AG28" s="515"/>
      <c r="AH28" s="515"/>
      <c r="AI28" s="508"/>
      <c r="AJ28" s="508"/>
      <c r="AK28" s="512"/>
      <c r="AL28" s="511"/>
      <c r="AM28" s="478"/>
      <c r="AN28" s="196"/>
      <c r="AO28" s="194"/>
      <c r="AP28" s="197"/>
      <c r="AQ28" s="114"/>
      <c r="AR28" s="142"/>
      <c r="AS28" s="114"/>
      <c r="AT28" s="142"/>
      <c r="AU28" s="114"/>
      <c r="AV28" s="142"/>
      <c r="AW28" s="114"/>
      <c r="AX28" s="142"/>
      <c r="AY28" s="173"/>
      <c r="AZ28" s="196"/>
      <c r="BA28" s="196"/>
      <c r="BB28" s="194"/>
      <c r="BC28" s="197"/>
      <c r="BD28" s="197"/>
      <c r="BE28" s="196"/>
      <c r="BF28" s="196"/>
      <c r="BG28" s="194"/>
      <c r="BH28" s="197"/>
      <c r="BI28" s="197"/>
      <c r="BJ28" s="142"/>
      <c r="BK28" s="142"/>
      <c r="BL28" s="173"/>
      <c r="BM28" s="114"/>
      <c r="BN28" s="114"/>
      <c r="BO28" s="142"/>
      <c r="BP28" s="142"/>
      <c r="BQ28" s="173"/>
      <c r="BR28" s="114"/>
      <c r="BS28" s="114"/>
      <c r="BT28" s="114"/>
      <c r="BU28" s="142"/>
      <c r="BV28" s="142"/>
      <c r="BW28" s="142"/>
      <c r="BX28" s="114"/>
      <c r="BY28" s="142"/>
      <c r="BZ28" s="142"/>
      <c r="CA28" s="114"/>
      <c r="CB28" s="142"/>
      <c r="CC28" s="173"/>
      <c r="CD28" s="142"/>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row>
    <row r="29" spans="1:108" ht="21" customHeight="1" thickTop="1" thickBot="1">
      <c r="A29" s="455">
        <v>5</v>
      </c>
      <c r="B29" s="456"/>
      <c r="C29" s="456"/>
      <c r="D29" s="456"/>
      <c r="E29" s="482"/>
      <c r="F29" s="456"/>
      <c r="G29" s="456"/>
      <c r="H29" s="456"/>
      <c r="I29" s="456"/>
      <c r="J29" s="455"/>
      <c r="K29" s="455"/>
      <c r="L29" s="512">
        <f>+(J29*K29)*4</f>
        <v>0</v>
      </c>
      <c r="M29" s="509" t="b">
        <f>IF(OR(AND(J29=3,K29=4),AND(J29=2,K29=5),AND(J29=2,K29=5),AND(L29=20),AND(L29&gt;=52,L29&lt;=100)),"ZONA RIESGO EXTREMA",IF(OR(AND(J29=5,K29=2),AND(J29=4,K29=3),AND(J29=1,K29=4),AND(L29=16),AND(L29&gt;=28,L29&lt;=48)),"ZONA RIESGO ALTA",IF(OR(AND(J29=1,K29=3),AND(J29=4,K29=1),AND(L29=24)),"ZONA RIESGO MODERADA",IF(AND(L29&gt;=4,L29&lt;=16),"ZONA RIESGO BAJA"))))</f>
        <v>0</v>
      </c>
      <c r="N29" s="194">
        <v>1</v>
      </c>
      <c r="O29" s="205"/>
      <c r="P29" s="196"/>
      <c r="Q29" s="196"/>
      <c r="R29" s="196"/>
      <c r="S29" s="196"/>
      <c r="T29" s="196"/>
      <c r="U29" s="196"/>
      <c r="V29" s="196"/>
      <c r="W29" s="184">
        <f t="shared" si="1"/>
        <v>0</v>
      </c>
      <c r="X29" s="186" t="str">
        <f t="shared" si="0"/>
        <v>DEBIL</v>
      </c>
      <c r="Y29" s="222"/>
      <c r="Z29" s="187" t="str">
        <f t="shared" si="2"/>
        <v/>
      </c>
      <c r="AA29" s="184" t="str">
        <f t="shared" si="3"/>
        <v>SI</v>
      </c>
      <c r="AB29" s="196"/>
      <c r="AC29" s="513">
        <f>IF(AND(W29&gt;0,SUM(W30:W34)=0),W29,IF(AND(SUM(W29:W30)&gt;0,SUM(W31:W34)=0),AVERAGE(W29:W30),IF(AND(SUM(W29:W31)&gt;0,SUM(W32:W34)=0),AVERAGE(W29:W31),IF(AND(SUM(W29:W32)&gt;0,SUM(W33:W34)=0),AVERAGE(W29:W32),IF(AND(SUM(W29:W33)&gt;0,W34=0),AVERAGE(W29:W33),AVERAGE(W29:W34))))))</f>
        <v>0</v>
      </c>
      <c r="AD29" s="513" t="str">
        <f>IF(AND(AC29&gt;=50,AC29&lt;=99),"MODERADO",IF(AND(AC29=100), "FUERTE",IF(AND(AC29&lt;50), "DEBIL")))</f>
        <v>DEBIL</v>
      </c>
      <c r="AE29" s="514"/>
      <c r="AF29" s="514"/>
      <c r="AG29" s="515" t="str">
        <f>IFERROR(_xlfn.IFS(AND(AD29="MODERADO",AE29="Directamente"),1,AND(AD29="FUERTE",AE29="Directamente"),2),"0")</f>
        <v>0</v>
      </c>
      <c r="AH29" s="515" t="str">
        <f>IFERROR(_xlfn.IFS(AND(AD29="MODERADO",AF29="Directamente"),1,AND(AD29="FUERTE",AF29="Directamente"),2,AND(AD29="FUERTE",AF29="Indirectamente"),1),"0")</f>
        <v>0</v>
      </c>
      <c r="AI29" s="508"/>
      <c r="AJ29" s="508"/>
      <c r="AK29" s="512">
        <f>+(AI29*AJ29)*4</f>
        <v>0</v>
      </c>
      <c r="AL29" s="509"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516"/>
      <c r="AN29" s="196"/>
      <c r="AO29" s="194"/>
      <c r="AP29" s="197"/>
      <c r="AQ29" s="114"/>
      <c r="AR29" s="142"/>
      <c r="AS29" s="114"/>
      <c r="AT29" s="142"/>
      <c r="AU29" s="114"/>
      <c r="AV29" s="142"/>
      <c r="AW29" s="114"/>
      <c r="AX29" s="142"/>
      <c r="AY29" s="173"/>
      <c r="AZ29" s="196"/>
      <c r="BA29" s="196"/>
      <c r="BB29" s="194"/>
      <c r="BC29" s="197"/>
      <c r="BD29" s="197"/>
      <c r="BE29" s="196"/>
      <c r="BF29" s="196"/>
      <c r="BG29" s="194"/>
      <c r="BH29" s="197"/>
      <c r="BI29" s="197"/>
      <c r="BJ29" s="142"/>
      <c r="BK29" s="142"/>
      <c r="BL29" s="173"/>
      <c r="BM29" s="114"/>
      <c r="BN29" s="114"/>
      <c r="BO29" s="142"/>
      <c r="BP29" s="142"/>
      <c r="BQ29" s="173"/>
      <c r="BR29" s="114"/>
      <c r="BS29" s="114"/>
      <c r="BT29" s="114"/>
      <c r="BU29" s="142"/>
      <c r="BV29" s="142"/>
      <c r="BW29" s="142"/>
      <c r="BX29" s="114"/>
      <c r="BY29" s="142"/>
      <c r="BZ29" s="142"/>
      <c r="CA29" s="114"/>
      <c r="CB29" s="142"/>
      <c r="CC29" s="173"/>
      <c r="CD29" s="142"/>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row>
    <row r="30" spans="1:108" ht="21" customHeight="1" thickTop="1" thickBot="1">
      <c r="A30" s="455"/>
      <c r="B30" s="456"/>
      <c r="C30" s="456"/>
      <c r="D30" s="456"/>
      <c r="E30" s="482"/>
      <c r="F30" s="456"/>
      <c r="G30" s="456"/>
      <c r="H30" s="456"/>
      <c r="I30" s="456"/>
      <c r="J30" s="455"/>
      <c r="K30" s="455"/>
      <c r="L30" s="512"/>
      <c r="M30" s="510"/>
      <c r="N30" s="194">
        <v>2</v>
      </c>
      <c r="O30" s="205"/>
      <c r="P30" s="196"/>
      <c r="Q30" s="196"/>
      <c r="R30" s="196"/>
      <c r="S30" s="196"/>
      <c r="T30" s="196"/>
      <c r="U30" s="196"/>
      <c r="V30" s="196"/>
      <c r="W30" s="184">
        <f t="shared" si="1"/>
        <v>0</v>
      </c>
      <c r="X30" s="186" t="str">
        <f t="shared" si="0"/>
        <v>DEBIL</v>
      </c>
      <c r="Y30" s="222"/>
      <c r="Z30" s="187" t="str">
        <f t="shared" si="2"/>
        <v/>
      </c>
      <c r="AA30" s="184" t="str">
        <f t="shared" si="3"/>
        <v>SI</v>
      </c>
      <c r="AB30" s="196"/>
      <c r="AC30" s="513"/>
      <c r="AD30" s="513"/>
      <c r="AE30" s="514"/>
      <c r="AF30" s="514"/>
      <c r="AG30" s="515"/>
      <c r="AH30" s="515"/>
      <c r="AI30" s="508"/>
      <c r="AJ30" s="508"/>
      <c r="AK30" s="512"/>
      <c r="AL30" s="510"/>
      <c r="AM30" s="477"/>
      <c r="AN30" s="196"/>
      <c r="AO30" s="194"/>
      <c r="AP30" s="197"/>
      <c r="AQ30" s="114"/>
      <c r="AR30" s="142"/>
      <c r="AS30" s="114"/>
      <c r="AT30" s="142"/>
      <c r="AU30" s="114"/>
      <c r="AV30" s="142"/>
      <c r="AW30" s="114"/>
      <c r="AX30" s="142"/>
      <c r="AY30" s="173"/>
      <c r="AZ30" s="196"/>
      <c r="BA30" s="196"/>
      <c r="BB30" s="194"/>
      <c r="BC30" s="197"/>
      <c r="BD30" s="197"/>
      <c r="BE30" s="196"/>
      <c r="BF30" s="196"/>
      <c r="BG30" s="194"/>
      <c r="BH30" s="197"/>
      <c r="BI30" s="197"/>
      <c r="BJ30" s="142"/>
      <c r="BK30" s="142"/>
      <c r="BL30" s="173"/>
      <c r="BM30" s="114"/>
      <c r="BN30" s="114"/>
      <c r="BO30" s="142"/>
      <c r="BP30" s="142"/>
      <c r="BQ30" s="173"/>
      <c r="BR30" s="114"/>
      <c r="BS30" s="114"/>
      <c r="BT30" s="114"/>
      <c r="BU30" s="142"/>
      <c r="BV30" s="142"/>
      <c r="BW30" s="142"/>
      <c r="BX30" s="114"/>
      <c r="BY30" s="142"/>
      <c r="BZ30" s="142"/>
      <c r="CA30" s="114"/>
      <c r="CB30" s="142"/>
      <c r="CC30" s="173"/>
      <c r="CD30" s="142"/>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row>
    <row r="31" spans="1:108" ht="21" customHeight="1" thickTop="1" thickBot="1">
      <c r="A31" s="455"/>
      <c r="B31" s="456"/>
      <c r="C31" s="456"/>
      <c r="D31" s="456"/>
      <c r="E31" s="482"/>
      <c r="F31" s="456"/>
      <c r="G31" s="456"/>
      <c r="H31" s="456"/>
      <c r="I31" s="456"/>
      <c r="J31" s="455"/>
      <c r="K31" s="455"/>
      <c r="L31" s="512"/>
      <c r="M31" s="510"/>
      <c r="N31" s="194">
        <v>3</v>
      </c>
      <c r="O31" s="223"/>
      <c r="P31" s="196"/>
      <c r="Q31" s="196"/>
      <c r="R31" s="196"/>
      <c r="S31" s="196"/>
      <c r="T31" s="196"/>
      <c r="U31" s="196"/>
      <c r="V31" s="196"/>
      <c r="W31" s="184">
        <f t="shared" si="1"/>
        <v>0</v>
      </c>
      <c r="X31" s="186" t="str">
        <f t="shared" si="0"/>
        <v>DEBIL</v>
      </c>
      <c r="Y31" s="222"/>
      <c r="Z31" s="187" t="str">
        <f t="shared" si="2"/>
        <v/>
      </c>
      <c r="AA31" s="184" t="str">
        <f t="shared" si="3"/>
        <v>SI</v>
      </c>
      <c r="AB31" s="196"/>
      <c r="AC31" s="513"/>
      <c r="AD31" s="513"/>
      <c r="AE31" s="514"/>
      <c r="AF31" s="514"/>
      <c r="AG31" s="515"/>
      <c r="AH31" s="515"/>
      <c r="AI31" s="508"/>
      <c r="AJ31" s="508"/>
      <c r="AK31" s="512"/>
      <c r="AL31" s="510"/>
      <c r="AM31" s="477"/>
      <c r="AN31" s="196"/>
      <c r="AO31" s="194"/>
      <c r="AP31" s="197"/>
      <c r="AQ31" s="114"/>
      <c r="AR31" s="142"/>
      <c r="AS31" s="114"/>
      <c r="AT31" s="142"/>
      <c r="AU31" s="114"/>
      <c r="AV31" s="142"/>
      <c r="AW31" s="114"/>
      <c r="AX31" s="142"/>
      <c r="AY31" s="173"/>
      <c r="AZ31" s="196"/>
      <c r="BA31" s="196"/>
      <c r="BB31" s="194"/>
      <c r="BC31" s="197"/>
      <c r="BD31" s="197"/>
      <c r="BE31" s="196"/>
      <c r="BF31" s="196"/>
      <c r="BG31" s="194"/>
      <c r="BH31" s="197"/>
      <c r="BI31" s="197"/>
      <c r="BJ31" s="142"/>
      <c r="BK31" s="142"/>
      <c r="BL31" s="173"/>
      <c r="BM31" s="114"/>
      <c r="BN31" s="114"/>
      <c r="BO31" s="142"/>
      <c r="BP31" s="142"/>
      <c r="BQ31" s="173"/>
      <c r="BR31" s="114"/>
      <c r="BS31" s="114"/>
      <c r="BT31" s="114"/>
      <c r="BU31" s="142"/>
      <c r="BV31" s="142"/>
      <c r="BW31" s="142"/>
      <c r="BX31" s="114"/>
      <c r="BY31" s="142"/>
      <c r="BZ31" s="142"/>
      <c r="CA31" s="114"/>
      <c r="CB31" s="142"/>
      <c r="CC31" s="173"/>
      <c r="CD31" s="142"/>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row>
    <row r="32" spans="1:108" ht="21" customHeight="1" thickTop="1" thickBot="1">
      <c r="A32" s="455"/>
      <c r="B32" s="456"/>
      <c r="C32" s="456"/>
      <c r="D32" s="456"/>
      <c r="E32" s="482"/>
      <c r="F32" s="456"/>
      <c r="G32" s="456"/>
      <c r="H32" s="456"/>
      <c r="I32" s="456"/>
      <c r="J32" s="455"/>
      <c r="K32" s="455"/>
      <c r="L32" s="512"/>
      <c r="M32" s="510"/>
      <c r="N32" s="194">
        <v>4</v>
      </c>
      <c r="O32" s="205"/>
      <c r="P32" s="196"/>
      <c r="Q32" s="196"/>
      <c r="R32" s="196"/>
      <c r="S32" s="196"/>
      <c r="T32" s="196"/>
      <c r="U32" s="196"/>
      <c r="V32" s="196"/>
      <c r="W32" s="184">
        <f t="shared" si="1"/>
        <v>0</v>
      </c>
      <c r="X32" s="186" t="str">
        <f t="shared" si="0"/>
        <v>DEBIL</v>
      </c>
      <c r="Y32" s="222"/>
      <c r="Z32" s="187" t="str">
        <f t="shared" si="2"/>
        <v/>
      </c>
      <c r="AA32" s="184" t="str">
        <f t="shared" si="3"/>
        <v>SI</v>
      </c>
      <c r="AB32" s="196"/>
      <c r="AC32" s="513"/>
      <c r="AD32" s="513"/>
      <c r="AE32" s="514"/>
      <c r="AF32" s="514"/>
      <c r="AG32" s="515"/>
      <c r="AH32" s="515"/>
      <c r="AI32" s="508"/>
      <c r="AJ32" s="508"/>
      <c r="AK32" s="512"/>
      <c r="AL32" s="510"/>
      <c r="AM32" s="477"/>
      <c r="AN32" s="196"/>
      <c r="AO32" s="194"/>
      <c r="AP32" s="197"/>
      <c r="AQ32" s="114"/>
      <c r="AR32" s="142"/>
      <c r="AS32" s="114"/>
      <c r="AT32" s="142"/>
      <c r="AU32" s="114"/>
      <c r="AV32" s="142"/>
      <c r="AW32" s="114"/>
      <c r="AX32" s="142"/>
      <c r="AY32" s="173"/>
      <c r="AZ32" s="196"/>
      <c r="BA32" s="196"/>
      <c r="BB32" s="194"/>
      <c r="BC32" s="197"/>
      <c r="BD32" s="197"/>
      <c r="BE32" s="196"/>
      <c r="BF32" s="196"/>
      <c r="BG32" s="194"/>
      <c r="BH32" s="197"/>
      <c r="BI32" s="197"/>
      <c r="BJ32" s="142"/>
      <c r="BK32" s="142"/>
      <c r="BL32" s="173"/>
      <c r="BM32" s="114"/>
      <c r="BN32" s="114"/>
      <c r="BO32" s="142"/>
      <c r="BP32" s="142"/>
      <c r="BQ32" s="173"/>
      <c r="BR32" s="114"/>
      <c r="BS32" s="114"/>
      <c r="BT32" s="114"/>
      <c r="BU32" s="142"/>
      <c r="BV32" s="142"/>
      <c r="BW32" s="142"/>
      <c r="BX32" s="114"/>
      <c r="BY32" s="142"/>
      <c r="BZ32" s="142"/>
      <c r="CA32" s="114"/>
      <c r="CB32" s="142"/>
      <c r="CC32" s="173"/>
      <c r="CD32" s="142"/>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row>
    <row r="33" spans="1:108" ht="21" customHeight="1" thickTop="1" thickBot="1">
      <c r="A33" s="455"/>
      <c r="B33" s="456"/>
      <c r="C33" s="456"/>
      <c r="D33" s="456"/>
      <c r="E33" s="482"/>
      <c r="F33" s="456"/>
      <c r="G33" s="456"/>
      <c r="H33" s="456"/>
      <c r="I33" s="456"/>
      <c r="J33" s="455"/>
      <c r="K33" s="455"/>
      <c r="L33" s="512"/>
      <c r="M33" s="510"/>
      <c r="N33" s="194">
        <v>5</v>
      </c>
      <c r="O33" s="205"/>
      <c r="P33" s="196"/>
      <c r="Q33" s="196"/>
      <c r="R33" s="196"/>
      <c r="S33" s="196"/>
      <c r="T33" s="196"/>
      <c r="U33" s="196"/>
      <c r="V33" s="196"/>
      <c r="W33" s="184">
        <f t="shared" si="1"/>
        <v>0</v>
      </c>
      <c r="X33" s="186" t="str">
        <f t="shared" si="0"/>
        <v>DEBIL</v>
      </c>
      <c r="Y33" s="222"/>
      <c r="Z33" s="187" t="str">
        <f t="shared" si="2"/>
        <v/>
      </c>
      <c r="AA33" s="184" t="str">
        <f t="shared" si="3"/>
        <v>SI</v>
      </c>
      <c r="AB33" s="196"/>
      <c r="AC33" s="513"/>
      <c r="AD33" s="513"/>
      <c r="AE33" s="514"/>
      <c r="AF33" s="514"/>
      <c r="AG33" s="515"/>
      <c r="AH33" s="515"/>
      <c r="AI33" s="508"/>
      <c r="AJ33" s="508"/>
      <c r="AK33" s="512"/>
      <c r="AL33" s="510"/>
      <c r="AM33" s="477"/>
      <c r="AN33" s="196"/>
      <c r="AO33" s="194"/>
      <c r="AP33" s="197"/>
      <c r="AQ33" s="114"/>
      <c r="AR33" s="142"/>
      <c r="AS33" s="114"/>
      <c r="AT33" s="142"/>
      <c r="AU33" s="114"/>
      <c r="AV33" s="142"/>
      <c r="AW33" s="114"/>
      <c r="AX33" s="142"/>
      <c r="AY33" s="173"/>
      <c r="AZ33" s="196"/>
      <c r="BA33" s="196"/>
      <c r="BB33" s="194"/>
      <c r="BC33" s="197"/>
      <c r="BD33" s="197"/>
      <c r="BE33" s="196"/>
      <c r="BF33" s="196"/>
      <c r="BG33" s="194"/>
      <c r="BH33" s="197"/>
      <c r="BI33" s="197"/>
      <c r="BJ33" s="142"/>
      <c r="BK33" s="142"/>
      <c r="BL33" s="173"/>
      <c r="BM33" s="114"/>
      <c r="BN33" s="114"/>
      <c r="BO33" s="142"/>
      <c r="BP33" s="142"/>
      <c r="BQ33" s="173"/>
      <c r="BR33" s="114"/>
      <c r="BS33" s="114"/>
      <c r="BT33" s="114"/>
      <c r="BU33" s="142"/>
      <c r="BV33" s="142"/>
      <c r="BW33" s="142"/>
      <c r="BX33" s="114"/>
      <c r="BY33" s="142"/>
      <c r="BZ33" s="142"/>
      <c r="CA33" s="114"/>
      <c r="CB33" s="142"/>
      <c r="CC33" s="173"/>
      <c r="CD33" s="142"/>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row>
    <row r="34" spans="1:108" ht="21" customHeight="1" thickTop="1" thickBot="1">
      <c r="A34" s="455"/>
      <c r="B34" s="456"/>
      <c r="C34" s="456"/>
      <c r="D34" s="456"/>
      <c r="E34" s="482"/>
      <c r="F34" s="456"/>
      <c r="G34" s="456"/>
      <c r="H34" s="456"/>
      <c r="I34" s="456"/>
      <c r="J34" s="455"/>
      <c r="K34" s="455"/>
      <c r="L34" s="512"/>
      <c r="M34" s="511"/>
      <c r="N34" s="194">
        <v>6</v>
      </c>
      <c r="O34" s="205"/>
      <c r="P34" s="196"/>
      <c r="Q34" s="196"/>
      <c r="R34" s="196"/>
      <c r="S34" s="196"/>
      <c r="T34" s="196"/>
      <c r="U34" s="196"/>
      <c r="V34" s="196"/>
      <c r="W34" s="184">
        <f t="shared" si="1"/>
        <v>0</v>
      </c>
      <c r="X34" s="186" t="str">
        <f t="shared" si="0"/>
        <v>DEBIL</v>
      </c>
      <c r="Y34" s="222"/>
      <c r="Z34" s="187" t="str">
        <f t="shared" si="2"/>
        <v/>
      </c>
      <c r="AA34" s="184" t="str">
        <f t="shared" si="3"/>
        <v>SI</v>
      </c>
      <c r="AB34" s="196"/>
      <c r="AC34" s="513"/>
      <c r="AD34" s="513"/>
      <c r="AE34" s="514"/>
      <c r="AF34" s="514"/>
      <c r="AG34" s="515"/>
      <c r="AH34" s="515"/>
      <c r="AI34" s="508"/>
      <c r="AJ34" s="508"/>
      <c r="AK34" s="512"/>
      <c r="AL34" s="511"/>
      <c r="AM34" s="478"/>
      <c r="AN34" s="196"/>
      <c r="AO34" s="194"/>
      <c r="AP34" s="197"/>
      <c r="AQ34" s="114"/>
      <c r="AR34" s="142"/>
      <c r="AS34" s="114"/>
      <c r="AT34" s="142"/>
      <c r="AU34" s="114"/>
      <c r="AV34" s="142"/>
      <c r="AW34" s="114"/>
      <c r="AX34" s="142"/>
      <c r="AY34" s="173"/>
      <c r="AZ34" s="196"/>
      <c r="BA34" s="196"/>
      <c r="BB34" s="194"/>
      <c r="BC34" s="197"/>
      <c r="BD34" s="197"/>
      <c r="BE34" s="142"/>
      <c r="BF34" s="142"/>
      <c r="BG34" s="173"/>
      <c r="BH34" s="114"/>
      <c r="BI34" s="114"/>
      <c r="BJ34" s="142"/>
      <c r="BK34" s="142"/>
      <c r="BL34" s="173"/>
      <c r="BM34" s="114"/>
      <c r="BN34" s="114"/>
      <c r="BO34" s="142"/>
      <c r="BP34" s="142"/>
      <c r="BQ34" s="173"/>
      <c r="BR34" s="114"/>
      <c r="BS34" s="114"/>
      <c r="BT34" s="114"/>
      <c r="BU34" s="142"/>
      <c r="BV34" s="142"/>
      <c r="BW34" s="142"/>
      <c r="BX34" s="114"/>
      <c r="BY34" s="142"/>
      <c r="BZ34" s="142"/>
      <c r="CA34" s="114"/>
      <c r="CB34" s="142"/>
      <c r="CC34" s="173"/>
      <c r="CD34" s="142"/>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row>
    <row r="35" spans="1:108" ht="21" customHeight="1" thickTop="1" thickBot="1">
      <c r="A35" s="455">
        <v>6</v>
      </c>
      <c r="B35" s="456"/>
      <c r="C35" s="456"/>
      <c r="D35" s="456"/>
      <c r="E35" s="482"/>
      <c r="F35" s="456"/>
      <c r="G35" s="456"/>
      <c r="H35" s="456"/>
      <c r="I35" s="456"/>
      <c r="J35" s="455"/>
      <c r="K35" s="455"/>
      <c r="L35" s="512">
        <f>+(J35*K35)*4</f>
        <v>0</v>
      </c>
      <c r="M35" s="509" t="b">
        <f>IF(OR(AND(J35=3,K35=4),AND(J35=2,K35=5),AND(J35=2,K35=5),AND(L35=20),AND(L35&gt;=52,L35&lt;=100)),"ZONA RIESGO EXTREMA",IF(OR(AND(J35=5,K35=2),AND(J35=4,K35=3),AND(J35=1,K35=4),AND(L35=16),AND(L35&gt;=28,L35&lt;=48)),"ZONA RIESGO ALTA",IF(OR(AND(J35=1,K35=3),AND(J35=4,K35=1),AND(L35=24)),"ZONA RIESGO MODERADA",IF(AND(L35&gt;=4,L35&lt;=16),"ZONA RIESGO BAJA"))))</f>
        <v>0</v>
      </c>
      <c r="N35" s="194">
        <v>1</v>
      </c>
      <c r="O35" s="205"/>
      <c r="P35" s="196"/>
      <c r="Q35" s="196"/>
      <c r="R35" s="196"/>
      <c r="S35" s="196"/>
      <c r="T35" s="196"/>
      <c r="U35" s="196"/>
      <c r="V35" s="196"/>
      <c r="W35" s="184">
        <f t="shared" si="1"/>
        <v>0</v>
      </c>
      <c r="X35" s="186" t="str">
        <f t="shared" si="0"/>
        <v>DEBIL</v>
      </c>
      <c r="Y35" s="222"/>
      <c r="Z35" s="187" t="str">
        <f t="shared" si="2"/>
        <v/>
      </c>
      <c r="AA35" s="184" t="str">
        <f t="shared" si="3"/>
        <v>SI</v>
      </c>
      <c r="AB35" s="196"/>
      <c r="AC35" s="513">
        <f>IF(AND(W35&gt;0,SUM(W36:W40)=0),W35,IF(AND(SUM(W35:W36)&gt;0,SUM(W37:W40)=0),AVERAGE(W35:W36),IF(AND(SUM(W35:W37)&gt;0,SUM(W38:W40)=0),AVERAGE(W35:W37),IF(AND(SUM(W35:W38)&gt;0,SUM(W39:W40)=0),AVERAGE(W35:W38),IF(AND(SUM(W35:W39)&gt;0,W40=0),AVERAGE(W35:W39),AVERAGE(W35:W40))))))</f>
        <v>0</v>
      </c>
      <c r="AD35" s="513" t="str">
        <f>IF(AND(AC35&gt;=50,AC35&lt;=99),"MODERADO",IF(AND(AC35=100), "FUERTE",IF(AND(AC35&lt;50), "DEBIL")))</f>
        <v>DEBIL</v>
      </c>
      <c r="AE35" s="514"/>
      <c r="AF35" s="514"/>
      <c r="AG35" s="515" t="str">
        <f>IFERROR(_xlfn.IFS(AND(AD35="MODERADO",AE35="Directamente"),1,AND(AD35="FUERTE",AE35="Directamente"),2),"0")</f>
        <v>0</v>
      </c>
      <c r="AH35" s="515" t="str">
        <f>IFERROR(_xlfn.IFS(AND(AD35="MODERADO",AF35="Directamente"),1,AND(AD35="FUERTE",AF35="Directamente"),2,AND(AD35="FUERTE",AF35="Indirectamente"),1),"0")</f>
        <v>0</v>
      </c>
      <c r="AI35" s="508"/>
      <c r="AJ35" s="508"/>
      <c r="AK35" s="512">
        <f>+(AI35*AJ35)*4</f>
        <v>0</v>
      </c>
      <c r="AL35" s="509"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516"/>
      <c r="AN35" s="196"/>
      <c r="AO35" s="194"/>
      <c r="AP35" s="197"/>
      <c r="AQ35" s="114"/>
      <c r="AR35" s="142"/>
      <c r="AS35" s="114"/>
      <c r="AT35" s="142"/>
      <c r="AU35" s="114"/>
      <c r="AV35" s="142"/>
      <c r="AW35" s="114"/>
      <c r="AX35" s="142"/>
      <c r="AY35" s="173"/>
      <c r="AZ35" s="196"/>
      <c r="BA35" s="196"/>
      <c r="BB35" s="194"/>
      <c r="BC35" s="197"/>
      <c r="BD35" s="197"/>
      <c r="BE35" s="142"/>
      <c r="BF35" s="142"/>
      <c r="BG35" s="173"/>
      <c r="BH35" s="114"/>
      <c r="BI35" s="114"/>
      <c r="BJ35" s="142"/>
      <c r="BK35" s="142"/>
      <c r="BL35" s="173"/>
      <c r="BM35" s="114"/>
      <c r="BN35" s="114"/>
      <c r="BO35" s="142"/>
      <c r="BP35" s="142"/>
      <c r="BQ35" s="173"/>
      <c r="BR35" s="114"/>
      <c r="BS35" s="114"/>
      <c r="BT35" s="114"/>
      <c r="BU35" s="142"/>
      <c r="BV35" s="142"/>
      <c r="BW35" s="142"/>
      <c r="BX35" s="114"/>
      <c r="BY35" s="142"/>
      <c r="BZ35" s="142"/>
      <c r="CA35" s="114"/>
      <c r="CB35" s="142"/>
      <c r="CC35" s="173"/>
      <c r="CD35" s="142"/>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row>
    <row r="36" spans="1:108" ht="21" customHeight="1" thickTop="1" thickBot="1">
      <c r="A36" s="455"/>
      <c r="B36" s="456"/>
      <c r="C36" s="456"/>
      <c r="D36" s="456"/>
      <c r="E36" s="482"/>
      <c r="F36" s="456"/>
      <c r="G36" s="456"/>
      <c r="H36" s="456"/>
      <c r="I36" s="456"/>
      <c r="J36" s="455"/>
      <c r="K36" s="455"/>
      <c r="L36" s="512"/>
      <c r="M36" s="510"/>
      <c r="N36" s="194">
        <v>2</v>
      </c>
      <c r="O36" s="205"/>
      <c r="P36" s="196"/>
      <c r="Q36" s="196"/>
      <c r="R36" s="196"/>
      <c r="S36" s="196"/>
      <c r="T36" s="196"/>
      <c r="U36" s="196"/>
      <c r="V36" s="196"/>
      <c r="W36" s="184">
        <f t="shared" si="1"/>
        <v>0</v>
      </c>
      <c r="X36" s="186" t="str">
        <f t="shared" si="0"/>
        <v>DEBIL</v>
      </c>
      <c r="Y36" s="222"/>
      <c r="Z36" s="187" t="str">
        <f t="shared" si="2"/>
        <v/>
      </c>
      <c r="AA36" s="184" t="str">
        <f t="shared" si="3"/>
        <v>SI</v>
      </c>
      <c r="AB36" s="196"/>
      <c r="AC36" s="513"/>
      <c r="AD36" s="513"/>
      <c r="AE36" s="514"/>
      <c r="AF36" s="514"/>
      <c r="AG36" s="515"/>
      <c r="AH36" s="515"/>
      <c r="AI36" s="508"/>
      <c r="AJ36" s="508"/>
      <c r="AK36" s="512"/>
      <c r="AL36" s="510"/>
      <c r="AM36" s="477"/>
      <c r="AN36" s="196"/>
      <c r="AO36" s="194"/>
      <c r="AP36" s="197"/>
      <c r="AQ36" s="114"/>
      <c r="AR36" s="142"/>
      <c r="AS36" s="114"/>
      <c r="AT36" s="142"/>
      <c r="AU36" s="114"/>
      <c r="AV36" s="142"/>
      <c r="AW36" s="114"/>
      <c r="AX36" s="142"/>
      <c r="AY36" s="173"/>
      <c r="AZ36" s="196"/>
      <c r="BA36" s="196"/>
      <c r="BB36" s="194"/>
      <c r="BC36" s="197"/>
      <c r="BD36" s="197"/>
      <c r="BE36" s="142"/>
      <c r="BF36" s="142"/>
      <c r="BG36" s="173"/>
      <c r="BH36" s="114"/>
      <c r="BI36" s="114"/>
      <c r="BJ36" s="142"/>
      <c r="BK36" s="142"/>
      <c r="BL36" s="173"/>
      <c r="BM36" s="114"/>
      <c r="BN36" s="114"/>
      <c r="BO36" s="142"/>
      <c r="BP36" s="142"/>
      <c r="BQ36" s="173"/>
      <c r="BR36" s="114"/>
      <c r="BS36" s="114"/>
      <c r="BT36" s="114"/>
      <c r="BU36" s="142"/>
      <c r="BV36" s="142"/>
      <c r="BW36" s="142"/>
      <c r="BX36" s="114"/>
      <c r="BY36" s="142"/>
      <c r="BZ36" s="142"/>
      <c r="CA36" s="114"/>
      <c r="CB36" s="142"/>
      <c r="CC36" s="173"/>
      <c r="CD36" s="142"/>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row>
    <row r="37" spans="1:108" ht="21" customHeight="1" thickTop="1" thickBot="1">
      <c r="A37" s="455"/>
      <c r="B37" s="456"/>
      <c r="C37" s="456"/>
      <c r="D37" s="456"/>
      <c r="E37" s="482"/>
      <c r="F37" s="456"/>
      <c r="G37" s="456"/>
      <c r="H37" s="456"/>
      <c r="I37" s="456"/>
      <c r="J37" s="455"/>
      <c r="K37" s="455"/>
      <c r="L37" s="512"/>
      <c r="M37" s="510"/>
      <c r="N37" s="194">
        <v>3</v>
      </c>
      <c r="O37" s="223"/>
      <c r="P37" s="196"/>
      <c r="Q37" s="196"/>
      <c r="R37" s="196"/>
      <c r="S37" s="196"/>
      <c r="T37" s="196"/>
      <c r="U37" s="196"/>
      <c r="V37" s="196"/>
      <c r="W37" s="184">
        <f t="shared" si="1"/>
        <v>0</v>
      </c>
      <c r="X37" s="186" t="str">
        <f t="shared" si="0"/>
        <v>DEBIL</v>
      </c>
      <c r="Y37" s="222"/>
      <c r="Z37" s="187" t="str">
        <f t="shared" si="2"/>
        <v/>
      </c>
      <c r="AA37" s="184" t="str">
        <f t="shared" si="3"/>
        <v>SI</v>
      </c>
      <c r="AB37" s="196"/>
      <c r="AC37" s="513"/>
      <c r="AD37" s="513"/>
      <c r="AE37" s="514"/>
      <c r="AF37" s="514"/>
      <c r="AG37" s="515"/>
      <c r="AH37" s="515"/>
      <c r="AI37" s="508"/>
      <c r="AJ37" s="508"/>
      <c r="AK37" s="512"/>
      <c r="AL37" s="510"/>
      <c r="AM37" s="477"/>
      <c r="AN37" s="196"/>
      <c r="AO37" s="194"/>
      <c r="AP37" s="197"/>
      <c r="AQ37" s="114"/>
      <c r="AR37" s="142"/>
      <c r="AS37" s="114"/>
      <c r="AT37" s="142"/>
      <c r="AU37" s="114"/>
      <c r="AV37" s="142"/>
      <c r="AW37" s="114"/>
      <c r="AX37" s="142"/>
      <c r="AY37" s="173"/>
      <c r="AZ37" s="196"/>
      <c r="BA37" s="196"/>
      <c r="BB37" s="194"/>
      <c r="BC37" s="197"/>
      <c r="BD37" s="197"/>
      <c r="BE37" s="142"/>
      <c r="BF37" s="142"/>
      <c r="BG37" s="173"/>
      <c r="BH37" s="114"/>
      <c r="BI37" s="114"/>
      <c r="BJ37" s="142"/>
      <c r="BK37" s="142"/>
      <c r="BL37" s="173"/>
      <c r="BM37" s="114"/>
      <c r="BN37" s="114"/>
      <c r="BO37" s="142"/>
      <c r="BP37" s="142"/>
      <c r="BQ37" s="173"/>
      <c r="BR37" s="114"/>
      <c r="BS37" s="114"/>
      <c r="BT37" s="114"/>
      <c r="BU37" s="142"/>
      <c r="BV37" s="142"/>
      <c r="BW37" s="142"/>
      <c r="BX37" s="114"/>
      <c r="BY37" s="142"/>
      <c r="BZ37" s="142"/>
      <c r="CA37" s="114"/>
      <c r="CB37" s="142"/>
      <c r="CC37" s="173"/>
      <c r="CD37" s="142"/>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row>
    <row r="38" spans="1:108" ht="21" customHeight="1" thickTop="1" thickBot="1">
      <c r="A38" s="455"/>
      <c r="B38" s="456"/>
      <c r="C38" s="456"/>
      <c r="D38" s="456"/>
      <c r="E38" s="482"/>
      <c r="F38" s="456"/>
      <c r="G38" s="456"/>
      <c r="H38" s="456"/>
      <c r="I38" s="456"/>
      <c r="J38" s="455"/>
      <c r="K38" s="455"/>
      <c r="L38" s="512"/>
      <c r="M38" s="510"/>
      <c r="N38" s="194">
        <v>4</v>
      </c>
      <c r="O38" s="205"/>
      <c r="P38" s="196"/>
      <c r="Q38" s="196"/>
      <c r="R38" s="196"/>
      <c r="S38" s="196"/>
      <c r="T38" s="196"/>
      <c r="U38" s="196"/>
      <c r="V38" s="196"/>
      <c r="W38" s="184">
        <f t="shared" si="1"/>
        <v>0</v>
      </c>
      <c r="X38" s="186" t="str">
        <f t="shared" si="0"/>
        <v>DEBIL</v>
      </c>
      <c r="Y38" s="222"/>
      <c r="Z38" s="187" t="str">
        <f t="shared" si="2"/>
        <v/>
      </c>
      <c r="AA38" s="184" t="str">
        <f t="shared" si="3"/>
        <v>SI</v>
      </c>
      <c r="AB38" s="196"/>
      <c r="AC38" s="513"/>
      <c r="AD38" s="513"/>
      <c r="AE38" s="514"/>
      <c r="AF38" s="514"/>
      <c r="AG38" s="515"/>
      <c r="AH38" s="515"/>
      <c r="AI38" s="508"/>
      <c r="AJ38" s="508"/>
      <c r="AK38" s="512"/>
      <c r="AL38" s="510"/>
      <c r="AM38" s="477"/>
      <c r="AN38" s="196"/>
      <c r="AO38" s="194"/>
      <c r="AP38" s="197"/>
      <c r="AQ38" s="114"/>
      <c r="AR38" s="142"/>
      <c r="AS38" s="114"/>
      <c r="AT38" s="142"/>
      <c r="AU38" s="114"/>
      <c r="AV38" s="142"/>
      <c r="AW38" s="114"/>
      <c r="AX38" s="142"/>
      <c r="AY38" s="173"/>
      <c r="AZ38" s="196"/>
      <c r="BA38" s="196"/>
      <c r="BB38" s="194"/>
      <c r="BC38" s="197"/>
      <c r="BD38" s="197"/>
      <c r="BE38" s="142"/>
      <c r="BF38" s="142"/>
      <c r="BG38" s="173"/>
      <c r="BH38" s="114"/>
      <c r="BI38" s="114"/>
      <c r="BJ38" s="142"/>
      <c r="BK38" s="142"/>
      <c r="BL38" s="173"/>
      <c r="BM38" s="114"/>
      <c r="BN38" s="114"/>
      <c r="BO38" s="142"/>
      <c r="BP38" s="142"/>
      <c r="BQ38" s="173"/>
      <c r="BR38" s="114"/>
      <c r="BS38" s="114"/>
      <c r="BT38" s="114"/>
      <c r="BU38" s="142"/>
      <c r="BV38" s="142"/>
      <c r="BW38" s="142"/>
      <c r="BX38" s="114"/>
      <c r="BY38" s="142"/>
      <c r="BZ38" s="142"/>
      <c r="CA38" s="114"/>
      <c r="CB38" s="142"/>
      <c r="CC38" s="173"/>
      <c r="CD38" s="142"/>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row>
    <row r="39" spans="1:108" ht="21" customHeight="1" thickTop="1" thickBot="1">
      <c r="A39" s="455"/>
      <c r="B39" s="456"/>
      <c r="C39" s="456"/>
      <c r="D39" s="456"/>
      <c r="E39" s="482"/>
      <c r="F39" s="456"/>
      <c r="G39" s="456"/>
      <c r="H39" s="456"/>
      <c r="I39" s="456"/>
      <c r="J39" s="455"/>
      <c r="K39" s="455"/>
      <c r="L39" s="512"/>
      <c r="M39" s="510"/>
      <c r="N39" s="194">
        <v>5</v>
      </c>
      <c r="O39" s="205"/>
      <c r="P39" s="196"/>
      <c r="Q39" s="196"/>
      <c r="R39" s="196"/>
      <c r="S39" s="196"/>
      <c r="T39" s="196"/>
      <c r="U39" s="196"/>
      <c r="V39" s="196"/>
      <c r="W39" s="184">
        <f t="shared" si="1"/>
        <v>0</v>
      </c>
      <c r="X39" s="186" t="str">
        <f t="shared" si="0"/>
        <v>DEBIL</v>
      </c>
      <c r="Y39" s="222"/>
      <c r="Z39" s="187" t="str">
        <f t="shared" si="2"/>
        <v/>
      </c>
      <c r="AA39" s="184" t="str">
        <f t="shared" si="3"/>
        <v>SI</v>
      </c>
      <c r="AB39" s="196"/>
      <c r="AC39" s="513"/>
      <c r="AD39" s="513"/>
      <c r="AE39" s="514"/>
      <c r="AF39" s="514"/>
      <c r="AG39" s="515"/>
      <c r="AH39" s="515"/>
      <c r="AI39" s="508"/>
      <c r="AJ39" s="508"/>
      <c r="AK39" s="512"/>
      <c r="AL39" s="510"/>
      <c r="AM39" s="477"/>
      <c r="AN39" s="196"/>
      <c r="AO39" s="194"/>
      <c r="AP39" s="197"/>
      <c r="AQ39" s="114"/>
      <c r="AR39" s="142"/>
      <c r="AS39" s="114"/>
      <c r="AT39" s="142"/>
      <c r="AU39" s="114"/>
      <c r="AV39" s="142"/>
      <c r="AW39" s="114"/>
      <c r="AX39" s="142"/>
      <c r="AY39" s="173"/>
      <c r="AZ39" s="196"/>
      <c r="BA39" s="196"/>
      <c r="BB39" s="194"/>
      <c r="BC39" s="197"/>
      <c r="BD39" s="197"/>
      <c r="BE39" s="142"/>
      <c r="BF39" s="142"/>
      <c r="BG39" s="173"/>
      <c r="BH39" s="114"/>
      <c r="BI39" s="114"/>
      <c r="BJ39" s="142"/>
      <c r="BK39" s="142"/>
      <c r="BL39" s="173"/>
      <c r="BM39" s="114"/>
      <c r="BN39" s="114"/>
      <c r="BO39" s="142"/>
      <c r="BP39" s="142"/>
      <c r="BQ39" s="173"/>
      <c r="BR39" s="114"/>
      <c r="BS39" s="114"/>
      <c r="BT39" s="114"/>
      <c r="BU39" s="142"/>
      <c r="BV39" s="142"/>
      <c r="BW39" s="142"/>
      <c r="BX39" s="114"/>
      <c r="BY39" s="142"/>
      <c r="BZ39" s="142"/>
      <c r="CA39" s="114"/>
      <c r="CB39" s="142"/>
      <c r="CC39" s="173"/>
      <c r="CD39" s="142"/>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row>
    <row r="40" spans="1:108" ht="21" customHeight="1" thickTop="1" thickBot="1">
      <c r="A40" s="455"/>
      <c r="B40" s="456"/>
      <c r="C40" s="456"/>
      <c r="D40" s="456"/>
      <c r="E40" s="482"/>
      <c r="F40" s="456"/>
      <c r="G40" s="456"/>
      <c r="H40" s="456"/>
      <c r="I40" s="456"/>
      <c r="J40" s="455"/>
      <c r="K40" s="455"/>
      <c r="L40" s="512"/>
      <c r="M40" s="511"/>
      <c r="N40" s="194">
        <v>6</v>
      </c>
      <c r="O40" s="205"/>
      <c r="P40" s="196"/>
      <c r="Q40" s="196"/>
      <c r="R40" s="196"/>
      <c r="S40" s="196"/>
      <c r="T40" s="196"/>
      <c r="U40" s="196"/>
      <c r="V40" s="196"/>
      <c r="W40" s="184">
        <f t="shared" si="1"/>
        <v>0</v>
      </c>
      <c r="X40" s="186" t="str">
        <f t="shared" si="0"/>
        <v>DEBIL</v>
      </c>
      <c r="Y40" s="222"/>
      <c r="Z40" s="187" t="str">
        <f t="shared" si="2"/>
        <v/>
      </c>
      <c r="AA40" s="184" t="str">
        <f t="shared" si="3"/>
        <v>SI</v>
      </c>
      <c r="AB40" s="196"/>
      <c r="AC40" s="513"/>
      <c r="AD40" s="513"/>
      <c r="AE40" s="514"/>
      <c r="AF40" s="514"/>
      <c r="AG40" s="515"/>
      <c r="AH40" s="515"/>
      <c r="AI40" s="508"/>
      <c r="AJ40" s="508"/>
      <c r="AK40" s="512"/>
      <c r="AL40" s="511"/>
      <c r="AM40" s="478"/>
      <c r="AN40" s="196"/>
      <c r="AO40" s="194"/>
      <c r="AP40" s="197"/>
      <c r="AQ40" s="114"/>
      <c r="AR40" s="142"/>
      <c r="AS40" s="114"/>
      <c r="AT40" s="142"/>
      <c r="AU40" s="114"/>
      <c r="AV40" s="142"/>
      <c r="AW40" s="114"/>
      <c r="AX40" s="142"/>
      <c r="AY40" s="173"/>
      <c r="AZ40" s="196"/>
      <c r="BA40" s="196"/>
      <c r="BB40" s="194"/>
      <c r="BC40" s="197"/>
      <c r="BD40" s="197"/>
      <c r="BE40" s="142"/>
      <c r="BF40" s="142"/>
      <c r="BG40" s="173"/>
      <c r="BH40" s="114"/>
      <c r="BI40" s="114"/>
      <c r="BJ40" s="142"/>
      <c r="BK40" s="142"/>
      <c r="BL40" s="173"/>
      <c r="BM40" s="114"/>
      <c r="BN40" s="114"/>
      <c r="BO40" s="142"/>
      <c r="BP40" s="142"/>
      <c r="BQ40" s="173"/>
      <c r="BR40" s="114"/>
      <c r="BS40" s="114"/>
      <c r="BT40" s="114"/>
      <c r="BU40" s="142"/>
      <c r="BV40" s="142"/>
      <c r="BW40" s="142"/>
      <c r="BX40" s="114"/>
      <c r="BY40" s="142"/>
      <c r="BZ40" s="142"/>
      <c r="CA40" s="114"/>
      <c r="CB40" s="142"/>
      <c r="CC40" s="173"/>
      <c r="CD40" s="142"/>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row>
    <row r="41" spans="1:108" ht="21" customHeight="1" thickTop="1" thickBot="1">
      <c r="A41" s="455">
        <v>7</v>
      </c>
      <c r="B41" s="456"/>
      <c r="C41" s="456"/>
      <c r="D41" s="456"/>
      <c r="E41" s="482"/>
      <c r="F41" s="456"/>
      <c r="G41" s="456"/>
      <c r="H41" s="456"/>
      <c r="I41" s="456"/>
      <c r="J41" s="455"/>
      <c r="K41" s="455"/>
      <c r="L41" s="512">
        <f>+(J41*K41)*4</f>
        <v>0</v>
      </c>
      <c r="M41" s="509" t="b">
        <f>IF(OR(AND(J41=3,K41=4),AND(J41=2,K41=5),AND(J41=2,K41=5),AND(L41=20),AND(L41&gt;=52,L41&lt;=100)),"ZONA RIESGO EXTREMA",IF(OR(AND(J41=5,K41=2),AND(J41=4,K41=3),AND(J41=1,K41=4),AND(L41=16),AND(L41&gt;=28,L41&lt;=48)),"ZONA RIESGO ALTA",IF(OR(AND(J41=1,K41=3),AND(J41=4,K41=1),AND(L41=24)),"ZONA RIESGO MODERADA",IF(AND(L41&gt;=4,L41&lt;=16),"ZONA RIESGO BAJA"))))</f>
        <v>0</v>
      </c>
      <c r="N41" s="194">
        <v>1</v>
      </c>
      <c r="O41" s="205"/>
      <c r="P41" s="196"/>
      <c r="Q41" s="196"/>
      <c r="R41" s="196"/>
      <c r="S41" s="196"/>
      <c r="T41" s="196"/>
      <c r="U41" s="196"/>
      <c r="V41" s="196"/>
      <c r="W41" s="184">
        <f t="shared" si="1"/>
        <v>0</v>
      </c>
      <c r="X41" s="186" t="str">
        <f t="shared" si="0"/>
        <v>DEBIL</v>
      </c>
      <c r="Y41" s="222"/>
      <c r="Z41" s="187" t="str">
        <f t="shared" si="2"/>
        <v/>
      </c>
      <c r="AA41" s="184" t="str">
        <f t="shared" si="3"/>
        <v>SI</v>
      </c>
      <c r="AB41" s="196"/>
      <c r="AC41" s="513">
        <f>IF(AND(W41&gt;0,SUM(W42:W46)=0),W41,IF(AND(SUM(W41:W42)&gt;0,SUM(W43:W46)=0),AVERAGE(W41:W42),IF(AND(SUM(W41:W43)&gt;0,SUM(W44:W46)=0),AVERAGE(W41:W43),IF(AND(SUM(W41:W44)&gt;0,SUM(W45:W46)=0),AVERAGE(W41:W44),IF(AND(SUM(W41:W45)&gt;0,W46=0),AVERAGE(W41:W45),AVERAGE(W41:W46))))))</f>
        <v>0</v>
      </c>
      <c r="AD41" s="513" t="str">
        <f>IF(AND(AC41&gt;=50,AC41&lt;=99),"MODERADO",IF(AND(AC41=100), "FUERTE",IF(AND(AC41&lt;50), "DEBIL")))</f>
        <v>DEBIL</v>
      </c>
      <c r="AE41" s="514"/>
      <c r="AF41" s="514"/>
      <c r="AG41" s="515" t="str">
        <f>IFERROR(_xlfn.IFS(AND(AD41="MODERADO",AE41="Directamente"),1,AND(AD41="FUERTE",AE41="Directamente"),2),"0")</f>
        <v>0</v>
      </c>
      <c r="AH41" s="515" t="str">
        <f>IFERROR(_xlfn.IFS(AND(AD41="MODERADO",AF41="Directamente"),1,AND(AD41="FUERTE",AF41="Directamente"),2,AND(AD41="FUERTE",AF41="Indirectamente"),1),"0")</f>
        <v>0</v>
      </c>
      <c r="AI41" s="508"/>
      <c r="AJ41" s="508"/>
      <c r="AK41" s="512">
        <f>+(AI41*AJ41)*4</f>
        <v>0</v>
      </c>
      <c r="AL41" s="509"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516"/>
      <c r="AN41" s="196"/>
      <c r="AO41" s="194"/>
      <c r="AP41" s="197"/>
      <c r="AQ41" s="114"/>
      <c r="AR41" s="142"/>
      <c r="AS41" s="114"/>
      <c r="AT41" s="142"/>
      <c r="AU41" s="114"/>
      <c r="AV41" s="142"/>
      <c r="AW41" s="114"/>
      <c r="AX41" s="142"/>
      <c r="AY41" s="173"/>
      <c r="AZ41" s="196"/>
      <c r="BA41" s="196"/>
      <c r="BB41" s="194"/>
      <c r="BC41" s="197"/>
      <c r="BD41" s="197"/>
      <c r="BE41" s="142"/>
      <c r="BF41" s="142"/>
      <c r="BG41" s="173"/>
      <c r="BH41" s="114"/>
      <c r="BI41" s="114"/>
      <c r="BJ41" s="142"/>
      <c r="BK41" s="142"/>
      <c r="BL41" s="173"/>
      <c r="BM41" s="114"/>
      <c r="BN41" s="114"/>
      <c r="BO41" s="142"/>
      <c r="BP41" s="142"/>
      <c r="BQ41" s="173"/>
      <c r="BR41" s="114"/>
      <c r="BS41" s="114"/>
      <c r="BT41" s="114"/>
      <c r="BU41" s="142"/>
      <c r="BV41" s="142"/>
      <c r="BW41" s="142"/>
      <c r="BX41" s="114"/>
      <c r="BY41" s="142"/>
      <c r="BZ41" s="142"/>
      <c r="CA41" s="114"/>
      <c r="CB41" s="142"/>
      <c r="CC41" s="173"/>
      <c r="CD41" s="142"/>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c r="DC41" s="144"/>
      <c r="DD41" s="144"/>
    </row>
    <row r="42" spans="1:108" ht="21" customHeight="1" thickTop="1" thickBot="1">
      <c r="A42" s="455"/>
      <c r="B42" s="456"/>
      <c r="C42" s="456"/>
      <c r="D42" s="456"/>
      <c r="E42" s="482"/>
      <c r="F42" s="456"/>
      <c r="G42" s="456"/>
      <c r="H42" s="456"/>
      <c r="I42" s="456"/>
      <c r="J42" s="455"/>
      <c r="K42" s="455"/>
      <c r="L42" s="512"/>
      <c r="M42" s="510"/>
      <c r="N42" s="194">
        <v>2</v>
      </c>
      <c r="O42" s="205"/>
      <c r="P42" s="196"/>
      <c r="Q42" s="196"/>
      <c r="R42" s="196"/>
      <c r="S42" s="196"/>
      <c r="T42" s="196"/>
      <c r="U42" s="196"/>
      <c r="V42" s="196"/>
      <c r="W42" s="184">
        <f t="shared" si="1"/>
        <v>0</v>
      </c>
      <c r="X42" s="186" t="str">
        <f t="shared" si="0"/>
        <v>DEBIL</v>
      </c>
      <c r="Y42" s="222"/>
      <c r="Z42" s="187" t="str">
        <f t="shared" si="2"/>
        <v/>
      </c>
      <c r="AA42" s="184" t="str">
        <f t="shared" si="3"/>
        <v>SI</v>
      </c>
      <c r="AB42" s="196"/>
      <c r="AC42" s="513"/>
      <c r="AD42" s="513"/>
      <c r="AE42" s="514"/>
      <c r="AF42" s="514"/>
      <c r="AG42" s="515"/>
      <c r="AH42" s="515"/>
      <c r="AI42" s="508"/>
      <c r="AJ42" s="508"/>
      <c r="AK42" s="512"/>
      <c r="AL42" s="510"/>
      <c r="AM42" s="477"/>
      <c r="AN42" s="196"/>
      <c r="AO42" s="194"/>
      <c r="AP42" s="197"/>
      <c r="AQ42" s="114"/>
      <c r="AR42" s="142"/>
      <c r="AS42" s="114"/>
      <c r="AT42" s="142"/>
      <c r="AU42" s="114"/>
      <c r="AV42" s="142"/>
      <c r="AW42" s="114"/>
      <c r="AX42" s="142"/>
      <c r="AY42" s="173"/>
      <c r="AZ42" s="196"/>
      <c r="BA42" s="196"/>
      <c r="BB42" s="194"/>
      <c r="BC42" s="197"/>
      <c r="BD42" s="197"/>
      <c r="BE42" s="142"/>
      <c r="BF42" s="142"/>
      <c r="BG42" s="173"/>
      <c r="BH42" s="114"/>
      <c r="BI42" s="114"/>
      <c r="BJ42" s="142"/>
      <c r="BK42" s="142"/>
      <c r="BL42" s="173"/>
      <c r="BM42" s="114"/>
      <c r="BN42" s="114"/>
      <c r="BO42" s="142"/>
      <c r="BP42" s="142"/>
      <c r="BQ42" s="173"/>
      <c r="BR42" s="114"/>
      <c r="BS42" s="114"/>
      <c r="BT42" s="114"/>
      <c r="BU42" s="142"/>
      <c r="BV42" s="142"/>
      <c r="BW42" s="142"/>
      <c r="BX42" s="114"/>
      <c r="BY42" s="142"/>
      <c r="BZ42" s="142"/>
      <c r="CA42" s="114"/>
      <c r="CB42" s="142"/>
      <c r="CC42" s="173"/>
      <c r="CD42" s="142"/>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row>
    <row r="43" spans="1:108" ht="21" customHeight="1" thickTop="1" thickBot="1">
      <c r="A43" s="455"/>
      <c r="B43" s="456"/>
      <c r="C43" s="456"/>
      <c r="D43" s="456"/>
      <c r="E43" s="482"/>
      <c r="F43" s="456"/>
      <c r="G43" s="456"/>
      <c r="H43" s="456"/>
      <c r="I43" s="456"/>
      <c r="J43" s="455"/>
      <c r="K43" s="455"/>
      <c r="L43" s="512"/>
      <c r="M43" s="510"/>
      <c r="N43" s="194">
        <v>3</v>
      </c>
      <c r="O43" s="223"/>
      <c r="P43" s="196"/>
      <c r="Q43" s="196"/>
      <c r="R43" s="196"/>
      <c r="S43" s="196"/>
      <c r="T43" s="196"/>
      <c r="U43" s="196"/>
      <c r="V43" s="196"/>
      <c r="W43" s="184">
        <f t="shared" si="1"/>
        <v>0</v>
      </c>
      <c r="X43" s="186" t="str">
        <f t="shared" si="0"/>
        <v>DEBIL</v>
      </c>
      <c r="Y43" s="222"/>
      <c r="Z43" s="187" t="str">
        <f t="shared" si="2"/>
        <v/>
      </c>
      <c r="AA43" s="184" t="str">
        <f t="shared" si="3"/>
        <v>SI</v>
      </c>
      <c r="AB43" s="196"/>
      <c r="AC43" s="513"/>
      <c r="AD43" s="513"/>
      <c r="AE43" s="514"/>
      <c r="AF43" s="514"/>
      <c r="AG43" s="515"/>
      <c r="AH43" s="515"/>
      <c r="AI43" s="508"/>
      <c r="AJ43" s="508"/>
      <c r="AK43" s="512"/>
      <c r="AL43" s="510"/>
      <c r="AM43" s="477"/>
      <c r="AN43" s="196"/>
      <c r="AO43" s="194"/>
      <c r="AP43" s="197"/>
      <c r="AQ43" s="114"/>
      <c r="AR43" s="142"/>
      <c r="AS43" s="114"/>
      <c r="AT43" s="142"/>
      <c r="AU43" s="114"/>
      <c r="AV43" s="142"/>
      <c r="AW43" s="114"/>
      <c r="AX43" s="142"/>
      <c r="AY43" s="173"/>
      <c r="AZ43" s="196"/>
      <c r="BA43" s="196"/>
      <c r="BB43" s="194"/>
      <c r="BC43" s="197"/>
      <c r="BD43" s="197"/>
      <c r="BE43" s="142"/>
      <c r="BF43" s="142"/>
      <c r="BG43" s="173"/>
      <c r="BH43" s="114"/>
      <c r="BI43" s="114"/>
      <c r="BJ43" s="142"/>
      <c r="BK43" s="142"/>
      <c r="BL43" s="173"/>
      <c r="BM43" s="114"/>
      <c r="BN43" s="114"/>
      <c r="BO43" s="142"/>
      <c r="BP43" s="142"/>
      <c r="BQ43" s="173"/>
      <c r="BR43" s="114"/>
      <c r="BS43" s="114"/>
      <c r="BT43" s="114"/>
      <c r="BU43" s="142"/>
      <c r="BV43" s="142"/>
      <c r="BW43" s="142"/>
      <c r="BX43" s="114"/>
      <c r="BY43" s="142"/>
      <c r="BZ43" s="142"/>
      <c r="CA43" s="114"/>
      <c r="CB43" s="142"/>
      <c r="CC43" s="173"/>
      <c r="CD43" s="142"/>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row>
    <row r="44" spans="1:108" ht="21" customHeight="1" thickTop="1" thickBot="1">
      <c r="A44" s="455"/>
      <c r="B44" s="456"/>
      <c r="C44" s="456"/>
      <c r="D44" s="456"/>
      <c r="E44" s="482"/>
      <c r="F44" s="456"/>
      <c r="G44" s="456"/>
      <c r="H44" s="456"/>
      <c r="I44" s="456"/>
      <c r="J44" s="455"/>
      <c r="K44" s="455"/>
      <c r="L44" s="512"/>
      <c r="M44" s="510"/>
      <c r="N44" s="194">
        <v>4</v>
      </c>
      <c r="O44" s="205"/>
      <c r="P44" s="196"/>
      <c r="Q44" s="196"/>
      <c r="R44" s="196"/>
      <c r="S44" s="196"/>
      <c r="T44" s="196"/>
      <c r="U44" s="196"/>
      <c r="V44" s="196"/>
      <c r="W44" s="184">
        <f t="shared" si="1"/>
        <v>0</v>
      </c>
      <c r="X44" s="186" t="str">
        <f t="shared" si="0"/>
        <v>DEBIL</v>
      </c>
      <c r="Y44" s="222"/>
      <c r="Z44" s="187" t="str">
        <f t="shared" si="2"/>
        <v/>
      </c>
      <c r="AA44" s="184" t="str">
        <f t="shared" si="3"/>
        <v>SI</v>
      </c>
      <c r="AB44" s="196"/>
      <c r="AC44" s="513"/>
      <c r="AD44" s="513"/>
      <c r="AE44" s="514"/>
      <c r="AF44" s="514"/>
      <c r="AG44" s="515"/>
      <c r="AH44" s="515"/>
      <c r="AI44" s="508"/>
      <c r="AJ44" s="508"/>
      <c r="AK44" s="512"/>
      <c r="AL44" s="510"/>
      <c r="AM44" s="477"/>
      <c r="AN44" s="196"/>
      <c r="AO44" s="194"/>
      <c r="AP44" s="197"/>
      <c r="AQ44" s="114"/>
      <c r="AR44" s="142"/>
      <c r="AS44" s="114"/>
      <c r="AT44" s="142"/>
      <c r="AU44" s="114"/>
      <c r="AV44" s="142"/>
      <c r="AW44" s="114"/>
      <c r="AX44" s="142"/>
      <c r="AY44" s="173"/>
      <c r="AZ44" s="196"/>
      <c r="BA44" s="196"/>
      <c r="BB44" s="194"/>
      <c r="BC44" s="197"/>
      <c r="BD44" s="197"/>
      <c r="BE44" s="142"/>
      <c r="BF44" s="142"/>
      <c r="BG44" s="173"/>
      <c r="BH44" s="114"/>
      <c r="BI44" s="114"/>
      <c r="BJ44" s="142"/>
      <c r="BK44" s="142"/>
      <c r="BL44" s="173"/>
      <c r="BM44" s="114"/>
      <c r="BN44" s="114"/>
      <c r="BO44" s="142"/>
      <c r="BP44" s="142"/>
      <c r="BQ44" s="173"/>
      <c r="BR44" s="114"/>
      <c r="BS44" s="114"/>
      <c r="BT44" s="114"/>
      <c r="BU44" s="142"/>
      <c r="BV44" s="142"/>
      <c r="BW44" s="142"/>
      <c r="BX44" s="114"/>
      <c r="BY44" s="142"/>
      <c r="BZ44" s="142"/>
      <c r="CA44" s="114"/>
      <c r="CB44" s="142"/>
      <c r="CC44" s="173"/>
      <c r="CD44" s="142"/>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c r="DC44" s="144"/>
      <c r="DD44" s="144"/>
    </row>
    <row r="45" spans="1:108" ht="21" customHeight="1" thickTop="1" thickBot="1">
      <c r="A45" s="455"/>
      <c r="B45" s="456"/>
      <c r="C45" s="456"/>
      <c r="D45" s="456"/>
      <c r="E45" s="482"/>
      <c r="F45" s="456"/>
      <c r="G45" s="456"/>
      <c r="H45" s="456"/>
      <c r="I45" s="456"/>
      <c r="J45" s="455"/>
      <c r="K45" s="455"/>
      <c r="L45" s="512"/>
      <c r="M45" s="510"/>
      <c r="N45" s="194">
        <v>5</v>
      </c>
      <c r="O45" s="205"/>
      <c r="P45" s="196"/>
      <c r="Q45" s="196"/>
      <c r="R45" s="196"/>
      <c r="S45" s="196"/>
      <c r="T45" s="196"/>
      <c r="U45" s="196"/>
      <c r="V45" s="196"/>
      <c r="W45" s="184">
        <f t="shared" si="1"/>
        <v>0</v>
      </c>
      <c r="X45" s="186" t="str">
        <f t="shared" si="0"/>
        <v>DEBIL</v>
      </c>
      <c r="Y45" s="222"/>
      <c r="Z45" s="187" t="str">
        <f t="shared" si="2"/>
        <v/>
      </c>
      <c r="AA45" s="184" t="str">
        <f t="shared" si="3"/>
        <v>SI</v>
      </c>
      <c r="AB45" s="196"/>
      <c r="AC45" s="513"/>
      <c r="AD45" s="513"/>
      <c r="AE45" s="514"/>
      <c r="AF45" s="514"/>
      <c r="AG45" s="515"/>
      <c r="AH45" s="515"/>
      <c r="AI45" s="508"/>
      <c r="AJ45" s="508"/>
      <c r="AK45" s="512"/>
      <c r="AL45" s="510"/>
      <c r="AM45" s="477"/>
      <c r="AN45" s="196"/>
      <c r="AO45" s="194"/>
      <c r="AP45" s="197"/>
      <c r="AQ45" s="114"/>
      <c r="AR45" s="142"/>
      <c r="AS45" s="114"/>
      <c r="AT45" s="142"/>
      <c r="AU45" s="114"/>
      <c r="AV45" s="142"/>
      <c r="AW45" s="114"/>
      <c r="AX45" s="142"/>
      <c r="AY45" s="173"/>
      <c r="AZ45" s="196"/>
      <c r="BA45" s="196"/>
      <c r="BB45" s="194"/>
      <c r="BC45" s="197"/>
      <c r="BD45" s="197"/>
      <c r="BE45" s="142"/>
      <c r="BF45" s="142"/>
      <c r="BG45" s="173"/>
      <c r="BH45" s="114"/>
      <c r="BI45" s="114"/>
      <c r="BJ45" s="142"/>
      <c r="BK45" s="142"/>
      <c r="BL45" s="173"/>
      <c r="BM45" s="114"/>
      <c r="BN45" s="114"/>
      <c r="BO45" s="142"/>
      <c r="BP45" s="142"/>
      <c r="BQ45" s="173"/>
      <c r="BR45" s="114"/>
      <c r="BS45" s="114"/>
      <c r="BT45" s="114"/>
      <c r="BU45" s="142"/>
      <c r="BV45" s="142"/>
      <c r="BW45" s="142"/>
      <c r="BX45" s="114"/>
      <c r="BY45" s="142"/>
      <c r="BZ45" s="142"/>
      <c r="CA45" s="114"/>
      <c r="CB45" s="142"/>
      <c r="CC45" s="173"/>
      <c r="CD45" s="142"/>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c r="DC45" s="144"/>
      <c r="DD45" s="144"/>
    </row>
    <row r="46" spans="1:108" ht="21" customHeight="1" thickTop="1" thickBot="1">
      <c r="A46" s="455"/>
      <c r="B46" s="456"/>
      <c r="C46" s="456"/>
      <c r="D46" s="456"/>
      <c r="E46" s="482"/>
      <c r="F46" s="456"/>
      <c r="G46" s="456"/>
      <c r="H46" s="456"/>
      <c r="I46" s="456"/>
      <c r="J46" s="455"/>
      <c r="K46" s="455"/>
      <c r="L46" s="512"/>
      <c r="M46" s="511"/>
      <c r="N46" s="194">
        <v>6</v>
      </c>
      <c r="O46" s="205"/>
      <c r="P46" s="196"/>
      <c r="Q46" s="196"/>
      <c r="R46" s="196"/>
      <c r="S46" s="196"/>
      <c r="T46" s="196"/>
      <c r="U46" s="196"/>
      <c r="V46" s="196"/>
      <c r="W46" s="184">
        <f t="shared" si="1"/>
        <v>0</v>
      </c>
      <c r="X46" s="186" t="str">
        <f t="shared" si="0"/>
        <v>DEBIL</v>
      </c>
      <c r="Y46" s="222"/>
      <c r="Z46" s="187" t="str">
        <f t="shared" si="2"/>
        <v/>
      </c>
      <c r="AA46" s="184" t="str">
        <f t="shared" si="3"/>
        <v>SI</v>
      </c>
      <c r="AB46" s="196"/>
      <c r="AC46" s="513"/>
      <c r="AD46" s="513"/>
      <c r="AE46" s="514"/>
      <c r="AF46" s="514"/>
      <c r="AG46" s="515"/>
      <c r="AH46" s="515"/>
      <c r="AI46" s="508"/>
      <c r="AJ46" s="508"/>
      <c r="AK46" s="512"/>
      <c r="AL46" s="511"/>
      <c r="AM46" s="478"/>
      <c r="AN46" s="196"/>
      <c r="AO46" s="194"/>
      <c r="AP46" s="197"/>
      <c r="AQ46" s="114"/>
      <c r="AR46" s="142"/>
      <c r="AS46" s="114"/>
      <c r="AT46" s="142"/>
      <c r="AU46" s="114"/>
      <c r="AV46" s="142"/>
      <c r="AW46" s="114"/>
      <c r="AX46" s="142"/>
      <c r="AY46" s="173"/>
      <c r="AZ46" s="196"/>
      <c r="BA46" s="196"/>
      <c r="BB46" s="194"/>
      <c r="BC46" s="197"/>
      <c r="BD46" s="197"/>
      <c r="BE46" s="142"/>
      <c r="BF46" s="142"/>
      <c r="BG46" s="173"/>
      <c r="BH46" s="114"/>
      <c r="BI46" s="114"/>
      <c r="BJ46" s="142"/>
      <c r="BK46" s="142"/>
      <c r="BL46" s="173"/>
      <c r="BM46" s="114"/>
      <c r="BN46" s="114"/>
      <c r="BO46" s="142"/>
      <c r="BP46" s="142"/>
      <c r="BQ46" s="173"/>
      <c r="BR46" s="114"/>
      <c r="BS46" s="114"/>
      <c r="BT46" s="114"/>
      <c r="BU46" s="142"/>
      <c r="BV46" s="142"/>
      <c r="BW46" s="142"/>
      <c r="BX46" s="114"/>
      <c r="BY46" s="142"/>
      <c r="BZ46" s="142"/>
      <c r="CA46" s="114"/>
      <c r="CB46" s="142"/>
      <c r="CC46" s="173"/>
      <c r="CD46" s="142"/>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row>
    <row r="47" spans="1:108" ht="21" customHeight="1" thickTop="1" thickBot="1">
      <c r="A47" s="455">
        <v>8</v>
      </c>
      <c r="B47" s="456"/>
      <c r="C47" s="456"/>
      <c r="D47" s="456"/>
      <c r="E47" s="482"/>
      <c r="F47" s="456"/>
      <c r="G47" s="456"/>
      <c r="H47" s="456"/>
      <c r="I47" s="456"/>
      <c r="J47" s="455"/>
      <c r="K47" s="455"/>
      <c r="L47" s="512">
        <f>+(J47*K47)*4</f>
        <v>0</v>
      </c>
      <c r="M47" s="509" t="b">
        <f>IF(OR(AND(J47=3,K47=4),AND(J47=2,K47=5),AND(J47=2,K47=5),AND(L47=20),AND(L47&gt;=52,L47&lt;=100)),"ZONA RIESGO EXTREMA",IF(OR(AND(J47=5,K47=2),AND(J47=4,K47=3),AND(J47=1,K47=4),AND(L47=16),AND(L47&gt;=28,L47&lt;=48)),"ZONA RIESGO ALTA",IF(OR(AND(J47=1,K47=3),AND(J47=4,K47=1),AND(L47=24)),"ZONA RIESGO MODERADA",IF(AND(L47&gt;=4,L47&lt;=16),"ZONA RIESGO BAJA"))))</f>
        <v>0</v>
      </c>
      <c r="N47" s="194">
        <v>1</v>
      </c>
      <c r="O47" s="205"/>
      <c r="P47" s="196"/>
      <c r="Q47" s="196"/>
      <c r="R47" s="196"/>
      <c r="S47" s="196"/>
      <c r="T47" s="196"/>
      <c r="U47" s="196"/>
      <c r="V47" s="196"/>
      <c r="W47" s="184">
        <f t="shared" si="1"/>
        <v>0</v>
      </c>
      <c r="X47" s="186" t="str">
        <f t="shared" si="0"/>
        <v>DEBIL</v>
      </c>
      <c r="Y47" s="222"/>
      <c r="Z47" s="187" t="str">
        <f t="shared" si="2"/>
        <v/>
      </c>
      <c r="AA47" s="184" t="str">
        <f t="shared" si="3"/>
        <v>SI</v>
      </c>
      <c r="AB47" s="196"/>
      <c r="AC47" s="513">
        <f>IF(AND(W47&gt;0,SUM(W48:W52)=0),W47,IF(AND(SUM(W47:W48)&gt;0,SUM(W49:W52)=0),AVERAGE(W47:W48),IF(AND(SUM(W47:W49)&gt;0,SUM(W50:W52)=0),AVERAGE(W47:W49),IF(AND(SUM(W47:W50)&gt;0,SUM(W51:W52)=0),AVERAGE(W47:W50),IF(AND(SUM(W47:W51)&gt;0,W52=0),AVERAGE(W47:W51),AVERAGE(W47:W52))))))</f>
        <v>0</v>
      </c>
      <c r="AD47" s="513" t="str">
        <f>IF(AND(AC47&gt;=50,AC47&lt;=99),"MODERADO",IF(AND(AC47=100), "FUERTE",IF(AND(AC47&lt;50), "DEBIL")))</f>
        <v>DEBIL</v>
      </c>
      <c r="AE47" s="514"/>
      <c r="AF47" s="514"/>
      <c r="AG47" s="515" t="str">
        <f>IFERROR(_xlfn.IFS(AND(AD47="MODERADO",AE47="Directamente"),1,AND(AD47="FUERTE",AE47="Directamente"),2),"0")</f>
        <v>0</v>
      </c>
      <c r="AH47" s="515" t="str">
        <f>IFERROR(_xlfn.IFS(AND(AD47="MODERADO",AF47="Directamente"),1,AND(AD47="FUERTE",AF47="Directamente"),2,AND(AD47="FUERTE",AF47="Indirectamente"),1),"0")</f>
        <v>0</v>
      </c>
      <c r="AI47" s="508"/>
      <c r="AJ47" s="508"/>
      <c r="AK47" s="512">
        <f>+(AI47*AJ47)*4</f>
        <v>0</v>
      </c>
      <c r="AL47" s="509"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516"/>
      <c r="AN47" s="196"/>
      <c r="AO47" s="194"/>
      <c r="AP47" s="197"/>
      <c r="AQ47" s="114"/>
      <c r="AR47" s="142"/>
      <c r="AS47" s="114"/>
      <c r="AT47" s="142"/>
      <c r="AU47" s="114"/>
      <c r="AV47" s="142"/>
      <c r="AW47" s="114"/>
      <c r="AX47" s="142"/>
      <c r="AY47" s="173"/>
      <c r="AZ47" s="196"/>
      <c r="BA47" s="196"/>
      <c r="BB47" s="194"/>
      <c r="BC47" s="197"/>
      <c r="BD47" s="197"/>
      <c r="BE47" s="142"/>
      <c r="BF47" s="142"/>
      <c r="BG47" s="173"/>
      <c r="BH47" s="114"/>
      <c r="BI47" s="114"/>
      <c r="BJ47" s="142"/>
      <c r="BK47" s="142"/>
      <c r="BL47" s="173"/>
      <c r="BM47" s="114"/>
      <c r="BN47" s="114"/>
      <c r="BO47" s="142"/>
      <c r="BP47" s="142"/>
      <c r="BQ47" s="173"/>
      <c r="BR47" s="114"/>
      <c r="BS47" s="114"/>
      <c r="BT47" s="114"/>
      <c r="BU47" s="142"/>
      <c r="BV47" s="142"/>
      <c r="BW47" s="142"/>
      <c r="BX47" s="114"/>
      <c r="BY47" s="142"/>
      <c r="BZ47" s="142"/>
      <c r="CA47" s="114"/>
      <c r="CB47" s="142"/>
      <c r="CC47" s="173"/>
      <c r="CD47" s="142"/>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c r="DC47" s="144"/>
      <c r="DD47" s="144"/>
    </row>
    <row r="48" spans="1:108" ht="21" customHeight="1" thickTop="1" thickBot="1">
      <c r="A48" s="455"/>
      <c r="B48" s="456"/>
      <c r="C48" s="456"/>
      <c r="D48" s="456"/>
      <c r="E48" s="482"/>
      <c r="F48" s="456"/>
      <c r="G48" s="456"/>
      <c r="H48" s="456"/>
      <c r="I48" s="456"/>
      <c r="J48" s="455"/>
      <c r="K48" s="455"/>
      <c r="L48" s="512"/>
      <c r="M48" s="510"/>
      <c r="N48" s="194">
        <v>2</v>
      </c>
      <c r="O48" s="205"/>
      <c r="P48" s="196"/>
      <c r="Q48" s="196"/>
      <c r="R48" s="196"/>
      <c r="S48" s="196"/>
      <c r="T48" s="196"/>
      <c r="U48" s="196"/>
      <c r="V48" s="196"/>
      <c r="W48" s="184">
        <f t="shared" si="1"/>
        <v>0</v>
      </c>
      <c r="X48" s="186" t="str">
        <f t="shared" si="0"/>
        <v>DEBIL</v>
      </c>
      <c r="Y48" s="222"/>
      <c r="Z48" s="187" t="str">
        <f t="shared" si="2"/>
        <v/>
      </c>
      <c r="AA48" s="184" t="str">
        <f t="shared" si="3"/>
        <v>SI</v>
      </c>
      <c r="AB48" s="196"/>
      <c r="AC48" s="513"/>
      <c r="AD48" s="513"/>
      <c r="AE48" s="514"/>
      <c r="AF48" s="514"/>
      <c r="AG48" s="515"/>
      <c r="AH48" s="515"/>
      <c r="AI48" s="508"/>
      <c r="AJ48" s="508"/>
      <c r="AK48" s="512"/>
      <c r="AL48" s="510"/>
      <c r="AM48" s="477"/>
      <c r="AN48" s="196"/>
      <c r="AO48" s="194"/>
      <c r="AP48" s="197"/>
      <c r="AQ48" s="114"/>
      <c r="AR48" s="142"/>
      <c r="AS48" s="114"/>
      <c r="AT48" s="142"/>
      <c r="AU48" s="114"/>
      <c r="AV48" s="142"/>
      <c r="AW48" s="114"/>
      <c r="AX48" s="142"/>
      <c r="AY48" s="173"/>
      <c r="AZ48" s="196"/>
      <c r="BA48" s="196"/>
      <c r="BB48" s="194"/>
      <c r="BC48" s="197"/>
      <c r="BD48" s="197"/>
      <c r="BE48" s="142"/>
      <c r="BF48" s="142"/>
      <c r="BG48" s="173"/>
      <c r="BH48" s="114"/>
      <c r="BI48" s="114"/>
      <c r="BJ48" s="142"/>
      <c r="BK48" s="142"/>
      <c r="BL48" s="173"/>
      <c r="BM48" s="114"/>
      <c r="BN48" s="114"/>
      <c r="BO48" s="142"/>
      <c r="BP48" s="142"/>
      <c r="BQ48" s="173"/>
      <c r="BR48" s="114"/>
      <c r="BS48" s="114"/>
      <c r="BT48" s="114"/>
      <c r="BU48" s="142"/>
      <c r="BV48" s="142"/>
      <c r="BW48" s="142"/>
      <c r="BX48" s="114"/>
      <c r="BY48" s="142"/>
      <c r="BZ48" s="142"/>
      <c r="CA48" s="114"/>
      <c r="CB48" s="142"/>
      <c r="CC48" s="173"/>
      <c r="CD48" s="142"/>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c r="DC48" s="144"/>
      <c r="DD48" s="144"/>
    </row>
    <row r="49" spans="1:108" ht="21" customHeight="1" thickTop="1" thickBot="1">
      <c r="A49" s="455"/>
      <c r="B49" s="456"/>
      <c r="C49" s="456"/>
      <c r="D49" s="456"/>
      <c r="E49" s="482"/>
      <c r="F49" s="456"/>
      <c r="G49" s="456"/>
      <c r="H49" s="456"/>
      <c r="I49" s="456"/>
      <c r="J49" s="455"/>
      <c r="K49" s="455"/>
      <c r="L49" s="512"/>
      <c r="M49" s="510"/>
      <c r="N49" s="194">
        <v>3</v>
      </c>
      <c r="O49" s="223"/>
      <c r="P49" s="196"/>
      <c r="Q49" s="196"/>
      <c r="R49" s="196"/>
      <c r="S49" s="196"/>
      <c r="T49" s="196"/>
      <c r="U49" s="196"/>
      <c r="V49" s="196"/>
      <c r="W49" s="184">
        <f t="shared" si="1"/>
        <v>0</v>
      </c>
      <c r="X49" s="186" t="str">
        <f t="shared" si="0"/>
        <v>DEBIL</v>
      </c>
      <c r="Y49" s="222"/>
      <c r="Z49" s="187" t="str">
        <f t="shared" si="2"/>
        <v/>
      </c>
      <c r="AA49" s="184" t="str">
        <f t="shared" si="3"/>
        <v>SI</v>
      </c>
      <c r="AB49" s="196"/>
      <c r="AC49" s="513"/>
      <c r="AD49" s="513"/>
      <c r="AE49" s="514"/>
      <c r="AF49" s="514"/>
      <c r="AG49" s="515"/>
      <c r="AH49" s="515"/>
      <c r="AI49" s="508"/>
      <c r="AJ49" s="508"/>
      <c r="AK49" s="512"/>
      <c r="AL49" s="510"/>
      <c r="AM49" s="477"/>
      <c r="AN49" s="196"/>
      <c r="AO49" s="194"/>
      <c r="AP49" s="197"/>
      <c r="AQ49" s="114"/>
      <c r="AR49" s="142"/>
      <c r="AS49" s="114"/>
      <c r="AT49" s="142"/>
      <c r="AU49" s="114"/>
      <c r="AV49" s="142"/>
      <c r="AW49" s="114"/>
      <c r="AX49" s="142"/>
      <c r="AY49" s="173"/>
      <c r="AZ49" s="196"/>
      <c r="BA49" s="196"/>
      <c r="BB49" s="194"/>
      <c r="BC49" s="197"/>
      <c r="BD49" s="197"/>
      <c r="BE49" s="142"/>
      <c r="BF49" s="142"/>
      <c r="BG49" s="173"/>
      <c r="BH49" s="114"/>
      <c r="BI49" s="114"/>
      <c r="BJ49" s="142"/>
      <c r="BK49" s="142"/>
      <c r="BL49" s="173"/>
      <c r="BM49" s="114"/>
      <c r="BN49" s="114"/>
      <c r="BO49" s="142"/>
      <c r="BP49" s="142"/>
      <c r="BQ49" s="173"/>
      <c r="BR49" s="114"/>
      <c r="BS49" s="114"/>
      <c r="BT49" s="114"/>
      <c r="BU49" s="142"/>
      <c r="BV49" s="142"/>
      <c r="BW49" s="142"/>
      <c r="BX49" s="114"/>
      <c r="BY49" s="142"/>
      <c r="BZ49" s="142"/>
      <c r="CA49" s="114"/>
      <c r="CB49" s="142"/>
      <c r="CC49" s="173"/>
      <c r="CD49" s="142"/>
      <c r="CE49" s="144"/>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c r="DC49" s="144"/>
      <c r="DD49" s="144"/>
    </row>
    <row r="50" spans="1:108" ht="21" customHeight="1" thickTop="1" thickBot="1">
      <c r="A50" s="455"/>
      <c r="B50" s="456"/>
      <c r="C50" s="456"/>
      <c r="D50" s="456"/>
      <c r="E50" s="482"/>
      <c r="F50" s="456"/>
      <c r="G50" s="456"/>
      <c r="H50" s="456"/>
      <c r="I50" s="456"/>
      <c r="J50" s="455"/>
      <c r="K50" s="455"/>
      <c r="L50" s="512"/>
      <c r="M50" s="510"/>
      <c r="N50" s="194">
        <v>4</v>
      </c>
      <c r="O50" s="205"/>
      <c r="P50" s="196"/>
      <c r="Q50" s="196"/>
      <c r="R50" s="196"/>
      <c r="S50" s="196"/>
      <c r="T50" s="196"/>
      <c r="U50" s="196"/>
      <c r="V50" s="196"/>
      <c r="W50" s="184">
        <f t="shared" si="1"/>
        <v>0</v>
      </c>
      <c r="X50" s="186" t="str">
        <f t="shared" si="0"/>
        <v>DEBIL</v>
      </c>
      <c r="Y50" s="222"/>
      <c r="Z50" s="187" t="str">
        <f t="shared" si="2"/>
        <v/>
      </c>
      <c r="AA50" s="184" t="str">
        <f t="shared" si="3"/>
        <v>SI</v>
      </c>
      <c r="AB50" s="196"/>
      <c r="AC50" s="513"/>
      <c r="AD50" s="513"/>
      <c r="AE50" s="514"/>
      <c r="AF50" s="514"/>
      <c r="AG50" s="515"/>
      <c r="AH50" s="515"/>
      <c r="AI50" s="508"/>
      <c r="AJ50" s="508"/>
      <c r="AK50" s="512"/>
      <c r="AL50" s="510"/>
      <c r="AM50" s="477"/>
      <c r="AN50" s="196"/>
      <c r="AO50" s="194"/>
      <c r="AP50" s="197"/>
      <c r="AQ50" s="114"/>
      <c r="AR50" s="142"/>
      <c r="AS50" s="114"/>
      <c r="AT50" s="142"/>
      <c r="AU50" s="114"/>
      <c r="AV50" s="142"/>
      <c r="AW50" s="114"/>
      <c r="AX50" s="142"/>
      <c r="AY50" s="173"/>
      <c r="AZ50" s="196"/>
      <c r="BA50" s="196"/>
      <c r="BB50" s="194"/>
      <c r="BC50" s="197"/>
      <c r="BD50" s="197"/>
      <c r="BE50" s="142"/>
      <c r="BF50" s="142"/>
      <c r="BG50" s="173"/>
      <c r="BH50" s="114"/>
      <c r="BI50" s="114"/>
      <c r="BJ50" s="142"/>
      <c r="BK50" s="142"/>
      <c r="BL50" s="173"/>
      <c r="BM50" s="114"/>
      <c r="BN50" s="114"/>
      <c r="BO50" s="142"/>
      <c r="BP50" s="142"/>
      <c r="BQ50" s="173"/>
      <c r="BR50" s="114"/>
      <c r="BS50" s="114"/>
      <c r="BT50" s="114"/>
      <c r="BU50" s="142"/>
      <c r="BV50" s="142"/>
      <c r="BW50" s="142"/>
      <c r="BX50" s="114"/>
      <c r="BY50" s="142"/>
      <c r="BZ50" s="142"/>
      <c r="CA50" s="114"/>
      <c r="CB50" s="142"/>
      <c r="CC50" s="173"/>
      <c r="CD50" s="142"/>
      <c r="CE50" s="144"/>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c r="DC50" s="144"/>
      <c r="DD50" s="144"/>
    </row>
    <row r="51" spans="1:108" ht="21" customHeight="1" thickTop="1" thickBot="1">
      <c r="A51" s="455"/>
      <c r="B51" s="456"/>
      <c r="C51" s="456"/>
      <c r="D51" s="456"/>
      <c r="E51" s="482"/>
      <c r="F51" s="456"/>
      <c r="G51" s="456"/>
      <c r="H51" s="456"/>
      <c r="I51" s="456"/>
      <c r="J51" s="455"/>
      <c r="K51" s="455"/>
      <c r="L51" s="512"/>
      <c r="M51" s="510"/>
      <c r="N51" s="194">
        <v>5</v>
      </c>
      <c r="O51" s="205"/>
      <c r="P51" s="196"/>
      <c r="Q51" s="196"/>
      <c r="R51" s="196"/>
      <c r="S51" s="196"/>
      <c r="T51" s="196"/>
      <c r="U51" s="196"/>
      <c r="V51" s="196"/>
      <c r="W51" s="184">
        <f t="shared" si="1"/>
        <v>0</v>
      </c>
      <c r="X51" s="186" t="str">
        <f t="shared" si="0"/>
        <v>DEBIL</v>
      </c>
      <c r="Y51" s="222"/>
      <c r="Z51" s="187" t="str">
        <f t="shared" si="2"/>
        <v/>
      </c>
      <c r="AA51" s="184" t="str">
        <f t="shared" si="3"/>
        <v>SI</v>
      </c>
      <c r="AB51" s="196"/>
      <c r="AC51" s="513"/>
      <c r="AD51" s="513"/>
      <c r="AE51" s="514"/>
      <c r="AF51" s="514"/>
      <c r="AG51" s="515"/>
      <c r="AH51" s="515"/>
      <c r="AI51" s="508"/>
      <c r="AJ51" s="508"/>
      <c r="AK51" s="512"/>
      <c r="AL51" s="510"/>
      <c r="AM51" s="477"/>
      <c r="AN51" s="196"/>
      <c r="AO51" s="194"/>
      <c r="AP51" s="197"/>
      <c r="AQ51" s="114"/>
      <c r="AR51" s="142"/>
      <c r="AS51" s="114"/>
      <c r="AT51" s="142"/>
      <c r="AU51" s="114"/>
      <c r="AV51" s="142"/>
      <c r="AW51" s="114"/>
      <c r="AX51" s="142"/>
      <c r="AY51" s="173"/>
      <c r="AZ51" s="196"/>
      <c r="BA51" s="196"/>
      <c r="BB51" s="194"/>
      <c r="BC51" s="197"/>
      <c r="BD51" s="197"/>
      <c r="BE51" s="142"/>
      <c r="BF51" s="142"/>
      <c r="BG51" s="173"/>
      <c r="BH51" s="114"/>
      <c r="BI51" s="114"/>
      <c r="BJ51" s="142"/>
      <c r="BK51" s="142"/>
      <c r="BL51" s="173"/>
      <c r="BM51" s="114"/>
      <c r="BN51" s="114"/>
      <c r="BO51" s="142"/>
      <c r="BP51" s="142"/>
      <c r="BQ51" s="173"/>
      <c r="BR51" s="114"/>
      <c r="BS51" s="114"/>
      <c r="BT51" s="114"/>
      <c r="BU51" s="142"/>
      <c r="BV51" s="142"/>
      <c r="BW51" s="142"/>
      <c r="BX51" s="114"/>
      <c r="BY51" s="142"/>
      <c r="BZ51" s="142"/>
      <c r="CA51" s="114"/>
      <c r="CB51" s="142"/>
      <c r="CC51" s="173"/>
      <c r="CD51" s="142"/>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c r="DC51" s="144"/>
      <c r="DD51" s="144"/>
    </row>
    <row r="52" spans="1:108" ht="21" customHeight="1" thickTop="1" thickBot="1">
      <c r="A52" s="455"/>
      <c r="B52" s="456"/>
      <c r="C52" s="456"/>
      <c r="D52" s="456"/>
      <c r="E52" s="482"/>
      <c r="F52" s="456"/>
      <c r="G52" s="456"/>
      <c r="H52" s="456"/>
      <c r="I52" s="456"/>
      <c r="J52" s="455"/>
      <c r="K52" s="455"/>
      <c r="L52" s="512"/>
      <c r="M52" s="511"/>
      <c r="N52" s="194">
        <v>6</v>
      </c>
      <c r="O52" s="205"/>
      <c r="P52" s="196"/>
      <c r="Q52" s="196"/>
      <c r="R52" s="196"/>
      <c r="S52" s="196"/>
      <c r="T52" s="196"/>
      <c r="U52" s="196"/>
      <c r="V52" s="196"/>
      <c r="W52" s="184">
        <f t="shared" si="1"/>
        <v>0</v>
      </c>
      <c r="X52" s="186" t="str">
        <f t="shared" si="0"/>
        <v>DEBIL</v>
      </c>
      <c r="Y52" s="222"/>
      <c r="Z52" s="187" t="str">
        <f t="shared" si="2"/>
        <v/>
      </c>
      <c r="AA52" s="184" t="str">
        <f t="shared" si="3"/>
        <v>SI</v>
      </c>
      <c r="AB52" s="196"/>
      <c r="AC52" s="513"/>
      <c r="AD52" s="513"/>
      <c r="AE52" s="514"/>
      <c r="AF52" s="514"/>
      <c r="AG52" s="515"/>
      <c r="AH52" s="515"/>
      <c r="AI52" s="508"/>
      <c r="AJ52" s="508"/>
      <c r="AK52" s="512"/>
      <c r="AL52" s="511"/>
      <c r="AM52" s="478"/>
      <c r="AN52" s="196"/>
      <c r="AO52" s="194"/>
      <c r="AP52" s="197"/>
      <c r="AQ52" s="114"/>
      <c r="AR52" s="142"/>
      <c r="AS52" s="114"/>
      <c r="AT52" s="142"/>
      <c r="AU52" s="114"/>
      <c r="AV52" s="142"/>
      <c r="AW52" s="114"/>
      <c r="AX52" s="142"/>
      <c r="AY52" s="173"/>
      <c r="AZ52" s="196"/>
      <c r="BA52" s="196"/>
      <c r="BB52" s="194"/>
      <c r="BC52" s="197"/>
      <c r="BD52" s="197"/>
      <c r="BE52" s="142"/>
      <c r="BF52" s="142"/>
      <c r="BG52" s="173"/>
      <c r="BH52" s="114"/>
      <c r="BI52" s="114"/>
      <c r="BJ52" s="142"/>
      <c r="BK52" s="142"/>
      <c r="BL52" s="173"/>
      <c r="BM52" s="114"/>
      <c r="BN52" s="114"/>
      <c r="BO52" s="142"/>
      <c r="BP52" s="142"/>
      <c r="BQ52" s="173"/>
      <c r="BR52" s="114"/>
      <c r="BS52" s="114"/>
      <c r="BT52" s="114"/>
      <c r="BU52" s="142"/>
      <c r="BV52" s="142"/>
      <c r="BW52" s="142"/>
      <c r="BX52" s="114"/>
      <c r="BY52" s="142"/>
      <c r="BZ52" s="142"/>
      <c r="CA52" s="114"/>
      <c r="CB52" s="142"/>
      <c r="CC52" s="173"/>
      <c r="CD52" s="142"/>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row>
    <row r="53" spans="1:108" ht="21" customHeight="1" thickTop="1" thickBot="1">
      <c r="A53" s="455">
        <v>9</v>
      </c>
      <c r="B53" s="456"/>
      <c r="C53" s="456"/>
      <c r="D53" s="456"/>
      <c r="E53" s="482"/>
      <c r="F53" s="456"/>
      <c r="G53" s="456"/>
      <c r="H53" s="456"/>
      <c r="I53" s="456"/>
      <c r="J53" s="455"/>
      <c r="K53" s="455"/>
      <c r="L53" s="512">
        <f>+(J53*K53)*4</f>
        <v>0</v>
      </c>
      <c r="M53" s="509" t="b">
        <f>IF(OR(AND(J53=3,K53=4),AND(J53=2,K53=5),AND(J53=2,K53=5),AND(L53=20),AND(L53&gt;=52,L53&lt;=100)),"ZONA RIESGO EXTREMA",IF(OR(AND(J53=5,K53=2),AND(J53=4,K53=3),AND(J53=1,K53=4),AND(L53=16),AND(L53&gt;=28,L53&lt;=48)),"ZONA RIESGO ALTA",IF(OR(AND(J53=1,K53=3),AND(J53=4,K53=1),AND(L53=24)),"ZONA RIESGO MODERADA",IF(AND(L53&gt;=4,L53&lt;=16),"ZONA RIESGO BAJA"))))</f>
        <v>0</v>
      </c>
      <c r="N53" s="194">
        <v>1</v>
      </c>
      <c r="O53" s="205"/>
      <c r="P53" s="196"/>
      <c r="Q53" s="196"/>
      <c r="R53" s="196"/>
      <c r="S53" s="196"/>
      <c r="T53" s="196"/>
      <c r="U53" s="196"/>
      <c r="V53" s="196"/>
      <c r="W53" s="184">
        <f t="shared" si="1"/>
        <v>0</v>
      </c>
      <c r="X53" s="186" t="str">
        <f t="shared" si="0"/>
        <v>DEBIL</v>
      </c>
      <c r="Y53" s="222"/>
      <c r="Z53" s="187" t="str">
        <f t="shared" si="2"/>
        <v/>
      </c>
      <c r="AA53" s="184" t="str">
        <f t="shared" si="3"/>
        <v>SI</v>
      </c>
      <c r="AB53" s="196"/>
      <c r="AC53" s="513">
        <f>IF(AND(W53&gt;0,SUM(W54:W58)=0),W53,IF(AND(SUM(W53:W54)&gt;0,SUM(W55:W58)=0),AVERAGE(W53:W54),IF(AND(SUM(W53:W55)&gt;0,SUM(W56:W58)=0),AVERAGE(W53:W55),IF(AND(SUM(W53:W56)&gt;0,SUM(W57:W58)=0),AVERAGE(W53:W56),IF(AND(SUM(W53:W57)&gt;0,W58=0),AVERAGE(W53:W57),AVERAGE(W53:W58))))))</f>
        <v>0</v>
      </c>
      <c r="AD53" s="513" t="str">
        <f>IF(AND(AC53&gt;=50,AC53&lt;=99),"MODERADO",IF(AND(AC53=100), "FUERTE",IF(AND(AC53&lt;50), "DEBIL")))</f>
        <v>DEBIL</v>
      </c>
      <c r="AE53" s="514"/>
      <c r="AF53" s="514"/>
      <c r="AG53" s="515" t="str">
        <f>IFERROR(_xlfn.IFS(AND(AD53="MODERADO",AE53="Directamente"),1,AND(AD53="FUERTE",AE53="Directamente"),2),"0")</f>
        <v>0</v>
      </c>
      <c r="AH53" s="515" t="str">
        <f>IFERROR(_xlfn.IFS(AND(AD53="MODERADO",AF53="Directamente"),1,AND(AD53="FUERTE",AF53="Directamente"),2,AND(AD53="FUERTE",AF53="Indirectamente"),1),"0")</f>
        <v>0</v>
      </c>
      <c r="AI53" s="508"/>
      <c r="AJ53" s="508"/>
      <c r="AK53" s="512">
        <f>+(AI53*AJ53)*4</f>
        <v>0</v>
      </c>
      <c r="AL53" s="509"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516"/>
      <c r="AN53" s="196"/>
      <c r="AO53" s="194"/>
      <c r="AP53" s="197"/>
      <c r="AQ53" s="114"/>
      <c r="AR53" s="142"/>
      <c r="AS53" s="114"/>
      <c r="AT53" s="142"/>
      <c r="AU53" s="114"/>
      <c r="AV53" s="142"/>
      <c r="AW53" s="114"/>
      <c r="AX53" s="142"/>
      <c r="AY53" s="173"/>
      <c r="AZ53" s="196"/>
      <c r="BA53" s="196"/>
      <c r="BB53" s="194"/>
      <c r="BC53" s="197"/>
      <c r="BD53" s="197"/>
      <c r="BE53" s="142"/>
      <c r="BF53" s="142"/>
      <c r="BG53" s="173"/>
      <c r="BH53" s="114"/>
      <c r="BI53" s="114"/>
      <c r="BJ53" s="142"/>
      <c r="BK53" s="142"/>
      <c r="BL53" s="173"/>
      <c r="BM53" s="114"/>
      <c r="BN53" s="114"/>
      <c r="BO53" s="142"/>
      <c r="BP53" s="142"/>
      <c r="BQ53" s="173"/>
      <c r="BR53" s="114"/>
      <c r="BS53" s="114"/>
      <c r="BT53" s="114"/>
      <c r="BU53" s="142"/>
      <c r="BV53" s="142"/>
      <c r="BW53" s="142"/>
      <c r="BX53" s="114"/>
      <c r="BY53" s="142"/>
      <c r="BZ53" s="142"/>
      <c r="CA53" s="114"/>
      <c r="CB53" s="142"/>
      <c r="CC53" s="173"/>
      <c r="CD53" s="142"/>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c r="DC53" s="144"/>
      <c r="DD53" s="144"/>
    </row>
    <row r="54" spans="1:108" ht="21" customHeight="1" thickTop="1" thickBot="1">
      <c r="A54" s="455"/>
      <c r="B54" s="456"/>
      <c r="C54" s="456"/>
      <c r="D54" s="456"/>
      <c r="E54" s="482"/>
      <c r="F54" s="456"/>
      <c r="G54" s="456"/>
      <c r="H54" s="456"/>
      <c r="I54" s="456"/>
      <c r="J54" s="455"/>
      <c r="K54" s="455"/>
      <c r="L54" s="512"/>
      <c r="M54" s="510"/>
      <c r="N54" s="194">
        <v>2</v>
      </c>
      <c r="O54" s="205"/>
      <c r="P54" s="196"/>
      <c r="Q54" s="196"/>
      <c r="R54" s="196"/>
      <c r="S54" s="196"/>
      <c r="T54" s="196"/>
      <c r="U54" s="196"/>
      <c r="V54" s="196"/>
      <c r="W54" s="184">
        <f t="shared" si="1"/>
        <v>0</v>
      </c>
      <c r="X54" s="186" t="str">
        <f t="shared" si="0"/>
        <v>DEBIL</v>
      </c>
      <c r="Y54" s="222"/>
      <c r="Z54" s="187" t="str">
        <f t="shared" si="2"/>
        <v/>
      </c>
      <c r="AA54" s="184" t="str">
        <f t="shared" si="3"/>
        <v>SI</v>
      </c>
      <c r="AB54" s="196"/>
      <c r="AC54" s="513"/>
      <c r="AD54" s="513"/>
      <c r="AE54" s="514"/>
      <c r="AF54" s="514"/>
      <c r="AG54" s="515"/>
      <c r="AH54" s="515"/>
      <c r="AI54" s="508"/>
      <c r="AJ54" s="508"/>
      <c r="AK54" s="512"/>
      <c r="AL54" s="510"/>
      <c r="AM54" s="477"/>
      <c r="AN54" s="196"/>
      <c r="AO54" s="194"/>
      <c r="AP54" s="197"/>
      <c r="AQ54" s="114"/>
      <c r="AR54" s="142"/>
      <c r="AS54" s="114"/>
      <c r="AT54" s="142"/>
      <c r="AU54" s="114"/>
      <c r="AV54" s="142"/>
      <c r="AW54" s="114"/>
      <c r="AX54" s="142"/>
      <c r="AY54" s="173"/>
      <c r="AZ54" s="196"/>
      <c r="BA54" s="196"/>
      <c r="BB54" s="194"/>
      <c r="BC54" s="197"/>
      <c r="BD54" s="197"/>
      <c r="BE54" s="142"/>
      <c r="BF54" s="142"/>
      <c r="BG54" s="173"/>
      <c r="BH54" s="114"/>
      <c r="BI54" s="114"/>
      <c r="BJ54" s="142"/>
      <c r="BK54" s="142"/>
      <c r="BL54" s="173"/>
      <c r="BM54" s="114"/>
      <c r="BN54" s="114"/>
      <c r="BO54" s="142"/>
      <c r="BP54" s="142"/>
      <c r="BQ54" s="173"/>
      <c r="BR54" s="114"/>
      <c r="BS54" s="114"/>
      <c r="BT54" s="114"/>
      <c r="BU54" s="142"/>
      <c r="BV54" s="142"/>
      <c r="BW54" s="142"/>
      <c r="BX54" s="114"/>
      <c r="BY54" s="142"/>
      <c r="BZ54" s="142"/>
      <c r="CA54" s="114"/>
      <c r="CB54" s="142"/>
      <c r="CC54" s="173"/>
      <c r="CD54" s="142"/>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row>
    <row r="55" spans="1:108" ht="21" customHeight="1" thickTop="1" thickBot="1">
      <c r="A55" s="455"/>
      <c r="B55" s="456"/>
      <c r="C55" s="456"/>
      <c r="D55" s="456"/>
      <c r="E55" s="482"/>
      <c r="F55" s="456"/>
      <c r="G55" s="456"/>
      <c r="H55" s="456"/>
      <c r="I55" s="456"/>
      <c r="J55" s="455"/>
      <c r="K55" s="455"/>
      <c r="L55" s="512"/>
      <c r="M55" s="510"/>
      <c r="N55" s="194">
        <v>3</v>
      </c>
      <c r="O55" s="223"/>
      <c r="P55" s="196"/>
      <c r="Q55" s="196"/>
      <c r="R55" s="196"/>
      <c r="S55" s="196"/>
      <c r="T55" s="196"/>
      <c r="U55" s="196"/>
      <c r="V55" s="196"/>
      <c r="W55" s="184">
        <f t="shared" si="1"/>
        <v>0</v>
      </c>
      <c r="X55" s="186" t="str">
        <f t="shared" si="0"/>
        <v>DEBIL</v>
      </c>
      <c r="Y55" s="222"/>
      <c r="Z55" s="187" t="str">
        <f t="shared" si="2"/>
        <v/>
      </c>
      <c r="AA55" s="184" t="str">
        <f t="shared" si="3"/>
        <v>SI</v>
      </c>
      <c r="AB55" s="196"/>
      <c r="AC55" s="513"/>
      <c r="AD55" s="513"/>
      <c r="AE55" s="514"/>
      <c r="AF55" s="514"/>
      <c r="AG55" s="515"/>
      <c r="AH55" s="515"/>
      <c r="AI55" s="508"/>
      <c r="AJ55" s="508"/>
      <c r="AK55" s="512"/>
      <c r="AL55" s="510"/>
      <c r="AM55" s="477"/>
      <c r="AN55" s="196"/>
      <c r="AO55" s="194"/>
      <c r="AP55" s="197"/>
      <c r="AQ55" s="114"/>
      <c r="AR55" s="142"/>
      <c r="AS55" s="114"/>
      <c r="AT55" s="142"/>
      <c r="AU55" s="114"/>
      <c r="AV55" s="142"/>
      <c r="AW55" s="114"/>
      <c r="AX55" s="142"/>
      <c r="AY55" s="173"/>
      <c r="AZ55" s="142"/>
      <c r="BA55" s="142"/>
      <c r="BB55" s="173"/>
      <c r="BC55" s="114"/>
      <c r="BD55" s="114"/>
      <c r="BE55" s="142"/>
      <c r="BF55" s="142"/>
      <c r="BG55" s="173"/>
      <c r="BH55" s="114"/>
      <c r="BI55" s="114"/>
      <c r="BJ55" s="142"/>
      <c r="BK55" s="142"/>
      <c r="BL55" s="173"/>
      <c r="BM55" s="114"/>
      <c r="BN55" s="114"/>
      <c r="BO55" s="142"/>
      <c r="BP55" s="142"/>
      <c r="BQ55" s="173"/>
      <c r="BR55" s="114"/>
      <c r="BS55" s="114"/>
      <c r="BT55" s="114"/>
      <c r="BU55" s="142"/>
      <c r="BV55" s="142"/>
      <c r="BW55" s="142"/>
      <c r="BX55" s="114"/>
      <c r="BY55" s="142"/>
      <c r="BZ55" s="142"/>
      <c r="CA55" s="114"/>
      <c r="CB55" s="142"/>
      <c r="CC55" s="173"/>
      <c r="CD55" s="142"/>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row>
    <row r="56" spans="1:108" ht="21" customHeight="1" thickTop="1" thickBot="1">
      <c r="A56" s="455"/>
      <c r="B56" s="456"/>
      <c r="C56" s="456"/>
      <c r="D56" s="456"/>
      <c r="E56" s="482"/>
      <c r="F56" s="456"/>
      <c r="G56" s="456"/>
      <c r="H56" s="456"/>
      <c r="I56" s="456"/>
      <c r="J56" s="455"/>
      <c r="K56" s="455"/>
      <c r="L56" s="512"/>
      <c r="M56" s="510"/>
      <c r="N56" s="194">
        <v>4</v>
      </c>
      <c r="O56" s="205"/>
      <c r="P56" s="196"/>
      <c r="Q56" s="196"/>
      <c r="R56" s="196"/>
      <c r="S56" s="196"/>
      <c r="T56" s="196"/>
      <c r="U56" s="196"/>
      <c r="V56" s="196"/>
      <c r="W56" s="184">
        <f t="shared" si="1"/>
        <v>0</v>
      </c>
      <c r="X56" s="186" t="str">
        <f t="shared" si="0"/>
        <v>DEBIL</v>
      </c>
      <c r="Y56" s="222"/>
      <c r="Z56" s="187" t="str">
        <f t="shared" si="2"/>
        <v/>
      </c>
      <c r="AA56" s="184" t="str">
        <f t="shared" si="3"/>
        <v>SI</v>
      </c>
      <c r="AB56" s="196"/>
      <c r="AC56" s="513"/>
      <c r="AD56" s="513"/>
      <c r="AE56" s="514"/>
      <c r="AF56" s="514"/>
      <c r="AG56" s="515"/>
      <c r="AH56" s="515"/>
      <c r="AI56" s="508"/>
      <c r="AJ56" s="508"/>
      <c r="AK56" s="512"/>
      <c r="AL56" s="510"/>
      <c r="AM56" s="477"/>
      <c r="AN56" s="196"/>
      <c r="AO56" s="194"/>
      <c r="AP56" s="197"/>
      <c r="AQ56" s="114"/>
      <c r="AR56" s="142"/>
      <c r="AS56" s="114"/>
      <c r="AT56" s="142"/>
      <c r="AU56" s="114"/>
      <c r="AV56" s="142"/>
      <c r="AW56" s="114"/>
      <c r="AX56" s="142"/>
      <c r="AY56" s="173"/>
      <c r="AZ56" s="142"/>
      <c r="BA56" s="142"/>
      <c r="BB56" s="173"/>
      <c r="BC56" s="114"/>
      <c r="BD56" s="114"/>
      <c r="BE56" s="142"/>
      <c r="BF56" s="142"/>
      <c r="BG56" s="173"/>
      <c r="BH56" s="114"/>
      <c r="BI56" s="114"/>
      <c r="BJ56" s="142"/>
      <c r="BK56" s="142"/>
      <c r="BL56" s="173"/>
      <c r="BM56" s="114"/>
      <c r="BN56" s="114"/>
      <c r="BO56" s="142"/>
      <c r="BP56" s="142"/>
      <c r="BQ56" s="173"/>
      <c r="BR56" s="114"/>
      <c r="BS56" s="114"/>
      <c r="BT56" s="114"/>
      <c r="BU56" s="142"/>
      <c r="BV56" s="142"/>
      <c r="BW56" s="142"/>
      <c r="BX56" s="114"/>
      <c r="BY56" s="142"/>
      <c r="BZ56" s="142"/>
      <c r="CA56" s="114"/>
      <c r="CB56" s="142"/>
      <c r="CC56" s="173"/>
      <c r="CD56" s="142"/>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c r="DC56" s="144"/>
      <c r="DD56" s="144"/>
    </row>
    <row r="57" spans="1:108" ht="21" customHeight="1" thickTop="1" thickBot="1">
      <c r="A57" s="455"/>
      <c r="B57" s="456"/>
      <c r="C57" s="456"/>
      <c r="D57" s="456"/>
      <c r="E57" s="482"/>
      <c r="F57" s="456"/>
      <c r="G57" s="456"/>
      <c r="H57" s="456"/>
      <c r="I57" s="456"/>
      <c r="J57" s="455"/>
      <c r="K57" s="455"/>
      <c r="L57" s="512"/>
      <c r="M57" s="510"/>
      <c r="N57" s="194">
        <v>5</v>
      </c>
      <c r="O57" s="205"/>
      <c r="P57" s="196"/>
      <c r="Q57" s="196"/>
      <c r="R57" s="196"/>
      <c r="S57" s="196"/>
      <c r="T57" s="196"/>
      <c r="U57" s="196"/>
      <c r="V57" s="196"/>
      <c r="W57" s="184">
        <f t="shared" si="1"/>
        <v>0</v>
      </c>
      <c r="X57" s="186" t="str">
        <f t="shared" si="0"/>
        <v>DEBIL</v>
      </c>
      <c r="Y57" s="222"/>
      <c r="Z57" s="187" t="str">
        <f t="shared" si="2"/>
        <v/>
      </c>
      <c r="AA57" s="184" t="str">
        <f t="shared" si="3"/>
        <v>SI</v>
      </c>
      <c r="AB57" s="196"/>
      <c r="AC57" s="513"/>
      <c r="AD57" s="513"/>
      <c r="AE57" s="514"/>
      <c r="AF57" s="514"/>
      <c r="AG57" s="515"/>
      <c r="AH57" s="515"/>
      <c r="AI57" s="508"/>
      <c r="AJ57" s="508"/>
      <c r="AK57" s="512"/>
      <c r="AL57" s="510"/>
      <c r="AM57" s="477"/>
      <c r="AN57" s="196"/>
      <c r="AO57" s="194"/>
      <c r="AP57" s="197"/>
      <c r="AQ57" s="114"/>
      <c r="AR57" s="142"/>
      <c r="AS57" s="114"/>
      <c r="AT57" s="142"/>
      <c r="AU57" s="114"/>
      <c r="AV57" s="142"/>
      <c r="AW57" s="114"/>
      <c r="AX57" s="142"/>
      <c r="AY57" s="173"/>
      <c r="AZ57" s="142"/>
      <c r="BA57" s="142"/>
      <c r="BB57" s="173"/>
      <c r="BC57" s="114"/>
      <c r="BD57" s="114"/>
      <c r="BE57" s="142"/>
      <c r="BF57" s="142"/>
      <c r="BG57" s="173"/>
      <c r="BH57" s="114"/>
      <c r="BI57" s="114"/>
      <c r="BJ57" s="142"/>
      <c r="BK57" s="142"/>
      <c r="BL57" s="173"/>
      <c r="BM57" s="114"/>
      <c r="BN57" s="114"/>
      <c r="BO57" s="142"/>
      <c r="BP57" s="142"/>
      <c r="BQ57" s="173"/>
      <c r="BR57" s="114"/>
      <c r="BS57" s="114"/>
      <c r="BT57" s="114"/>
      <c r="BU57" s="142"/>
      <c r="BV57" s="142"/>
      <c r="BW57" s="142"/>
      <c r="BX57" s="114"/>
      <c r="BY57" s="142"/>
      <c r="BZ57" s="142"/>
      <c r="CA57" s="114"/>
      <c r="CB57" s="142"/>
      <c r="CC57" s="173"/>
      <c r="CD57" s="142"/>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row>
    <row r="58" spans="1:108" ht="21" customHeight="1" thickTop="1" thickBot="1">
      <c r="A58" s="455"/>
      <c r="B58" s="456"/>
      <c r="C58" s="456"/>
      <c r="D58" s="456"/>
      <c r="E58" s="482"/>
      <c r="F58" s="456"/>
      <c r="G58" s="456"/>
      <c r="H58" s="456"/>
      <c r="I58" s="456"/>
      <c r="J58" s="455"/>
      <c r="K58" s="455"/>
      <c r="L58" s="512"/>
      <c r="M58" s="511"/>
      <c r="N58" s="194">
        <v>6</v>
      </c>
      <c r="O58" s="205"/>
      <c r="P58" s="196"/>
      <c r="Q58" s="196"/>
      <c r="R58" s="196"/>
      <c r="S58" s="196"/>
      <c r="T58" s="196"/>
      <c r="U58" s="196"/>
      <c r="V58" s="196"/>
      <c r="W58" s="184">
        <f t="shared" si="1"/>
        <v>0</v>
      </c>
      <c r="X58" s="186" t="str">
        <f t="shared" si="0"/>
        <v>DEBIL</v>
      </c>
      <c r="Y58" s="222"/>
      <c r="Z58" s="187" t="str">
        <f t="shared" si="2"/>
        <v/>
      </c>
      <c r="AA58" s="184" t="str">
        <f t="shared" si="3"/>
        <v>SI</v>
      </c>
      <c r="AB58" s="196"/>
      <c r="AC58" s="513"/>
      <c r="AD58" s="513"/>
      <c r="AE58" s="514"/>
      <c r="AF58" s="514"/>
      <c r="AG58" s="515"/>
      <c r="AH58" s="515"/>
      <c r="AI58" s="508"/>
      <c r="AJ58" s="508"/>
      <c r="AK58" s="512"/>
      <c r="AL58" s="511"/>
      <c r="AM58" s="478"/>
      <c r="AN58" s="196"/>
      <c r="AO58" s="194"/>
      <c r="AP58" s="197"/>
      <c r="AQ58" s="114"/>
      <c r="AR58" s="142"/>
      <c r="AS58" s="114"/>
      <c r="AT58" s="142"/>
      <c r="AU58" s="114"/>
      <c r="AV58" s="142"/>
      <c r="AW58" s="114"/>
      <c r="AX58" s="142"/>
      <c r="AY58" s="173"/>
      <c r="AZ58" s="142"/>
      <c r="BA58" s="142"/>
      <c r="BB58" s="173"/>
      <c r="BC58" s="114"/>
      <c r="BD58" s="114"/>
      <c r="BE58" s="142"/>
      <c r="BF58" s="142"/>
      <c r="BG58" s="173"/>
      <c r="BH58" s="114"/>
      <c r="BI58" s="114"/>
      <c r="BJ58" s="142"/>
      <c r="BK58" s="142"/>
      <c r="BL58" s="173"/>
      <c r="BM58" s="114"/>
      <c r="BN58" s="114"/>
      <c r="BO58" s="142"/>
      <c r="BP58" s="142"/>
      <c r="BQ58" s="173"/>
      <c r="BR58" s="114"/>
      <c r="BS58" s="114"/>
      <c r="BT58" s="114"/>
      <c r="BU58" s="142"/>
      <c r="BV58" s="142"/>
      <c r="BW58" s="142"/>
      <c r="BX58" s="114"/>
      <c r="BY58" s="142"/>
      <c r="BZ58" s="142"/>
      <c r="CA58" s="114"/>
      <c r="CB58" s="142"/>
      <c r="CC58" s="173"/>
      <c r="CD58" s="142"/>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row>
    <row r="59" spans="1:108" ht="21" customHeight="1" thickTop="1" thickBot="1">
      <c r="A59" s="455">
        <v>10</v>
      </c>
      <c r="B59" s="456"/>
      <c r="C59" s="456"/>
      <c r="D59" s="456"/>
      <c r="E59" s="482"/>
      <c r="F59" s="456"/>
      <c r="G59" s="456"/>
      <c r="H59" s="456"/>
      <c r="I59" s="456"/>
      <c r="J59" s="455"/>
      <c r="K59" s="455"/>
      <c r="L59" s="512">
        <f>+(J59*K59)*4</f>
        <v>0</v>
      </c>
      <c r="M59" s="509" t="b">
        <f>IF(OR(AND(J59=3,K59=4),AND(J59=2,K59=5),AND(J59=2,K59=5),AND(L59=20),AND(L59&gt;=52,L59&lt;=100)),"ZONA RIESGO EXTREMA",IF(OR(AND(J59=5,K59=2),AND(J59=4,K59=3),AND(J59=1,K59=4),AND(L59=16),AND(L59&gt;=28,L59&lt;=48)),"ZONA RIESGO ALTA",IF(OR(AND(J59=1,K59=3),AND(J59=4,K59=1),AND(L59=24)),"ZONA RIESGO MODERADA",IF(AND(L59&gt;=4,L59&lt;=16),"ZONA RIESGO BAJA"))))</f>
        <v>0</v>
      </c>
      <c r="N59" s="194">
        <v>1</v>
      </c>
      <c r="O59" s="205"/>
      <c r="P59" s="196"/>
      <c r="Q59" s="196"/>
      <c r="R59" s="196"/>
      <c r="S59" s="196"/>
      <c r="T59" s="196"/>
      <c r="U59" s="196"/>
      <c r="V59" s="196"/>
      <c r="W59" s="184">
        <f t="shared" si="1"/>
        <v>0</v>
      </c>
      <c r="X59" s="186" t="str">
        <f t="shared" si="0"/>
        <v>DEBIL</v>
      </c>
      <c r="Y59" s="222"/>
      <c r="Z59" s="187" t="str">
        <f t="shared" si="2"/>
        <v/>
      </c>
      <c r="AA59" s="184" t="str">
        <f t="shared" si="3"/>
        <v>SI</v>
      </c>
      <c r="AB59" s="196"/>
      <c r="AC59" s="513">
        <f>IF(AND(W59&gt;0,SUM(W60:W64)=0),W59,IF(AND(SUM(W59:W60)&gt;0,SUM(W61:W64)=0),AVERAGE(W59:W60),IF(AND(SUM(W59:W61)&gt;0,SUM(W62:W64)=0),AVERAGE(W59:W61),IF(AND(SUM(W59:W62)&gt;0,SUM(W63:W64)=0),AVERAGE(W59:W62),IF(AND(SUM(W59:W63)&gt;0,W64=0),AVERAGE(W59:W63),AVERAGE(W59:W64))))))</f>
        <v>0</v>
      </c>
      <c r="AD59" s="513" t="str">
        <f>IF(AND(AC59&gt;=50,AC59&lt;=99),"MODERADO",IF(AND(AC59=100), "FUERTE",IF(AND(AC59&lt;50), "DEBIL")))</f>
        <v>DEBIL</v>
      </c>
      <c r="AE59" s="514"/>
      <c r="AF59" s="514"/>
      <c r="AG59" s="515" t="str">
        <f>IFERROR(_xlfn.IFS(AND(AD59="MODERADO",AE59="Directamente"),1,AND(AD59="FUERTE",AE59="Directamente"),2),"0")</f>
        <v>0</v>
      </c>
      <c r="AH59" s="515" t="str">
        <f>IFERROR(_xlfn.IFS(AND(AD59="MODERADO",AF59="Directamente"),1,AND(AD59="FUERTE",AF59="Directamente"),2,AND(AD59="FUERTE",AF59="Indirectamente"),1),"0")</f>
        <v>0</v>
      </c>
      <c r="AI59" s="508"/>
      <c r="AJ59" s="508"/>
      <c r="AK59" s="512">
        <f>+(AI59*AJ59)*4</f>
        <v>0</v>
      </c>
      <c r="AL59" s="509"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516"/>
      <c r="AN59" s="196"/>
      <c r="AO59" s="194"/>
      <c r="AP59" s="197"/>
      <c r="AQ59" s="114"/>
      <c r="AR59" s="142"/>
      <c r="AS59" s="114"/>
      <c r="AT59" s="142"/>
      <c r="AU59" s="114"/>
      <c r="AV59" s="142"/>
      <c r="AW59" s="114"/>
      <c r="AX59" s="142"/>
      <c r="AY59" s="173"/>
      <c r="AZ59" s="142"/>
      <c r="BA59" s="142"/>
      <c r="BB59" s="173"/>
      <c r="BC59" s="114"/>
      <c r="BD59" s="114"/>
      <c r="BE59" s="142"/>
      <c r="BF59" s="142"/>
      <c r="BG59" s="173"/>
      <c r="BH59" s="114"/>
      <c r="BI59" s="114"/>
      <c r="BJ59" s="142"/>
      <c r="BK59" s="142"/>
      <c r="BL59" s="173"/>
      <c r="BM59" s="114"/>
      <c r="BN59" s="114"/>
      <c r="BO59" s="142"/>
      <c r="BP59" s="142"/>
      <c r="BQ59" s="173"/>
      <c r="BR59" s="114"/>
      <c r="BS59" s="114"/>
      <c r="BT59" s="114"/>
      <c r="BU59" s="142"/>
      <c r="BV59" s="142"/>
      <c r="BW59" s="142"/>
      <c r="BX59" s="114"/>
      <c r="BY59" s="142"/>
      <c r="BZ59" s="142"/>
      <c r="CA59" s="114"/>
      <c r="CB59" s="142"/>
      <c r="CC59" s="173"/>
      <c r="CD59" s="142"/>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row>
    <row r="60" spans="1:108" ht="21" customHeight="1" thickTop="1" thickBot="1">
      <c r="A60" s="455"/>
      <c r="B60" s="456"/>
      <c r="C60" s="456"/>
      <c r="D60" s="456"/>
      <c r="E60" s="482"/>
      <c r="F60" s="456"/>
      <c r="G60" s="456"/>
      <c r="H60" s="456"/>
      <c r="I60" s="456"/>
      <c r="J60" s="455"/>
      <c r="K60" s="455"/>
      <c r="L60" s="512"/>
      <c r="M60" s="510"/>
      <c r="N60" s="194">
        <v>2</v>
      </c>
      <c r="O60" s="205"/>
      <c r="P60" s="196"/>
      <c r="Q60" s="196"/>
      <c r="R60" s="196"/>
      <c r="S60" s="196"/>
      <c r="T60" s="196"/>
      <c r="U60" s="196"/>
      <c r="V60" s="196"/>
      <c r="W60" s="184">
        <f t="shared" si="1"/>
        <v>0</v>
      </c>
      <c r="X60" s="186" t="str">
        <f t="shared" si="0"/>
        <v>DEBIL</v>
      </c>
      <c r="Y60" s="222"/>
      <c r="Z60" s="187" t="str">
        <f t="shared" si="2"/>
        <v/>
      </c>
      <c r="AA60" s="184" t="str">
        <f t="shared" si="3"/>
        <v>SI</v>
      </c>
      <c r="AB60" s="196"/>
      <c r="AC60" s="513"/>
      <c r="AD60" s="513"/>
      <c r="AE60" s="514"/>
      <c r="AF60" s="514"/>
      <c r="AG60" s="515"/>
      <c r="AH60" s="515"/>
      <c r="AI60" s="508"/>
      <c r="AJ60" s="508"/>
      <c r="AK60" s="512"/>
      <c r="AL60" s="510"/>
      <c r="AM60" s="477"/>
      <c r="AN60" s="196"/>
      <c r="AO60" s="194"/>
      <c r="AP60" s="197"/>
      <c r="AQ60" s="114"/>
      <c r="AR60" s="142"/>
      <c r="AS60" s="114"/>
      <c r="AT60" s="142"/>
      <c r="AU60" s="114"/>
      <c r="AV60" s="142"/>
      <c r="AW60" s="114"/>
      <c r="AX60" s="142"/>
      <c r="AY60" s="173"/>
      <c r="AZ60" s="142"/>
      <c r="BA60" s="142"/>
      <c r="BB60" s="173"/>
      <c r="BC60" s="114"/>
      <c r="BD60" s="114"/>
      <c r="BE60" s="142"/>
      <c r="BF60" s="142"/>
      <c r="BG60" s="173"/>
      <c r="BH60" s="114"/>
      <c r="BI60" s="114"/>
      <c r="BJ60" s="142"/>
      <c r="BK60" s="142"/>
      <c r="BL60" s="173"/>
      <c r="BM60" s="114"/>
      <c r="BN60" s="114"/>
      <c r="BO60" s="142"/>
      <c r="BP60" s="142"/>
      <c r="BQ60" s="173"/>
      <c r="BR60" s="114"/>
      <c r="BS60" s="114"/>
      <c r="BT60" s="114"/>
      <c r="BU60" s="142"/>
      <c r="BV60" s="142"/>
      <c r="BW60" s="142"/>
      <c r="BX60" s="114"/>
      <c r="BY60" s="142"/>
      <c r="BZ60" s="142"/>
      <c r="CA60" s="114"/>
      <c r="CB60" s="142"/>
      <c r="CC60" s="173"/>
      <c r="CD60" s="142"/>
    </row>
    <row r="61" spans="1:108" ht="21" customHeight="1" thickTop="1" thickBot="1">
      <c r="A61" s="455"/>
      <c r="B61" s="456"/>
      <c r="C61" s="456"/>
      <c r="D61" s="456"/>
      <c r="E61" s="482"/>
      <c r="F61" s="456"/>
      <c r="G61" s="456"/>
      <c r="H61" s="456"/>
      <c r="I61" s="456"/>
      <c r="J61" s="455"/>
      <c r="K61" s="455"/>
      <c r="L61" s="512"/>
      <c r="M61" s="510"/>
      <c r="N61" s="194">
        <v>3</v>
      </c>
      <c r="O61" s="223"/>
      <c r="P61" s="196"/>
      <c r="Q61" s="196"/>
      <c r="R61" s="196"/>
      <c r="S61" s="196"/>
      <c r="T61" s="196"/>
      <c r="U61" s="196"/>
      <c r="V61" s="196"/>
      <c r="W61" s="184">
        <f t="shared" si="1"/>
        <v>0</v>
      </c>
      <c r="X61" s="186" t="str">
        <f t="shared" si="0"/>
        <v>DEBIL</v>
      </c>
      <c r="Y61" s="222"/>
      <c r="Z61" s="187" t="str">
        <f t="shared" si="2"/>
        <v/>
      </c>
      <c r="AA61" s="184" t="str">
        <f t="shared" si="3"/>
        <v>SI</v>
      </c>
      <c r="AB61" s="196"/>
      <c r="AC61" s="513"/>
      <c r="AD61" s="513"/>
      <c r="AE61" s="514"/>
      <c r="AF61" s="514"/>
      <c r="AG61" s="515"/>
      <c r="AH61" s="515"/>
      <c r="AI61" s="508"/>
      <c r="AJ61" s="508"/>
      <c r="AK61" s="512"/>
      <c r="AL61" s="510"/>
      <c r="AM61" s="477"/>
      <c r="AN61" s="196"/>
      <c r="AO61" s="194"/>
      <c r="AP61" s="197"/>
      <c r="AQ61" s="114"/>
      <c r="AR61" s="142"/>
      <c r="AS61" s="114"/>
      <c r="AT61" s="142"/>
      <c r="AU61" s="114"/>
      <c r="AV61" s="142"/>
      <c r="AW61" s="114"/>
      <c r="AX61" s="142"/>
      <c r="AY61" s="173"/>
      <c r="AZ61" s="142"/>
      <c r="BA61" s="142"/>
      <c r="BB61" s="173"/>
      <c r="BC61" s="114"/>
      <c r="BD61" s="114"/>
      <c r="BE61" s="142"/>
      <c r="BF61" s="142"/>
      <c r="BG61" s="173"/>
      <c r="BH61" s="114"/>
      <c r="BI61" s="114"/>
      <c r="BJ61" s="142"/>
      <c r="BK61" s="142"/>
      <c r="BL61" s="173"/>
      <c r="BM61" s="114"/>
      <c r="BN61" s="114"/>
      <c r="BO61" s="142"/>
      <c r="BP61" s="142"/>
      <c r="BQ61" s="173"/>
      <c r="BR61" s="114"/>
      <c r="BS61" s="114"/>
      <c r="BT61" s="114"/>
      <c r="BU61" s="142"/>
      <c r="BV61" s="142"/>
      <c r="BW61" s="142"/>
      <c r="BX61" s="114"/>
      <c r="BY61" s="142"/>
      <c r="BZ61" s="142"/>
      <c r="CA61" s="114"/>
      <c r="CB61" s="142"/>
      <c r="CC61" s="173"/>
      <c r="CD61" s="142"/>
    </row>
    <row r="62" spans="1:108" ht="21" customHeight="1" thickTop="1" thickBot="1">
      <c r="A62" s="455"/>
      <c r="B62" s="456"/>
      <c r="C62" s="456"/>
      <c r="D62" s="456"/>
      <c r="E62" s="482"/>
      <c r="F62" s="456"/>
      <c r="G62" s="456"/>
      <c r="H62" s="456"/>
      <c r="I62" s="456"/>
      <c r="J62" s="455"/>
      <c r="K62" s="455"/>
      <c r="L62" s="512"/>
      <c r="M62" s="510"/>
      <c r="N62" s="194">
        <v>4</v>
      </c>
      <c r="O62" s="205"/>
      <c r="P62" s="196"/>
      <c r="Q62" s="196"/>
      <c r="R62" s="196"/>
      <c r="S62" s="196"/>
      <c r="T62" s="196"/>
      <c r="U62" s="196"/>
      <c r="V62" s="196"/>
      <c r="W62" s="184">
        <f t="shared" si="1"/>
        <v>0</v>
      </c>
      <c r="X62" s="186" t="str">
        <f t="shared" si="0"/>
        <v>DEBIL</v>
      </c>
      <c r="Y62" s="222"/>
      <c r="Z62" s="187" t="str">
        <f t="shared" si="2"/>
        <v/>
      </c>
      <c r="AA62" s="184" t="str">
        <f t="shared" si="3"/>
        <v>SI</v>
      </c>
      <c r="AB62" s="196"/>
      <c r="AC62" s="513"/>
      <c r="AD62" s="513"/>
      <c r="AE62" s="514"/>
      <c r="AF62" s="514"/>
      <c r="AG62" s="515"/>
      <c r="AH62" s="515"/>
      <c r="AI62" s="508"/>
      <c r="AJ62" s="508"/>
      <c r="AK62" s="512"/>
      <c r="AL62" s="510"/>
      <c r="AM62" s="477"/>
      <c r="AN62" s="196"/>
      <c r="AO62" s="194"/>
      <c r="AP62" s="197"/>
      <c r="AQ62" s="114"/>
      <c r="AR62" s="142"/>
      <c r="AS62" s="114"/>
      <c r="AT62" s="142"/>
      <c r="AU62" s="114"/>
      <c r="AV62" s="142"/>
      <c r="AW62" s="114"/>
      <c r="AX62" s="142"/>
      <c r="AY62" s="173"/>
      <c r="AZ62" s="142"/>
      <c r="BA62" s="142"/>
      <c r="BB62" s="173"/>
      <c r="BC62" s="114"/>
      <c r="BD62" s="114"/>
      <c r="BE62" s="142"/>
      <c r="BF62" s="142"/>
      <c r="BG62" s="173"/>
      <c r="BH62" s="114"/>
      <c r="BI62" s="114"/>
      <c r="BJ62" s="142"/>
      <c r="BK62" s="142"/>
      <c r="BL62" s="173"/>
      <c r="BM62" s="114"/>
      <c r="BN62" s="114"/>
      <c r="BO62" s="142"/>
      <c r="BP62" s="142"/>
      <c r="BQ62" s="173"/>
      <c r="BR62" s="114"/>
      <c r="BS62" s="114"/>
      <c r="BT62" s="114"/>
      <c r="BU62" s="142"/>
      <c r="BV62" s="142"/>
      <c r="BW62" s="142"/>
      <c r="BX62" s="114"/>
      <c r="BY62" s="142"/>
      <c r="BZ62" s="142"/>
      <c r="CA62" s="114"/>
      <c r="CB62" s="142"/>
      <c r="CC62" s="173"/>
      <c r="CD62" s="142"/>
    </row>
    <row r="63" spans="1:108" ht="21" customHeight="1" thickTop="1" thickBot="1">
      <c r="A63" s="455"/>
      <c r="B63" s="456"/>
      <c r="C63" s="456"/>
      <c r="D63" s="456"/>
      <c r="E63" s="482"/>
      <c r="F63" s="456"/>
      <c r="G63" s="456"/>
      <c r="H63" s="456"/>
      <c r="I63" s="456"/>
      <c r="J63" s="455"/>
      <c r="K63" s="455"/>
      <c r="L63" s="512"/>
      <c r="M63" s="510"/>
      <c r="N63" s="194">
        <v>5</v>
      </c>
      <c r="O63" s="205"/>
      <c r="P63" s="196"/>
      <c r="Q63" s="196"/>
      <c r="R63" s="196"/>
      <c r="S63" s="196"/>
      <c r="T63" s="196"/>
      <c r="U63" s="196"/>
      <c r="V63" s="196"/>
      <c r="W63" s="184">
        <f t="shared" si="1"/>
        <v>0</v>
      </c>
      <c r="X63" s="186" t="str">
        <f t="shared" si="0"/>
        <v>DEBIL</v>
      </c>
      <c r="Y63" s="222"/>
      <c r="Z63" s="187" t="str">
        <f t="shared" si="2"/>
        <v/>
      </c>
      <c r="AA63" s="184" t="str">
        <f t="shared" si="3"/>
        <v>SI</v>
      </c>
      <c r="AB63" s="196"/>
      <c r="AC63" s="513"/>
      <c r="AD63" s="513"/>
      <c r="AE63" s="514"/>
      <c r="AF63" s="514"/>
      <c r="AG63" s="515"/>
      <c r="AH63" s="515"/>
      <c r="AI63" s="508"/>
      <c r="AJ63" s="508"/>
      <c r="AK63" s="512"/>
      <c r="AL63" s="510"/>
      <c r="AM63" s="477"/>
      <c r="AN63" s="196"/>
      <c r="AO63" s="194"/>
      <c r="AP63" s="197"/>
      <c r="AQ63" s="114"/>
      <c r="AR63" s="142"/>
      <c r="AS63" s="114"/>
      <c r="AT63" s="142"/>
      <c r="AU63" s="114"/>
      <c r="AV63" s="142"/>
      <c r="AW63" s="114"/>
      <c r="AX63" s="142"/>
      <c r="AY63" s="173"/>
      <c r="AZ63" s="142"/>
      <c r="BA63" s="142"/>
      <c r="BB63" s="173"/>
      <c r="BC63" s="114"/>
      <c r="BD63" s="114"/>
      <c r="BE63" s="142"/>
      <c r="BF63" s="142"/>
      <c r="BG63" s="173"/>
      <c r="BH63" s="114"/>
      <c r="BI63" s="114"/>
      <c r="BJ63" s="142"/>
      <c r="BK63" s="142"/>
      <c r="BL63" s="173"/>
      <c r="BM63" s="114"/>
      <c r="BN63" s="114"/>
      <c r="BO63" s="142"/>
      <c r="BP63" s="142"/>
      <c r="BQ63" s="173"/>
      <c r="BR63" s="114"/>
      <c r="BS63" s="114"/>
      <c r="BT63" s="114"/>
      <c r="BU63" s="142"/>
      <c r="BV63" s="142"/>
      <c r="BW63" s="142"/>
      <c r="BX63" s="114"/>
      <c r="BY63" s="142"/>
      <c r="BZ63" s="142"/>
      <c r="CA63" s="114"/>
      <c r="CB63" s="142"/>
      <c r="CC63" s="173"/>
      <c r="CD63" s="142"/>
    </row>
    <row r="64" spans="1:108" ht="21" customHeight="1" thickTop="1" thickBot="1">
      <c r="A64" s="455"/>
      <c r="B64" s="456"/>
      <c r="C64" s="456"/>
      <c r="D64" s="456"/>
      <c r="E64" s="482"/>
      <c r="F64" s="456"/>
      <c r="G64" s="456"/>
      <c r="H64" s="456"/>
      <c r="I64" s="456"/>
      <c r="J64" s="455"/>
      <c r="K64" s="455"/>
      <c r="L64" s="512"/>
      <c r="M64" s="511"/>
      <c r="N64" s="194">
        <v>6</v>
      </c>
      <c r="O64" s="205"/>
      <c r="P64" s="196"/>
      <c r="Q64" s="196"/>
      <c r="R64" s="196"/>
      <c r="S64" s="196"/>
      <c r="T64" s="196"/>
      <c r="U64" s="196"/>
      <c r="V64" s="196"/>
      <c r="W64" s="184">
        <f t="shared" si="1"/>
        <v>0</v>
      </c>
      <c r="X64" s="186" t="str">
        <f t="shared" si="0"/>
        <v>DEBIL</v>
      </c>
      <c r="Y64" s="222"/>
      <c r="Z64" s="187" t="str">
        <f t="shared" si="2"/>
        <v/>
      </c>
      <c r="AA64" s="184" t="str">
        <f t="shared" si="3"/>
        <v>SI</v>
      </c>
      <c r="AB64" s="196"/>
      <c r="AC64" s="513"/>
      <c r="AD64" s="513"/>
      <c r="AE64" s="514"/>
      <c r="AF64" s="514"/>
      <c r="AG64" s="515"/>
      <c r="AH64" s="515"/>
      <c r="AI64" s="508"/>
      <c r="AJ64" s="508"/>
      <c r="AK64" s="512"/>
      <c r="AL64" s="511"/>
      <c r="AM64" s="478"/>
      <c r="AN64" s="196"/>
      <c r="AO64" s="194"/>
      <c r="AP64" s="197"/>
      <c r="AQ64" s="114"/>
      <c r="AR64" s="142"/>
      <c r="AS64" s="114"/>
      <c r="AT64" s="142"/>
      <c r="AU64" s="114"/>
      <c r="AV64" s="142"/>
      <c r="AW64" s="114"/>
      <c r="AX64" s="142"/>
      <c r="AY64" s="173"/>
      <c r="AZ64" s="142"/>
      <c r="BA64" s="142"/>
      <c r="BB64" s="173"/>
      <c r="BC64" s="114"/>
      <c r="BD64" s="114"/>
      <c r="BE64" s="142"/>
      <c r="BF64" s="142"/>
      <c r="BG64" s="173"/>
      <c r="BH64" s="114"/>
      <c r="BI64" s="114"/>
      <c r="BJ64" s="142"/>
      <c r="BK64" s="142"/>
      <c r="BL64" s="173"/>
      <c r="BM64" s="114"/>
      <c r="BN64" s="114"/>
      <c r="BO64" s="142"/>
      <c r="BP64" s="142"/>
      <c r="BQ64" s="173"/>
      <c r="BR64" s="114"/>
      <c r="BS64" s="114"/>
      <c r="BT64" s="114"/>
      <c r="BU64" s="142"/>
      <c r="BV64" s="142"/>
      <c r="BW64" s="142"/>
      <c r="BX64" s="114"/>
      <c r="BY64" s="142"/>
      <c r="BZ64" s="142"/>
      <c r="CA64" s="114"/>
      <c r="CB64" s="142"/>
      <c r="CC64" s="173"/>
      <c r="CD64" s="142"/>
    </row>
    <row r="65" ht="21" customHeight="1" thickTop="1"/>
  </sheetData>
  <sheetProtection algorithmName="SHA-512" hashValue="EjW2sEU4T8cFClPR5h34+TWjAkKSBhF5HeWbHg+gz5zaTk+r/BiGi8n3gHwsb8k6bG/m81ffociZRus9qWPk9g==" saltValue="J91ELnLwkMCmCCw1GnvJXQ==" spinCount="100000" sheet="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72" priority="32" stopIfTrue="1" operator="equal">
      <formula>"Muy Alta"</formula>
    </cfRule>
    <cfRule type="containsText" dxfId="71" priority="33" operator="containsText" text="ZONA RIESGO ALTA">
      <formula>NOT(ISERROR(SEARCH("ZONA RIESGO ALTA",M5)))</formula>
    </cfRule>
    <cfRule type="containsText" dxfId="70" priority="34" operator="containsText" text="ZONA RIESGO MODERADA">
      <formula>NOT(ISERROR(SEARCH("ZONA RIESGO MODERADA",M5)))</formula>
    </cfRule>
    <cfRule type="containsText" dxfId="69" priority="35" operator="containsText" text="ZONA RIESGO BAJA">
      <formula>NOT(ISERROR(SEARCH("ZONA RIESGO BAJA",M5)))</formula>
    </cfRule>
    <cfRule type="cellIs" dxfId="68" priority="36" operator="equal">
      <formula>"Muy Baja"</formula>
    </cfRule>
  </conditionalFormatting>
  <conditionalFormatting sqref="M5:M64">
    <cfRule type="containsText" dxfId="67" priority="31" operator="containsText" text="ZONA RIESGO EXTREMA">
      <formula>NOT(ISERROR(SEARCH("ZONA RIESGO EXTREMA",M5)))</formula>
    </cfRule>
  </conditionalFormatting>
  <conditionalFormatting sqref="X5:X64">
    <cfRule type="containsText" dxfId="66" priority="28" operator="containsText" text="DEBIL">
      <formula>NOT(ISERROR(SEARCH("DEBIL",X5)))</formula>
    </cfRule>
    <cfRule type="containsText" dxfId="65" priority="29" operator="containsText" text="MODERADO">
      <formula>NOT(ISERROR(SEARCH("MODERADO",X5)))</formula>
    </cfRule>
    <cfRule type="containsText" dxfId="64" priority="30" operator="containsText" text="FUERTE">
      <formula>NOT(ISERROR(SEARCH("FUERTE",X5)))</formula>
    </cfRule>
  </conditionalFormatting>
  <conditionalFormatting sqref="AC5:AD5 AC11:AD11 AC17:AD17 AC23:AD23 AC29:AD29 AC35:AD35 AC41:AD41 AC47:AD47 AC53:AD53 AC59:AD59">
    <cfRule type="containsText" dxfId="63" priority="17" operator="containsText" text="DEBIL">
      <formula>NOT(ISERROR(SEARCH("DEBIL",AC5)))</formula>
    </cfRule>
    <cfRule type="containsText" dxfId="62" priority="18" operator="containsText" text="MODERADO">
      <formula>NOT(ISERROR(SEARCH("MODERADO",AC5)))</formula>
    </cfRule>
    <cfRule type="containsText" dxfId="61" priority="19" operator="containsText" text="FUERTE">
      <formula>NOT(ISERROR(SEARCH("FUERTE",AC5)))</formula>
    </cfRule>
  </conditionalFormatting>
  <conditionalFormatting sqref="AI5:AJ5 AI11:AJ11 AI17:AJ17 AI23:AJ23 AI29:AJ29 AI35:AJ35 AI41:AJ41 AI47:AJ47 AI53:AJ53 AI59:AJ59">
    <cfRule type="containsText" dxfId="60" priority="1" operator="containsText" text="casi seguro">
      <formula>NOT(ISERROR(SEARCH("casi seguro",AI5)))</formula>
    </cfRule>
    <cfRule type="containsText" dxfId="59" priority="2" operator="containsText" text="PROBABLE">
      <formula>NOT(ISERROR(SEARCH("PROBABLE",AI5)))</formula>
    </cfRule>
    <cfRule type="containsText" dxfId="58" priority="3" operator="containsText" text="posible">
      <formula>NOT(ISERROR(SEARCH("posible",AI5)))</formula>
    </cfRule>
    <cfRule type="containsText" dxfId="57" priority="4" operator="containsText" text="Improbable">
      <formula>NOT(ISERROR(SEARCH("Improbable",AI5)))</formula>
    </cfRule>
    <cfRule type="containsText" dxfId="56" priority="5" operator="containsText" text="Rara vez">
      <formula>NOT(ISERROR(SEARCH("Rara vez",AI5)))</formula>
    </cfRule>
  </conditionalFormatting>
  <conditionalFormatting sqref="AL5 AL11 AL17 AL23 AL29 AL35 AL41 AL47 AL53 AL59">
    <cfRule type="cellIs" dxfId="55" priority="12" stopIfTrue="1" operator="equal">
      <formula>"Muy Alta"</formula>
    </cfRule>
    <cfRule type="containsText" dxfId="54" priority="13" operator="containsText" text="ZONA RIESGO ALTA">
      <formula>NOT(ISERROR(SEARCH("ZONA RIESGO ALTA",AL5)))</formula>
    </cfRule>
    <cfRule type="containsText" dxfId="53" priority="14" operator="containsText" text="ZONA RIESGO MODERADA">
      <formula>NOT(ISERROR(SEARCH("ZONA RIESGO MODERADA",AL5)))</formula>
    </cfRule>
    <cfRule type="containsText" dxfId="52" priority="15" operator="containsText" text="ZONA RIESGO BAJA">
      <formula>NOT(ISERROR(SEARCH("ZONA RIESGO BAJA",AL5)))</formula>
    </cfRule>
    <cfRule type="cellIs" dxfId="51" priority="16" operator="equal">
      <formula>"Muy Baja"</formula>
    </cfRule>
  </conditionalFormatting>
  <conditionalFormatting sqref="AL5:AL64">
    <cfRule type="containsText" dxfId="50" priority="11" operator="containsText" text="ZONA RIESGO EXTREMA">
      <formula>NOT(ISERROR(SEARCH("ZONA RIESGO EXTREMA",AL5)))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6" operator="containsText" id="{AD203612-25EC-4686-BFE9-6479FC2C2B07}">
            <xm:f>NOT(ISERROR(SEARCH(#REF!,AI5)))</xm:f>
            <xm:f>#REF!</xm:f>
            <x14:dxf>
              <fill>
                <gradientFill degree="180">
                  <stop position="0">
                    <color rgb="FF008744"/>
                  </stop>
                  <stop position="1">
                    <color theme="0"/>
                  </stop>
                </gradientFill>
              </fill>
            </x14:dxf>
          </x14:cfRule>
          <x14:cfRule type="containsText" priority="8" operator="containsText" id="{DA000740-0671-441C-928E-6090D22BF798}">
            <xm:f>NOT(ISERROR(SEARCH(#REF!,AI5)))</xm:f>
            <xm:f>#REF!</xm:f>
            <x14:dxf>
              <fill>
                <gradientFill degree="180">
                  <stop position="0">
                    <color rgb="FF008744"/>
                  </stop>
                  <stop position="1">
                    <color rgb="FFFFFFFF"/>
                  </stop>
                </gradientFill>
              </fill>
            </x14:dxf>
          </x14:cfRule>
          <x14:cfRule type="containsText" priority="9" operator="containsText" id="{4967739F-55D5-41FA-8786-9A66FF772A44}">
            <xm:f>NOT(ISERROR(SEARCH(#REF!,AI5)))</xm:f>
            <xm:f>#REF!</xm:f>
            <x14:dxf>
              <fill>
                <gradientFill>
                  <stop position="0">
                    <color theme="0"/>
                  </stop>
                  <stop position="1">
                    <color rgb="FFFFFF00"/>
                  </stop>
                </gradientFill>
              </fill>
            </x14:dxf>
          </x14:cfRule>
          <x14:cfRule type="containsText" priority="10" operator="containsText" id="{415CE5F9-37B2-4B45-A599-4D477427DE99}">
            <xm:f>NOT(ISERROR(SEARCH(#REF!,AI5)))</xm:f>
            <xm:f>#REF!</xm:f>
            <x14:dxf>
              <fill>
                <gradientFill degree="180">
                  <stop position="0">
                    <color rgb="FFFFA700"/>
                  </stop>
                  <stop position="1">
                    <color theme="0"/>
                  </stop>
                </gradientFill>
              </fill>
            </x14:dxf>
          </x14:cfRule>
          <xm:sqref>AI5:AJ5 AI11:AJ11 AI17:AJ17 AI23:AJ23 AI29:AJ29 AI35:AJ35 AI41:AJ41 AI47:AJ47 AI53:AJ53 AI59:AJ59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BS5:BS64 BN5:BN64 BI7:BI64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36"/>
  <sheetViews>
    <sheetView tabSelected="1" topLeftCell="BX19" zoomScale="80" zoomScaleNormal="80" zoomScaleSheetLayoutView="10" zoomScalePageLayoutView="55" workbookViewId="0">
      <selection activeCell="CD20" sqref="CD20"/>
    </sheetView>
  </sheetViews>
  <sheetFormatPr defaultColWidth="11.42578125" defaultRowHeight="33" customHeight="1"/>
  <cols>
    <col min="1" max="1" width="4" style="192" bestFit="1" customWidth="1"/>
    <col min="2" max="4" width="18.7109375" style="193" customWidth="1"/>
    <col min="5" max="5" width="32.42578125" style="172" customWidth="1"/>
    <col min="6" max="7" width="18.7109375" style="193" customWidth="1"/>
    <col min="8" max="8" width="14.140625" style="192" customWidth="1"/>
    <col min="9" max="9" width="30.140625" style="192" bestFit="1" customWidth="1"/>
    <col min="10" max="10" width="58" style="192" bestFit="1" customWidth="1"/>
    <col min="11" max="11" width="19" style="192" customWidth="1"/>
    <col min="12" max="12" width="32.42578125" style="172" customWidth="1"/>
    <col min="13" max="13" width="17.85546875" style="172" customWidth="1"/>
    <col min="14" max="14" width="18.85546875" style="172" customWidth="1"/>
    <col min="15" max="15" width="6.28515625" style="172" customWidth="1"/>
    <col min="16" max="16" width="27" style="172" customWidth="1"/>
    <col min="17" max="17" width="16.140625" style="172" customWidth="1"/>
    <col min="18" max="18" width="17.5703125" style="172" customWidth="1"/>
    <col min="19" max="19" width="6.28515625" style="172" customWidth="1"/>
    <col min="20" max="20" width="16" style="172" customWidth="1"/>
    <col min="21" max="21" width="5.85546875" style="172" customWidth="1"/>
    <col min="22" max="22" width="58.7109375" style="210" customWidth="1"/>
    <col min="23" max="24" width="15.140625" style="172" hidden="1" customWidth="1"/>
    <col min="25" max="25" width="21" style="172" hidden="1" customWidth="1"/>
    <col min="26" max="26" width="19.28515625" style="172" hidden="1" customWidth="1"/>
    <col min="27" max="27" width="28.42578125" style="172" hidden="1" customWidth="1"/>
    <col min="28" max="28" width="6.85546875" style="172" hidden="1" customWidth="1"/>
    <col min="29" max="29" width="5" style="172" hidden="1" customWidth="1"/>
    <col min="30" max="30" width="5.5703125" style="172" hidden="1" customWidth="1"/>
    <col min="31" max="31" width="7.140625" style="172" hidden="1" customWidth="1"/>
    <col min="32" max="32" width="6.7109375" style="172" hidden="1" customWidth="1"/>
    <col min="33" max="33" width="7.5703125" style="172" hidden="1" customWidth="1"/>
    <col min="34" max="34" width="8.140625" style="172" hidden="1" customWidth="1"/>
    <col min="35" max="35" width="8.7109375" style="172" hidden="1" customWidth="1"/>
    <col min="36" max="36" width="10.42578125" style="172" hidden="1" customWidth="1"/>
    <col min="37" max="37" width="9.28515625" style="172" hidden="1" customWidth="1"/>
    <col min="38" max="38" width="9.140625" style="172" hidden="1" customWidth="1"/>
    <col min="39" max="39" width="8.42578125" style="172" hidden="1" customWidth="1"/>
    <col min="40" max="40" width="7.28515625" style="172" hidden="1" customWidth="1"/>
    <col min="41" max="41" width="39.85546875" style="218" customWidth="1"/>
    <col min="42" max="42" width="30.7109375" style="210" customWidth="1"/>
    <col min="43" max="43" width="13.28515625" style="172" customWidth="1"/>
    <col min="44" max="44" width="14.28515625" style="171" hidden="1" customWidth="1"/>
    <col min="45" max="45" width="75.140625" style="171" hidden="1" customWidth="1"/>
    <col min="46" max="46" width="20.5703125" style="149" customWidth="1"/>
    <col min="47" max="47" width="18.5703125" style="149" customWidth="1"/>
    <col min="48" max="48" width="20.5703125" style="149" customWidth="1"/>
    <col min="49" max="49" width="44.140625" style="149" customWidth="1"/>
    <col min="50" max="50" width="20.5703125" style="149" hidden="1" customWidth="1"/>
    <col min="51" max="51" width="18.5703125" style="149" hidden="1" customWidth="1"/>
    <col min="52" max="52" width="21" style="149" hidden="1" customWidth="1"/>
    <col min="53" max="53" width="23" style="172" hidden="1" customWidth="1"/>
    <col min="54" max="54" width="92.5703125" style="172" hidden="1" customWidth="1"/>
    <col min="55" max="55" width="18.85546875" style="172" hidden="1" customWidth="1"/>
    <col min="56" max="56" width="63.85546875" style="172" hidden="1" customWidth="1"/>
    <col min="57" max="57" width="19.5703125" style="172" hidden="1" customWidth="1"/>
    <col min="58" max="58" width="23" style="149" customWidth="1"/>
    <col min="59" max="59" width="45.28515625" style="149" customWidth="1"/>
    <col min="60" max="60" width="18.85546875" style="149" customWidth="1"/>
    <col min="61" max="61" width="53.5703125" style="149" customWidth="1"/>
    <col min="62" max="62" width="19.5703125" style="149" customWidth="1"/>
    <col min="63" max="63" width="23" style="149" customWidth="1"/>
    <col min="64" max="64" width="41.85546875" style="149" customWidth="1"/>
    <col min="65" max="65" width="18.85546875" style="149" customWidth="1"/>
    <col min="66" max="66" width="45.42578125" style="149" customWidth="1"/>
    <col min="67" max="67" width="19.5703125" style="149" customWidth="1"/>
    <col min="68" max="69" width="23" style="149" hidden="1" customWidth="1"/>
    <col min="70" max="70" width="18.85546875" style="149" hidden="1" customWidth="1"/>
    <col min="71" max="71" width="16.85546875" style="149" hidden="1" customWidth="1"/>
    <col min="72" max="72" width="19.5703125" style="149" hidden="1" customWidth="1"/>
    <col min="73" max="73" width="20.5703125" style="149" customWidth="1"/>
    <col min="74" max="75" width="23" style="149" customWidth="1"/>
    <col min="76" max="76" width="18.5703125" style="149" customWidth="1"/>
    <col min="77" max="77" width="20.5703125" style="172" customWidth="1"/>
    <col min="78" max="78" width="23" style="172" customWidth="1"/>
    <col min="79" max="79" width="18.5703125" style="172" customWidth="1"/>
    <col min="80" max="80" width="20.5703125" style="149" customWidth="1"/>
    <col min="81" max="81" width="51.85546875" style="149" customWidth="1"/>
    <col min="82" max="82" width="43.7109375" style="149" customWidth="1"/>
    <col min="83" max="83" width="38.85546875" style="149" customWidth="1"/>
    <col min="84" max="16384" width="11.42578125" style="149"/>
  </cols>
  <sheetData>
    <row r="1" spans="1:109" ht="33" customHeight="1">
      <c r="A1" s="198"/>
      <c r="B1" s="199"/>
      <c r="C1" s="199"/>
      <c r="D1" s="199"/>
      <c r="E1" s="170"/>
      <c r="F1" s="199"/>
      <c r="G1" s="199"/>
      <c r="H1" s="200"/>
      <c r="I1" s="200"/>
      <c r="J1" s="200"/>
      <c r="K1" s="198"/>
      <c r="L1" s="170"/>
      <c r="M1" s="170"/>
      <c r="N1" s="170"/>
      <c r="O1" s="170"/>
      <c r="P1" s="170"/>
      <c r="Q1" s="170"/>
      <c r="R1" s="170"/>
      <c r="S1" s="170"/>
      <c r="T1" s="170"/>
      <c r="U1" s="170"/>
      <c r="V1" s="201"/>
      <c r="W1" s="170"/>
      <c r="X1" s="170"/>
      <c r="Y1" s="170"/>
      <c r="Z1" s="170"/>
      <c r="AA1" s="170"/>
      <c r="AB1" s="170"/>
      <c r="AC1" s="170"/>
      <c r="AD1" s="170"/>
      <c r="AE1" s="170"/>
      <c r="AF1" s="170"/>
      <c r="AG1" s="170"/>
      <c r="AH1" s="170"/>
      <c r="AI1" s="170"/>
      <c r="AJ1" s="170"/>
      <c r="AK1" s="170"/>
      <c r="AL1" s="170"/>
      <c r="AM1" s="170"/>
      <c r="AN1" s="170"/>
      <c r="AO1" s="169"/>
      <c r="AP1" s="168"/>
      <c r="AQ1" s="148"/>
      <c r="AR1" s="168"/>
      <c r="AS1" s="168"/>
      <c r="AT1" s="148"/>
      <c r="AU1" s="148"/>
      <c r="AV1" s="148"/>
      <c r="AW1" s="148"/>
      <c r="AX1" s="148"/>
      <c r="AY1" s="148"/>
      <c r="AZ1" s="148"/>
      <c r="BA1" s="170"/>
      <c r="BB1" s="170"/>
      <c r="BC1" s="170"/>
      <c r="BD1" s="170"/>
      <c r="BE1" s="170"/>
      <c r="BF1" s="148"/>
      <c r="BG1" s="148"/>
      <c r="BH1" s="148"/>
      <c r="BI1" s="148"/>
      <c r="BJ1" s="148"/>
      <c r="BK1" s="148"/>
      <c r="BL1" s="148"/>
      <c r="BM1" s="148"/>
      <c r="BN1" s="148"/>
      <c r="BO1" s="148"/>
      <c r="BP1" s="148"/>
      <c r="BQ1" s="148"/>
      <c r="BR1" s="148"/>
      <c r="BS1" s="148"/>
      <c r="BT1" s="148"/>
      <c r="BU1" s="148"/>
      <c r="BV1" s="148"/>
      <c r="BW1" s="148"/>
      <c r="BX1" s="148"/>
      <c r="BY1" s="170"/>
      <c r="BZ1" s="170"/>
      <c r="CA1" s="170"/>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row>
    <row r="2" spans="1:109" ht="33" customHeight="1">
      <c r="A2" s="460" t="s">
        <v>124</v>
      </c>
      <c r="B2" s="461"/>
      <c r="C2" s="461"/>
      <c r="D2" s="461"/>
      <c r="E2" s="461"/>
      <c r="F2" s="461"/>
      <c r="G2" s="461"/>
      <c r="H2" s="461"/>
      <c r="I2" s="461"/>
      <c r="J2" s="461"/>
      <c r="K2" s="461"/>
      <c r="L2" s="462"/>
      <c r="M2" s="460" t="s">
        <v>125</v>
      </c>
      <c r="N2" s="461"/>
      <c r="O2" s="461"/>
      <c r="P2" s="461"/>
      <c r="Q2" s="461"/>
      <c r="R2" s="461"/>
      <c r="S2" s="461"/>
      <c r="T2" s="462"/>
      <c r="U2" s="495" t="s">
        <v>126</v>
      </c>
      <c r="V2" s="495"/>
      <c r="W2" s="495"/>
      <c r="X2" s="495"/>
      <c r="Y2" s="495"/>
      <c r="Z2" s="495"/>
      <c r="AA2" s="495"/>
      <c r="AB2" s="495"/>
      <c r="AC2" s="495"/>
      <c r="AD2" s="495"/>
      <c r="AE2" s="495"/>
      <c r="AF2" s="495"/>
      <c r="AG2" s="495"/>
      <c r="AH2" s="495" t="s">
        <v>127</v>
      </c>
      <c r="AI2" s="495"/>
      <c r="AJ2" s="495"/>
      <c r="AK2" s="495"/>
      <c r="AL2" s="495"/>
      <c r="AM2" s="495"/>
      <c r="AN2" s="495"/>
      <c r="AO2" s="504" t="s">
        <v>128</v>
      </c>
      <c r="AP2" s="504"/>
      <c r="AQ2" s="504"/>
      <c r="AR2" s="504"/>
      <c r="AS2" s="504"/>
      <c r="AT2" s="504"/>
      <c r="AU2" s="504"/>
      <c r="AV2" s="504"/>
      <c r="AW2" s="504"/>
      <c r="AX2" s="504"/>
      <c r="AY2" s="504"/>
      <c r="AZ2" s="504"/>
      <c r="BA2" s="453" t="s">
        <v>129</v>
      </c>
      <c r="BB2" s="453"/>
      <c r="BC2" s="453"/>
      <c r="BD2" s="453"/>
      <c r="BE2" s="453"/>
      <c r="BF2" s="453" t="s">
        <v>130</v>
      </c>
      <c r="BG2" s="453"/>
      <c r="BH2" s="453"/>
      <c r="BI2" s="453"/>
      <c r="BJ2" s="453"/>
      <c r="BK2" s="453" t="s">
        <v>131</v>
      </c>
      <c r="BL2" s="453"/>
      <c r="BM2" s="453"/>
      <c r="BN2" s="453"/>
      <c r="BO2" s="453"/>
      <c r="BP2" s="453" t="s">
        <v>132</v>
      </c>
      <c r="BQ2" s="453"/>
      <c r="BR2" s="453"/>
      <c r="BS2" s="453"/>
      <c r="BT2" s="453"/>
      <c r="BU2" s="501" t="s">
        <v>133</v>
      </c>
      <c r="BV2" s="501"/>
      <c r="BW2" s="501"/>
      <c r="BX2" s="501"/>
      <c r="BY2" s="466" t="s">
        <v>134</v>
      </c>
      <c r="BZ2" s="466"/>
      <c r="CA2" s="466"/>
      <c r="CB2" s="457" t="s">
        <v>135</v>
      </c>
      <c r="CC2" s="458"/>
      <c r="CD2" s="458"/>
      <c r="CE2" s="459"/>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row>
    <row r="3" spans="1:109" ht="33" customHeight="1">
      <c r="A3" s="535" t="s">
        <v>136</v>
      </c>
      <c r="B3" s="492" t="s">
        <v>7</v>
      </c>
      <c r="C3" s="492" t="s">
        <v>9</v>
      </c>
      <c r="D3" s="492" t="s">
        <v>11</v>
      </c>
      <c r="E3" s="495" t="s">
        <v>21</v>
      </c>
      <c r="F3" s="492" t="s">
        <v>348</v>
      </c>
      <c r="G3" s="492" t="s">
        <v>349</v>
      </c>
      <c r="H3" s="495" t="s">
        <v>15</v>
      </c>
      <c r="I3" s="495" t="s">
        <v>350</v>
      </c>
      <c r="J3" s="495" t="s">
        <v>351</v>
      </c>
      <c r="K3" s="492" t="s">
        <v>23</v>
      </c>
      <c r="L3" s="495" t="s">
        <v>352</v>
      </c>
      <c r="M3" s="492" t="s">
        <v>139</v>
      </c>
      <c r="N3" s="492" t="s">
        <v>140</v>
      </c>
      <c r="O3" s="495" t="s">
        <v>141</v>
      </c>
      <c r="P3" s="492" t="s">
        <v>142</v>
      </c>
      <c r="Q3" s="492" t="s">
        <v>143</v>
      </c>
      <c r="R3" s="492" t="s">
        <v>144</v>
      </c>
      <c r="S3" s="495" t="s">
        <v>141</v>
      </c>
      <c r="T3" s="492" t="s">
        <v>29</v>
      </c>
      <c r="U3" s="494" t="s">
        <v>145</v>
      </c>
      <c r="V3" s="492" t="s">
        <v>31</v>
      </c>
      <c r="W3" s="492" t="s">
        <v>33</v>
      </c>
      <c r="X3" s="496" t="s">
        <v>146</v>
      </c>
      <c r="Y3" s="497"/>
      <c r="Z3" s="497"/>
      <c r="AA3" s="498"/>
      <c r="AB3" s="492" t="s">
        <v>147</v>
      </c>
      <c r="AC3" s="492"/>
      <c r="AD3" s="492"/>
      <c r="AE3" s="492"/>
      <c r="AF3" s="492"/>
      <c r="AG3" s="492"/>
      <c r="AH3" s="494" t="s">
        <v>148</v>
      </c>
      <c r="AI3" s="494" t="s">
        <v>149</v>
      </c>
      <c r="AJ3" s="494" t="s">
        <v>141</v>
      </c>
      <c r="AK3" s="494" t="s">
        <v>150</v>
      </c>
      <c r="AL3" s="494" t="s">
        <v>141</v>
      </c>
      <c r="AM3" s="494" t="s">
        <v>151</v>
      </c>
      <c r="AN3" s="494" t="s">
        <v>49</v>
      </c>
      <c r="AO3" s="472" t="s">
        <v>152</v>
      </c>
      <c r="AP3" s="472" t="s">
        <v>153</v>
      </c>
      <c r="AQ3" s="472" t="s">
        <v>154</v>
      </c>
      <c r="AR3" s="472" t="s">
        <v>155</v>
      </c>
      <c r="AS3" s="472" t="s">
        <v>156</v>
      </c>
      <c r="AT3" s="531" t="s">
        <v>155</v>
      </c>
      <c r="AU3" s="532" t="s">
        <v>157</v>
      </c>
      <c r="AV3" s="531" t="s">
        <v>155</v>
      </c>
      <c r="AW3" s="531" t="s">
        <v>158</v>
      </c>
      <c r="AX3" s="531" t="s">
        <v>155</v>
      </c>
      <c r="AY3" s="532" t="s">
        <v>159</v>
      </c>
      <c r="AZ3" s="531" t="s">
        <v>53</v>
      </c>
      <c r="BA3" s="454" t="s">
        <v>160</v>
      </c>
      <c r="BB3" s="454" t="s">
        <v>161</v>
      </c>
      <c r="BC3" s="454" t="s">
        <v>153</v>
      </c>
      <c r="BD3" s="454" t="s">
        <v>162</v>
      </c>
      <c r="BE3" s="454" t="s">
        <v>163</v>
      </c>
      <c r="BF3" s="534" t="s">
        <v>160</v>
      </c>
      <c r="BG3" s="534" t="s">
        <v>161</v>
      </c>
      <c r="BH3" s="534" t="s">
        <v>153</v>
      </c>
      <c r="BI3" s="534" t="s">
        <v>162</v>
      </c>
      <c r="BJ3" s="534" t="s">
        <v>163</v>
      </c>
      <c r="BK3" s="534" t="s">
        <v>160</v>
      </c>
      <c r="BL3" s="534" t="s">
        <v>161</v>
      </c>
      <c r="BM3" s="534" t="s">
        <v>153</v>
      </c>
      <c r="BN3" s="534" t="s">
        <v>162</v>
      </c>
      <c r="BO3" s="534" t="s">
        <v>163</v>
      </c>
      <c r="BP3" s="534" t="s">
        <v>160</v>
      </c>
      <c r="BQ3" s="534" t="s">
        <v>161</v>
      </c>
      <c r="BR3" s="534" t="s">
        <v>153</v>
      </c>
      <c r="BS3" s="534" t="s">
        <v>162</v>
      </c>
      <c r="BT3" s="534" t="s">
        <v>163</v>
      </c>
      <c r="BU3" s="536" t="s">
        <v>165</v>
      </c>
      <c r="BV3" s="502" t="s">
        <v>316</v>
      </c>
      <c r="BW3" s="502" t="s">
        <v>166</v>
      </c>
      <c r="BX3" s="502" t="s">
        <v>161</v>
      </c>
      <c r="BY3" s="467" t="s">
        <v>155</v>
      </c>
      <c r="BZ3" s="467" t="s">
        <v>167</v>
      </c>
      <c r="CA3" s="467" t="s">
        <v>168</v>
      </c>
      <c r="CB3" s="507" t="s">
        <v>169</v>
      </c>
      <c r="CC3" s="507" t="s">
        <v>170</v>
      </c>
      <c r="CD3" s="507" t="s">
        <v>171</v>
      </c>
      <c r="CE3" s="507" t="s">
        <v>172</v>
      </c>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row>
    <row r="4" spans="1:109" s="147" customFormat="1" ht="99.75" customHeight="1">
      <c r="A4" s="535"/>
      <c r="B4" s="492"/>
      <c r="C4" s="492"/>
      <c r="D4" s="492"/>
      <c r="E4" s="495"/>
      <c r="F4" s="492"/>
      <c r="G4" s="492"/>
      <c r="H4" s="495"/>
      <c r="I4" s="495"/>
      <c r="J4" s="495"/>
      <c r="K4" s="492"/>
      <c r="L4" s="495"/>
      <c r="M4" s="492"/>
      <c r="N4" s="492"/>
      <c r="O4" s="495"/>
      <c r="P4" s="492"/>
      <c r="Q4" s="492"/>
      <c r="R4" s="495"/>
      <c r="S4" s="495"/>
      <c r="T4" s="492"/>
      <c r="U4" s="494"/>
      <c r="V4" s="492"/>
      <c r="W4" s="492"/>
      <c r="X4" s="203" t="s">
        <v>173</v>
      </c>
      <c r="Y4" s="203" t="s">
        <v>174</v>
      </c>
      <c r="Z4" s="203" t="s">
        <v>175</v>
      </c>
      <c r="AA4" s="203" t="s">
        <v>176</v>
      </c>
      <c r="AB4" s="204" t="s">
        <v>70</v>
      </c>
      <c r="AC4" s="204" t="s">
        <v>177</v>
      </c>
      <c r="AD4" s="204" t="s">
        <v>178</v>
      </c>
      <c r="AE4" s="204" t="s">
        <v>179</v>
      </c>
      <c r="AF4" s="204" t="s">
        <v>180</v>
      </c>
      <c r="AG4" s="204" t="s">
        <v>162</v>
      </c>
      <c r="AH4" s="494"/>
      <c r="AI4" s="494"/>
      <c r="AJ4" s="494"/>
      <c r="AK4" s="494"/>
      <c r="AL4" s="494"/>
      <c r="AM4" s="494"/>
      <c r="AN4" s="494"/>
      <c r="AO4" s="472"/>
      <c r="AP4" s="472"/>
      <c r="AQ4" s="472"/>
      <c r="AR4" s="472"/>
      <c r="AS4" s="472"/>
      <c r="AT4" s="531"/>
      <c r="AU4" s="533"/>
      <c r="AV4" s="531"/>
      <c r="AW4" s="531"/>
      <c r="AX4" s="531"/>
      <c r="AY4" s="533"/>
      <c r="AZ4" s="531"/>
      <c r="BA4" s="454"/>
      <c r="BB4" s="454"/>
      <c r="BC4" s="454"/>
      <c r="BD4" s="454"/>
      <c r="BE4" s="454"/>
      <c r="BF4" s="534"/>
      <c r="BG4" s="534"/>
      <c r="BH4" s="534"/>
      <c r="BI4" s="534"/>
      <c r="BJ4" s="534"/>
      <c r="BK4" s="534"/>
      <c r="BL4" s="534"/>
      <c r="BM4" s="534"/>
      <c r="BN4" s="534"/>
      <c r="BO4" s="534"/>
      <c r="BP4" s="534"/>
      <c r="BQ4" s="534"/>
      <c r="BR4" s="534"/>
      <c r="BS4" s="534"/>
      <c r="BT4" s="534"/>
      <c r="BU4" s="536"/>
      <c r="BV4" s="502"/>
      <c r="BW4" s="502"/>
      <c r="BX4" s="502"/>
      <c r="BY4" s="467"/>
      <c r="BZ4" s="467"/>
      <c r="CA4" s="467"/>
      <c r="CB4" s="507"/>
      <c r="CC4" s="507"/>
      <c r="CD4" s="507"/>
      <c r="CE4" s="507"/>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row>
    <row r="5" spans="1:109" ht="145.5" customHeight="1">
      <c r="A5" s="455">
        <v>1</v>
      </c>
      <c r="B5" s="456" t="s">
        <v>72</v>
      </c>
      <c r="C5" s="456" t="s">
        <v>181</v>
      </c>
      <c r="D5" s="456" t="s">
        <v>182</v>
      </c>
      <c r="E5" s="482" t="s">
        <v>353</v>
      </c>
      <c r="F5" s="456" t="s">
        <v>354</v>
      </c>
      <c r="G5" s="456" t="s">
        <v>355</v>
      </c>
      <c r="H5" s="456" t="s">
        <v>183</v>
      </c>
      <c r="I5" s="196" t="s">
        <v>356</v>
      </c>
      <c r="J5" s="194" t="s">
        <v>357</v>
      </c>
      <c r="K5" s="456" t="s">
        <v>358</v>
      </c>
      <c r="L5" s="482" t="s">
        <v>359</v>
      </c>
      <c r="M5" s="455">
        <v>26</v>
      </c>
      <c r="N5" s="479" t="str">
        <f>IF(M5&lt;=0,"",IF(M5&lt;=2,"Muy Baja",IF(M5&lt;=24,"Baja",IF(M5&lt;=500,"Media",IF(M5&lt;=5000,"Alta","Muy Alta")))))</f>
        <v>Media</v>
      </c>
      <c r="O5" s="480">
        <f>IF(N5="","",IF(N5="Muy Baja",0.2,IF(N5="Baja",0.4,IF(N5="Media",0.6,IF(N5="Alta",0.8,IF(N5="Muy Alta",1,))))))</f>
        <v>0.6</v>
      </c>
      <c r="P5" s="475" t="s">
        <v>187</v>
      </c>
      <c r="Q5" s="480" t="str">
        <f>IF(NOT(ISERROR(MATCH(P5,'Tabla Impacto'!$B$221:$B$223,0))),'Tabla Impacto'!$F$223&amp;"Por favor no seleccionar los criterios de impacto(Afectación Económica o presupuestal y Pérdida Reputacional)",P5)</f>
        <v xml:space="preserve">     Entre 100 y 500 SMLMV </v>
      </c>
      <c r="R5" s="479" t="str">
        <f>IF(OR(Q5='Tabla Impacto'!$C$11,Q5='Tabla Impacto'!$D$11),"Leve",IF(OR(Q5='Tabla Impacto'!$C$12,Q5='Tabla Impacto'!$D$12),"Menor",IF(OR(Q5='Tabla Impacto'!$C$13,Q5='Tabla Impacto'!$D$13),"Moderado",IF(OR(Q5='Tabla Impacto'!$C$14,Q5='Tabla Impacto'!$D$14),"Mayor",IF(OR(Q5='Tabla Impacto'!$C$15,Q5='Tabla Impacto'!$D$15),"Catastrófico","")))))</f>
        <v>Mayor</v>
      </c>
      <c r="S5" s="480">
        <f>IF(R5="","",IF(R5="Leve",0.2,IF(R5="Menor",0.4,IF(R5="Moderado",0.6,IF(R5="Mayor",0.8,IF(R5="Catastrófico",1,))))))</f>
        <v>0.8</v>
      </c>
      <c r="T5" s="481"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Alto</v>
      </c>
      <c r="U5" s="194">
        <v>1</v>
      </c>
      <c r="V5" s="205" t="s">
        <v>360</v>
      </c>
      <c r="W5" s="178" t="str">
        <f t="shared" ref="W5:W22" si="0">IF(OR(AB5="Preventivo",AB5="Detectivo"),"Probabilidad",IF(AB5="Correctivo","Impacto",""))</f>
        <v>Probabilidad</v>
      </c>
      <c r="X5" s="178" t="s">
        <v>189</v>
      </c>
      <c r="Y5" s="178" t="s">
        <v>189</v>
      </c>
      <c r="Z5" s="178" t="s">
        <v>189</v>
      </c>
      <c r="AA5" s="178" t="s">
        <v>189</v>
      </c>
      <c r="AB5" s="206" t="s">
        <v>190</v>
      </c>
      <c r="AC5" s="206" t="s">
        <v>191</v>
      </c>
      <c r="AD5" s="179" t="str">
        <f t="shared" ref="AD5:AD22" si="1">IF(AND(AB5="Preventivo",AC5="Automático"),"50%",IF(AND(AB5="Preventivo",AC5="Manual"),"40%",IF(AND(AB5="Detectivo",AC5="Automático"),"40%",IF(AND(AB5="Detectivo",AC5="Manual"),"30%",IF(AND(AB5="Correctivo",AC5="Automático"),"35%",IF(AND(AB5="Correctivo",AC5="Manual"),"25%",""))))))</f>
        <v>40%</v>
      </c>
      <c r="AE5" s="206" t="s">
        <v>192</v>
      </c>
      <c r="AF5" s="206" t="s">
        <v>193</v>
      </c>
      <c r="AG5" s="206" t="s">
        <v>194</v>
      </c>
      <c r="AH5" s="180">
        <f>IFERROR(IF(W5="Probabilidad",(O5-(+O5*AD5)),IF(W5="Impacto",O5,"")),"")</f>
        <v>0.36</v>
      </c>
      <c r="AI5" s="181" t="str">
        <f t="shared" ref="AI5:AI22" si="2">IFERROR(IF(AH5="","",IF(AH5&lt;=0.2,"Muy Baja",IF(AH5&lt;=0.4,"Baja",IF(AH5&lt;=0.6,"Media",IF(AH5&lt;=0.8,"Alta","Muy Alta"))))),"")</f>
        <v>Baja</v>
      </c>
      <c r="AJ5" s="179">
        <f t="shared" ref="AJ5:AJ22" si="3">+AH5</f>
        <v>0.36</v>
      </c>
      <c r="AK5" s="181" t="str">
        <f t="shared" ref="AK5:AK22" si="4">IFERROR(IF(AL5="","",IF(AL5&lt;=0.2,"Leve",IF(AL5&lt;=0.4,"Menor",IF(AL5&lt;=0.6,"Moderado",IF(AL5&lt;=0.8,"Mayor","Catastrófico"))))),"")</f>
        <v>Mayor</v>
      </c>
      <c r="AL5" s="179">
        <f>IFERROR(IF(W5="Impacto",(S5-(+S5*AD5)),IF(W5="Probabilidad",S5,"")),"")</f>
        <v>0.8</v>
      </c>
      <c r="AM5" s="182" t="str">
        <f t="shared" ref="AM5:AM22" si="5">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Alto</v>
      </c>
      <c r="AN5" s="463" t="s">
        <v>195</v>
      </c>
      <c r="AO5" s="208" t="s">
        <v>361</v>
      </c>
      <c r="AP5" s="208" t="s">
        <v>362</v>
      </c>
      <c r="AQ5" s="212">
        <v>45291</v>
      </c>
      <c r="AR5" s="315" t="s">
        <v>363</v>
      </c>
      <c r="AS5" s="327" t="s">
        <v>364</v>
      </c>
      <c r="AT5" s="348" t="s">
        <v>365</v>
      </c>
      <c r="AU5" s="327" t="s">
        <v>366</v>
      </c>
      <c r="AV5" s="375" t="s">
        <v>367</v>
      </c>
      <c r="AW5" s="376" t="s">
        <v>368</v>
      </c>
      <c r="AX5" s="114"/>
      <c r="AY5" s="142"/>
      <c r="AZ5" s="173"/>
      <c r="BA5" s="286" t="s">
        <v>261</v>
      </c>
      <c r="BB5" s="304" t="s">
        <v>369</v>
      </c>
      <c r="BC5" s="304" t="s">
        <v>370</v>
      </c>
      <c r="BD5" s="298" t="s">
        <v>371</v>
      </c>
      <c r="BE5" s="197" t="s">
        <v>206</v>
      </c>
      <c r="BF5" s="286" t="s">
        <v>372</v>
      </c>
      <c r="BG5" s="304" t="s">
        <v>373</v>
      </c>
      <c r="BH5" s="342" t="s">
        <v>370</v>
      </c>
      <c r="BI5" s="363" t="s">
        <v>374</v>
      </c>
      <c r="BJ5" s="197" t="s">
        <v>206</v>
      </c>
      <c r="BK5" s="375" t="s">
        <v>375</v>
      </c>
      <c r="BL5" s="376" t="s">
        <v>376</v>
      </c>
      <c r="BM5" s="378" t="s">
        <v>370</v>
      </c>
      <c r="BN5" s="335" t="s">
        <v>377</v>
      </c>
      <c r="BO5" s="114"/>
      <c r="BP5" s="142"/>
      <c r="BQ5" s="142"/>
      <c r="BR5" s="173"/>
      <c r="BS5" s="114"/>
      <c r="BT5" s="114"/>
      <c r="BU5" s="114"/>
      <c r="BV5" s="142" t="s">
        <v>213</v>
      </c>
      <c r="BW5" s="174"/>
      <c r="BX5" s="142"/>
      <c r="BY5" s="143" t="s">
        <v>378</v>
      </c>
      <c r="BZ5" s="285" t="s">
        <v>237</v>
      </c>
      <c r="CA5" s="285" t="s">
        <v>379</v>
      </c>
      <c r="CB5" s="391" t="s">
        <v>380</v>
      </c>
      <c r="CC5" s="331" t="s">
        <v>381</v>
      </c>
      <c r="CD5" s="331" t="s">
        <v>382</v>
      </c>
      <c r="CE5" s="331" t="s">
        <v>383</v>
      </c>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row>
    <row r="6" spans="1:109" ht="136.5" customHeight="1">
      <c r="A6" s="455"/>
      <c r="B6" s="456"/>
      <c r="C6" s="456"/>
      <c r="D6" s="456"/>
      <c r="E6" s="482"/>
      <c r="F6" s="456"/>
      <c r="G6" s="456"/>
      <c r="H6" s="456"/>
      <c r="I6" s="196" t="s">
        <v>384</v>
      </c>
      <c r="J6" s="194" t="s">
        <v>385</v>
      </c>
      <c r="K6" s="456"/>
      <c r="L6" s="482"/>
      <c r="M6" s="455"/>
      <c r="N6" s="479"/>
      <c r="O6" s="480"/>
      <c r="P6" s="475"/>
      <c r="Q6" s="480">
        <f>IF(NOT(ISERROR(MATCH(P6,_xlfn.ANCHORARRAY(E17),0))),O19&amp;"Por favor no seleccionar los criterios de impacto",P6)</f>
        <v>0</v>
      </c>
      <c r="R6" s="479"/>
      <c r="S6" s="480"/>
      <c r="T6" s="481"/>
      <c r="U6" s="194">
        <v>2</v>
      </c>
      <c r="V6" s="205" t="s">
        <v>386</v>
      </c>
      <c r="W6" s="178" t="str">
        <f t="shared" si="0"/>
        <v>Probabilidad</v>
      </c>
      <c r="X6" s="178" t="s">
        <v>189</v>
      </c>
      <c r="Y6" s="178" t="s">
        <v>189</v>
      </c>
      <c r="Z6" s="178" t="s">
        <v>189</v>
      </c>
      <c r="AA6" s="178" t="s">
        <v>189</v>
      </c>
      <c r="AB6" s="206" t="s">
        <v>190</v>
      </c>
      <c r="AC6" s="206" t="s">
        <v>191</v>
      </c>
      <c r="AD6" s="179" t="str">
        <f t="shared" si="1"/>
        <v>40%</v>
      </c>
      <c r="AE6" s="206" t="s">
        <v>192</v>
      </c>
      <c r="AF6" s="206" t="s">
        <v>193</v>
      </c>
      <c r="AG6" s="206" t="s">
        <v>194</v>
      </c>
      <c r="AH6" s="180">
        <f>IFERROR(IF(AND(W5="Probabilidad",W6="Probabilidad"),(AJ5-(+AJ5*AD6)),IF(W6="Probabilidad",(O5-(+O5*AD6)),IF(W6="Impacto",AJ5,""))),"")</f>
        <v>0.216</v>
      </c>
      <c r="AI6" s="181" t="str">
        <f t="shared" si="2"/>
        <v>Baja</v>
      </c>
      <c r="AJ6" s="179">
        <f t="shared" si="3"/>
        <v>0.216</v>
      </c>
      <c r="AK6" s="181" t="str">
        <f t="shared" si="4"/>
        <v>Mayor</v>
      </c>
      <c r="AL6" s="179">
        <f>IFERROR(IF(AND(W5="Impacto",W6="Impacto"),(AL5-(+AL5*AD6)),IF(W6="Impacto",($S$5-(+$S$5*AD6)),IF(W6="Probabilidad",AL5,""))),"")</f>
        <v>0.8</v>
      </c>
      <c r="AM6" s="182" t="str">
        <f t="shared" si="5"/>
        <v>Alto</v>
      </c>
      <c r="AN6" s="464"/>
      <c r="AO6" s="209" t="s">
        <v>387</v>
      </c>
      <c r="AP6" s="208" t="s">
        <v>388</v>
      </c>
      <c r="AQ6" s="212">
        <v>45291</v>
      </c>
      <c r="AR6" s="316" t="s">
        <v>328</v>
      </c>
      <c r="AS6" s="328" t="s">
        <v>389</v>
      </c>
      <c r="AT6" s="348" t="s">
        <v>365</v>
      </c>
      <c r="AU6" s="355" t="s">
        <v>390</v>
      </c>
      <c r="AV6" s="375" t="s">
        <v>391</v>
      </c>
      <c r="AW6" s="376" t="s">
        <v>392</v>
      </c>
      <c r="AX6" s="114"/>
      <c r="AY6" s="142"/>
      <c r="AZ6" s="173"/>
      <c r="BA6" s="291" t="s">
        <v>261</v>
      </c>
      <c r="BB6" s="310" t="s">
        <v>393</v>
      </c>
      <c r="BC6" s="311" t="s">
        <v>394</v>
      </c>
      <c r="BD6" s="314" t="s">
        <v>395</v>
      </c>
      <c r="BE6" s="197" t="s">
        <v>206</v>
      </c>
      <c r="BF6" s="286" t="s">
        <v>372</v>
      </c>
      <c r="BG6" s="311" t="s">
        <v>396</v>
      </c>
      <c r="BH6" s="346" t="s">
        <v>394</v>
      </c>
      <c r="BI6" s="364" t="s">
        <v>397</v>
      </c>
      <c r="BJ6" s="197" t="s">
        <v>206</v>
      </c>
      <c r="BK6" s="375" t="s">
        <v>375</v>
      </c>
      <c r="BL6" s="376" t="s">
        <v>398</v>
      </c>
      <c r="BM6" s="379" t="s">
        <v>394</v>
      </c>
      <c r="BN6" s="372" t="s">
        <v>399</v>
      </c>
      <c r="BO6" s="114"/>
      <c r="BP6" s="142"/>
      <c r="BQ6" s="142"/>
      <c r="BR6" s="173"/>
      <c r="BS6" s="114"/>
      <c r="BT6" s="114"/>
      <c r="BU6" s="114"/>
      <c r="BV6" s="175" t="s">
        <v>213</v>
      </c>
      <c r="BW6" s="174"/>
      <c r="BX6" s="142"/>
      <c r="BY6" s="143" t="s">
        <v>378</v>
      </c>
      <c r="BZ6" s="285" t="s">
        <v>237</v>
      </c>
      <c r="CA6" s="285" t="s">
        <v>216</v>
      </c>
      <c r="CB6" s="394" t="s">
        <v>380</v>
      </c>
      <c r="CC6" s="331" t="s">
        <v>400</v>
      </c>
      <c r="CD6" s="331" t="s">
        <v>401</v>
      </c>
      <c r="CE6" s="331" t="s">
        <v>402</v>
      </c>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row>
    <row r="7" spans="1:109" s="148" customFormat="1" ht="117.75" customHeight="1">
      <c r="A7" s="455"/>
      <c r="B7" s="456"/>
      <c r="C7" s="456"/>
      <c r="D7" s="456"/>
      <c r="E7" s="482"/>
      <c r="F7" s="456"/>
      <c r="G7" s="456"/>
      <c r="H7" s="456"/>
      <c r="I7" s="195" t="s">
        <v>403</v>
      </c>
      <c r="J7" s="207" t="s">
        <v>404</v>
      </c>
      <c r="K7" s="456"/>
      <c r="L7" s="482"/>
      <c r="M7" s="455"/>
      <c r="N7" s="479"/>
      <c r="O7" s="480"/>
      <c r="P7" s="475"/>
      <c r="Q7" s="480">
        <f>IF(NOT(ISERROR(MATCH(P7,_xlfn.ANCHORARRAY(E18),0))),O20&amp;"Por favor no seleccionar los criterios de impacto",P7)</f>
        <v>0</v>
      </c>
      <c r="R7" s="479"/>
      <c r="S7" s="480"/>
      <c r="T7" s="481"/>
      <c r="U7" s="207">
        <v>3</v>
      </c>
      <c r="V7" s="208" t="s">
        <v>405</v>
      </c>
      <c r="W7" s="178" t="str">
        <f t="shared" si="0"/>
        <v>Probabilidad</v>
      </c>
      <c r="X7" s="178" t="s">
        <v>189</v>
      </c>
      <c r="Y7" s="178" t="s">
        <v>189</v>
      </c>
      <c r="Z7" s="178" t="s">
        <v>189</v>
      </c>
      <c r="AA7" s="178" t="s">
        <v>189</v>
      </c>
      <c r="AB7" s="206" t="s">
        <v>190</v>
      </c>
      <c r="AC7" s="206" t="s">
        <v>191</v>
      </c>
      <c r="AD7" s="179" t="s">
        <v>406</v>
      </c>
      <c r="AE7" s="206" t="s">
        <v>192</v>
      </c>
      <c r="AF7" s="206" t="s">
        <v>193</v>
      </c>
      <c r="AG7" s="206" t="s">
        <v>194</v>
      </c>
      <c r="AH7" s="188">
        <f>IFERROR(IF(AND(W6="Probabilidad",W7="Probabilidad"),(AJ6-(+AJ6*AD7)),IF(AND(W6="Impacto",W7="Probabilidad"),(AJ5-(+AJ5*AD7)),IF(W7="Impacto",AJ6,""))),"")</f>
        <v>0.12959999999999999</v>
      </c>
      <c r="AI7" s="189" t="str">
        <f t="shared" si="2"/>
        <v>Muy Baja</v>
      </c>
      <c r="AJ7" s="190">
        <f t="shared" si="3"/>
        <v>0.12959999999999999</v>
      </c>
      <c r="AK7" s="189" t="str">
        <f t="shared" si="4"/>
        <v>Mayor</v>
      </c>
      <c r="AL7" s="190">
        <f>IFERROR(IF(AND(W6="Impacto",W7="Impacto"),(AL6-(+AL6*AD7)),IF(AND(W6="Probabilidad",W7="Impacto"),(AL5-(+AL5*AD7)),IF(W7="Probabilidad",AL6,""))),"")</f>
        <v>0.8</v>
      </c>
      <c r="AM7" s="191" t="str">
        <f t="shared" si="5"/>
        <v>Alto</v>
      </c>
      <c r="AN7" s="464"/>
      <c r="AO7" s="213" t="s">
        <v>407</v>
      </c>
      <c r="AP7" s="208" t="s">
        <v>362</v>
      </c>
      <c r="AQ7" s="212">
        <v>45291</v>
      </c>
      <c r="AR7" s="316" t="s">
        <v>328</v>
      </c>
      <c r="AS7" s="328" t="s">
        <v>408</v>
      </c>
      <c r="AT7" s="356" t="s">
        <v>409</v>
      </c>
      <c r="AU7" s="357" t="s">
        <v>410</v>
      </c>
      <c r="AV7" s="389" t="s">
        <v>391</v>
      </c>
      <c r="AW7" s="384" t="s">
        <v>411</v>
      </c>
      <c r="AX7" s="163"/>
      <c r="AY7" s="164"/>
      <c r="AZ7" s="165"/>
      <c r="BA7" s="291" t="s">
        <v>261</v>
      </c>
      <c r="BB7" s="312" t="s">
        <v>412</v>
      </c>
      <c r="BC7" s="312" t="s">
        <v>413</v>
      </c>
      <c r="BD7" s="314" t="s">
        <v>414</v>
      </c>
      <c r="BE7" s="313" t="s">
        <v>206</v>
      </c>
      <c r="BF7" s="291" t="s">
        <v>415</v>
      </c>
      <c r="BG7" s="365" t="s">
        <v>416</v>
      </c>
      <c r="BH7" s="359" t="s">
        <v>413</v>
      </c>
      <c r="BI7" s="344" t="s">
        <v>417</v>
      </c>
      <c r="BJ7" s="313" t="s">
        <v>206</v>
      </c>
      <c r="BK7" s="375" t="s">
        <v>375</v>
      </c>
      <c r="BL7" s="380" t="s">
        <v>418</v>
      </c>
      <c r="BM7" s="381" t="s">
        <v>413</v>
      </c>
      <c r="BN7" s="332" t="s">
        <v>419</v>
      </c>
      <c r="BO7" s="114"/>
      <c r="BP7" s="166"/>
      <c r="BQ7" s="166"/>
      <c r="BR7" s="167"/>
      <c r="BS7" s="160"/>
      <c r="BT7" s="160"/>
      <c r="BU7" s="114"/>
      <c r="BV7" s="142" t="s">
        <v>213</v>
      </c>
      <c r="BW7" s="164"/>
      <c r="BX7" s="164"/>
      <c r="BY7" s="143" t="s">
        <v>378</v>
      </c>
      <c r="BZ7" s="285" t="s">
        <v>237</v>
      </c>
      <c r="CA7" s="285" t="s">
        <v>216</v>
      </c>
      <c r="CB7" s="395" t="s">
        <v>380</v>
      </c>
      <c r="CC7" s="334" t="s">
        <v>420</v>
      </c>
      <c r="CD7" s="334" t="s">
        <v>421</v>
      </c>
      <c r="CE7" s="334" t="s">
        <v>422</v>
      </c>
    </row>
    <row r="8" spans="1:109" ht="100.5" customHeight="1">
      <c r="A8" s="455"/>
      <c r="B8" s="456"/>
      <c r="C8" s="456"/>
      <c r="D8" s="456"/>
      <c r="E8" s="482"/>
      <c r="F8" s="456"/>
      <c r="G8" s="456"/>
      <c r="H8" s="456"/>
      <c r="I8" s="195" t="s">
        <v>423</v>
      </c>
      <c r="J8" s="207" t="s">
        <v>424</v>
      </c>
      <c r="K8" s="456"/>
      <c r="L8" s="482"/>
      <c r="M8" s="455"/>
      <c r="N8" s="479"/>
      <c r="O8" s="480"/>
      <c r="P8" s="475"/>
      <c r="Q8" s="480">
        <f>IF(NOT(ISERROR(MATCH(P8,_xlfn.ANCHORARRAY(E19),0))),O21&amp;"Por favor no seleccionar los criterios de impacto",P8)</f>
        <v>0</v>
      </c>
      <c r="R8" s="479"/>
      <c r="S8" s="480"/>
      <c r="T8" s="481"/>
      <c r="U8" s="194">
        <v>4</v>
      </c>
      <c r="V8" s="209" t="s">
        <v>425</v>
      </c>
      <c r="W8" s="178" t="str">
        <f t="shared" si="0"/>
        <v>Probabilidad</v>
      </c>
      <c r="X8" s="178" t="s">
        <v>189</v>
      </c>
      <c r="Y8" s="178" t="s">
        <v>189</v>
      </c>
      <c r="Z8" s="178" t="s">
        <v>189</v>
      </c>
      <c r="AA8" s="178" t="s">
        <v>189</v>
      </c>
      <c r="AB8" s="206" t="s">
        <v>190</v>
      </c>
      <c r="AC8" s="206" t="s">
        <v>191</v>
      </c>
      <c r="AD8" s="179" t="s">
        <v>406</v>
      </c>
      <c r="AE8" s="206" t="s">
        <v>192</v>
      </c>
      <c r="AF8" s="206" t="s">
        <v>193</v>
      </c>
      <c r="AG8" s="206" t="s">
        <v>194</v>
      </c>
      <c r="AH8" s="180">
        <f>IFERROR(IF(AND(W7="Probabilidad",W8="Probabilidad"),(AJ7-(+AJ7*AD8)),IF(AND(W7="Impacto",W8="Probabilidad"),(AJ6-(+AJ6*AD8)),IF(W8="Impacto",AJ7,""))),"")</f>
        <v>7.7759999999999996E-2</v>
      </c>
      <c r="AI8" s="181" t="str">
        <f t="shared" si="2"/>
        <v>Muy Baja</v>
      </c>
      <c r="AJ8" s="179">
        <f t="shared" si="3"/>
        <v>7.7759999999999996E-2</v>
      </c>
      <c r="AK8" s="181" t="str">
        <f t="shared" si="4"/>
        <v>Mayor</v>
      </c>
      <c r="AL8" s="179">
        <f>IFERROR(IF(AND(W7="Impacto",W8="Impacto"),(AL7-(+AL7*AD8)),IF(AND(W7="Probabilidad",W8="Impacto"),(AL6-(+AL6*AD8)),IF(W8="Probabilidad",AL7,""))),"")</f>
        <v>0.8</v>
      </c>
      <c r="AM8" s="182" t="str">
        <f t="shared" si="5"/>
        <v>Alto</v>
      </c>
      <c r="AN8" s="464"/>
      <c r="AO8" s="214" t="s">
        <v>426</v>
      </c>
      <c r="AP8" s="209" t="s">
        <v>427</v>
      </c>
      <c r="AQ8" s="212">
        <v>45291</v>
      </c>
      <c r="AR8" s="316" t="s">
        <v>428</v>
      </c>
      <c r="AS8" s="329" t="s">
        <v>429</v>
      </c>
      <c r="AT8" s="356" t="s">
        <v>409</v>
      </c>
      <c r="AU8" s="357" t="s">
        <v>430</v>
      </c>
      <c r="AV8" s="382" t="s">
        <v>367</v>
      </c>
      <c r="AW8" s="383" t="s">
        <v>431</v>
      </c>
      <c r="AX8" s="114"/>
      <c r="AY8" s="142"/>
      <c r="AZ8" s="173"/>
      <c r="BA8" s="291" t="s">
        <v>261</v>
      </c>
      <c r="BB8" s="312" t="s">
        <v>432</v>
      </c>
      <c r="BC8" s="311" t="s">
        <v>204</v>
      </c>
      <c r="BD8" s="314" t="s">
        <v>433</v>
      </c>
      <c r="BE8" s="313" t="s">
        <v>206</v>
      </c>
      <c r="BF8" s="291" t="s">
        <v>415</v>
      </c>
      <c r="BG8" s="311" t="s">
        <v>434</v>
      </c>
      <c r="BH8" s="357" t="s">
        <v>204</v>
      </c>
      <c r="BI8" s="364" t="s">
        <v>435</v>
      </c>
      <c r="BJ8" s="197" t="s">
        <v>206</v>
      </c>
      <c r="BK8" s="375" t="s">
        <v>375</v>
      </c>
      <c r="BL8" s="376" t="s">
        <v>436</v>
      </c>
      <c r="BM8" s="371" t="s">
        <v>204</v>
      </c>
      <c r="BN8" s="114"/>
      <c r="BO8" s="114"/>
      <c r="BP8" s="142"/>
      <c r="BQ8" s="142"/>
      <c r="BR8" s="173"/>
      <c r="BS8" s="114"/>
      <c r="BT8" s="114"/>
      <c r="BU8" s="114"/>
      <c r="BV8" s="142" t="s">
        <v>213</v>
      </c>
      <c r="BW8" s="142"/>
      <c r="BX8" s="142"/>
      <c r="BY8" s="143" t="s">
        <v>378</v>
      </c>
      <c r="BZ8" s="285" t="s">
        <v>237</v>
      </c>
      <c r="CA8" s="285" t="s">
        <v>216</v>
      </c>
      <c r="CB8" s="702" t="s">
        <v>380</v>
      </c>
      <c r="CC8" s="331" t="s">
        <v>437</v>
      </c>
      <c r="CD8" s="333" t="s">
        <v>438</v>
      </c>
      <c r="CE8" s="331" t="s">
        <v>439</v>
      </c>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row>
    <row r="9" spans="1:109" ht="22.15" customHeight="1">
      <c r="A9" s="455"/>
      <c r="B9" s="456"/>
      <c r="C9" s="456"/>
      <c r="D9" s="456"/>
      <c r="E9" s="482"/>
      <c r="F9" s="456"/>
      <c r="G9" s="456"/>
      <c r="H9" s="456"/>
      <c r="I9" s="196"/>
      <c r="J9" s="194"/>
      <c r="K9" s="456"/>
      <c r="L9" s="482"/>
      <c r="M9" s="455"/>
      <c r="N9" s="479"/>
      <c r="O9" s="480"/>
      <c r="P9" s="475"/>
      <c r="Q9" s="480">
        <f>IF(NOT(ISERROR(MATCH(P9,_xlfn.ANCHORARRAY(E20),0))),O22&amp;"Por favor no seleccionar los criterios de impacto",P9)</f>
        <v>0</v>
      </c>
      <c r="R9" s="479"/>
      <c r="S9" s="480"/>
      <c r="T9" s="481"/>
      <c r="U9" s="194">
        <v>5</v>
      </c>
      <c r="W9" s="178" t="str">
        <f t="shared" si="0"/>
        <v/>
      </c>
      <c r="X9" s="178"/>
      <c r="Y9" s="178"/>
      <c r="Z9" s="178"/>
      <c r="AA9" s="178"/>
      <c r="AB9" s="206"/>
      <c r="AC9" s="206"/>
      <c r="AD9" s="179" t="str">
        <f t="shared" si="1"/>
        <v/>
      </c>
      <c r="AE9" s="206"/>
      <c r="AF9" s="206"/>
      <c r="AG9" s="206"/>
      <c r="AH9" s="180" t="str">
        <f>IFERROR(IF(AND(W8="Probabilidad",W9="Probabilidad"),(AJ8-(+AJ8*AD9)),IF(AND(W8="Impacto",W9="Probabilidad"),(AJ7-(+AJ7*AD9)),IF(W9="Impacto",AJ8,""))),"")</f>
        <v/>
      </c>
      <c r="AI9" s="181" t="str">
        <f t="shared" si="2"/>
        <v/>
      </c>
      <c r="AJ9" s="179" t="str">
        <f t="shared" si="3"/>
        <v/>
      </c>
      <c r="AK9" s="181" t="str">
        <f t="shared" si="4"/>
        <v/>
      </c>
      <c r="AL9" s="179" t="str">
        <f>IFERROR(IF(AND(W8="Impacto",W9="Impacto"),(AL8-(+AL8*AD9)),IF(AND(W8="Probabilidad",W9="Impacto"),(AL7-(+AL7*AD9)),IF(W9="Probabilidad",AL8,""))),"")</f>
        <v/>
      </c>
      <c r="AM9" s="182" t="str">
        <f t="shared" si="5"/>
        <v/>
      </c>
      <c r="AN9" s="464"/>
      <c r="AO9" s="208"/>
      <c r="AP9" s="208"/>
      <c r="AQ9" s="212"/>
      <c r="AR9" s="293" t="s">
        <v>260</v>
      </c>
      <c r="AS9" s="289" t="s">
        <v>260</v>
      </c>
      <c r="AT9" s="358" t="s">
        <v>260</v>
      </c>
      <c r="AU9" s="357" t="s">
        <v>260</v>
      </c>
      <c r="AV9" s="114"/>
      <c r="AW9" s="142"/>
      <c r="AX9" s="114"/>
      <c r="AY9" s="142"/>
      <c r="AZ9" s="173"/>
      <c r="BA9" s="291" t="s">
        <v>260</v>
      </c>
      <c r="BB9" s="311" t="s">
        <v>260</v>
      </c>
      <c r="BC9" s="311" t="s">
        <v>260</v>
      </c>
      <c r="BD9" s="311" t="s">
        <v>260</v>
      </c>
      <c r="BE9" s="197"/>
      <c r="BF9" s="291" t="s">
        <v>260</v>
      </c>
      <c r="BG9" s="311" t="s">
        <v>260</v>
      </c>
      <c r="BH9" s="346" t="s">
        <v>260</v>
      </c>
      <c r="BI9" s="358" t="s">
        <v>260</v>
      </c>
      <c r="BJ9" s="197"/>
      <c r="BK9" s="142"/>
      <c r="BL9" s="142"/>
      <c r="BM9" s="173"/>
      <c r="BN9" s="114"/>
      <c r="BO9" s="114"/>
      <c r="BP9" s="142"/>
      <c r="BQ9" s="142"/>
      <c r="BR9" s="173"/>
      <c r="BS9" s="114"/>
      <c r="BT9" s="114"/>
      <c r="BU9" s="114"/>
      <c r="BV9" s="142"/>
      <c r="BW9" s="142"/>
      <c r="BX9" s="142"/>
      <c r="BY9" s="114"/>
      <c r="BZ9" s="142"/>
      <c r="CA9" s="142"/>
      <c r="CB9" s="114"/>
      <c r="CC9" s="142"/>
      <c r="CD9" s="173"/>
      <c r="CE9" s="142"/>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row>
    <row r="10" spans="1:109" ht="12.95" customHeight="1">
      <c r="A10" s="455"/>
      <c r="B10" s="456"/>
      <c r="C10" s="456"/>
      <c r="D10" s="456"/>
      <c r="E10" s="482"/>
      <c r="F10" s="456"/>
      <c r="G10" s="456"/>
      <c r="H10" s="456"/>
      <c r="I10" s="196"/>
      <c r="J10" s="194"/>
      <c r="K10" s="456"/>
      <c r="L10" s="482"/>
      <c r="M10" s="455"/>
      <c r="N10" s="479"/>
      <c r="O10" s="480"/>
      <c r="P10" s="475"/>
      <c r="Q10" s="480">
        <f>IF(NOT(ISERROR(MATCH(P10,_xlfn.ANCHORARRAY(E21),0))),#REF!&amp;"Por favor no seleccionar los criterios de impacto",P10)</f>
        <v>0</v>
      </c>
      <c r="R10" s="479"/>
      <c r="S10" s="480"/>
      <c r="T10" s="481"/>
      <c r="U10" s="194">
        <v>6</v>
      </c>
      <c r="V10" s="205"/>
      <c r="W10" s="178" t="str">
        <f t="shared" si="0"/>
        <v/>
      </c>
      <c r="X10" s="178"/>
      <c r="Y10" s="178"/>
      <c r="Z10" s="178"/>
      <c r="AA10" s="178"/>
      <c r="AB10" s="206"/>
      <c r="AC10" s="206"/>
      <c r="AD10" s="179" t="str">
        <f t="shared" si="1"/>
        <v/>
      </c>
      <c r="AE10" s="206"/>
      <c r="AF10" s="206"/>
      <c r="AG10" s="206"/>
      <c r="AH10" s="180" t="str">
        <f>IFERROR(IF(AND(W9="Probabilidad",W10="Probabilidad"),(AJ9-(+AJ9*AD10)),IF(AND(W9="Impacto",W10="Probabilidad"),(AJ8-(+AJ8*AD10)),IF(W10="Impacto",AJ9,""))),"")</f>
        <v/>
      </c>
      <c r="AI10" s="181" t="str">
        <f t="shared" si="2"/>
        <v/>
      </c>
      <c r="AJ10" s="179" t="str">
        <f t="shared" si="3"/>
        <v/>
      </c>
      <c r="AK10" s="181" t="str">
        <f t="shared" si="4"/>
        <v/>
      </c>
      <c r="AL10" s="179" t="str">
        <f>IFERROR(IF(AND(W9="Impacto",W10="Impacto"),(AL9-(+AL9*AD10)),IF(AND(W9="Probabilidad",W10="Impacto"),(AL8-(+AL8*AD10)),IF(W10="Probabilidad",AL9,""))),"")</f>
        <v/>
      </c>
      <c r="AM10" s="182" t="str">
        <f t="shared" si="5"/>
        <v/>
      </c>
      <c r="AN10" s="465"/>
      <c r="AO10" s="208"/>
      <c r="AP10" s="208"/>
      <c r="AQ10" s="212"/>
      <c r="AR10" s="293" t="s">
        <v>260</v>
      </c>
      <c r="AS10" s="289" t="s">
        <v>260</v>
      </c>
      <c r="AT10" s="358" t="s">
        <v>260</v>
      </c>
      <c r="AU10" s="357" t="s">
        <v>260</v>
      </c>
      <c r="AV10" s="114"/>
      <c r="AW10" s="142"/>
      <c r="AX10" s="114"/>
      <c r="AY10" s="142"/>
      <c r="AZ10" s="173"/>
      <c r="BA10" s="291" t="s">
        <v>260</v>
      </c>
      <c r="BB10" s="311" t="s">
        <v>260</v>
      </c>
      <c r="BC10" s="311" t="s">
        <v>260</v>
      </c>
      <c r="BD10" s="311" t="s">
        <v>260</v>
      </c>
      <c r="BE10" s="197"/>
      <c r="BF10" s="291" t="s">
        <v>260</v>
      </c>
      <c r="BG10" s="311" t="s">
        <v>260</v>
      </c>
      <c r="BH10" s="346" t="s">
        <v>260</v>
      </c>
      <c r="BI10" s="358" t="s">
        <v>260</v>
      </c>
      <c r="BJ10" s="197"/>
      <c r="BK10" s="142"/>
      <c r="BL10" s="142"/>
      <c r="BM10" s="173"/>
      <c r="BN10" s="114"/>
      <c r="BO10" s="114"/>
      <c r="BP10" s="142"/>
      <c r="BQ10" s="142"/>
      <c r="BR10" s="173"/>
      <c r="BS10" s="114"/>
      <c r="BT10" s="114"/>
      <c r="BU10" s="114"/>
      <c r="BV10" s="142"/>
      <c r="BW10" s="142"/>
      <c r="BX10" s="142"/>
      <c r="BY10" s="114"/>
      <c r="BZ10" s="142"/>
      <c r="CA10" s="142"/>
      <c r="CB10" s="114"/>
      <c r="CC10" s="142"/>
      <c r="CD10" s="173"/>
      <c r="CE10" s="142"/>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row>
    <row r="11" spans="1:109" ht="207" customHeight="1">
      <c r="A11" s="455">
        <v>2</v>
      </c>
      <c r="B11" s="456" t="s">
        <v>72</v>
      </c>
      <c r="C11" s="456" t="s">
        <v>181</v>
      </c>
      <c r="D11" s="456" t="s">
        <v>182</v>
      </c>
      <c r="E11" s="482" t="s">
        <v>440</v>
      </c>
      <c r="F11" s="456" t="s">
        <v>354</v>
      </c>
      <c r="G11" s="456" t="s">
        <v>355</v>
      </c>
      <c r="H11" s="456" t="s">
        <v>183</v>
      </c>
      <c r="I11" s="196" t="s">
        <v>441</v>
      </c>
      <c r="J11" s="194" t="s">
        <v>442</v>
      </c>
      <c r="K11" s="456" t="s">
        <v>358</v>
      </c>
      <c r="L11" s="482" t="s">
        <v>443</v>
      </c>
      <c r="M11" s="455">
        <v>25</v>
      </c>
      <c r="N11" s="479" t="str">
        <f>IF(M11&lt;=0,"",IF(M11&lt;=2,"Muy Baja",IF(M11&lt;=24,"Baja",IF(M11&lt;=500,"Media",IF(M11&lt;=5000,"Alta","Muy Alta")))))</f>
        <v>Media</v>
      </c>
      <c r="O11" s="480">
        <f>IF(N11="","",IF(N11="Muy Baja",0.2,IF(N11="Baja",0.4,IF(N11="Media",0.6,IF(N11="Alta",0.8,IF(N11="Muy Alta",1,))))))</f>
        <v>0.6</v>
      </c>
      <c r="P11" s="475" t="s">
        <v>187</v>
      </c>
      <c r="Q11" s="480" t="str">
        <f>IF(NOT(ISERROR(MATCH(P11,'Tabla Impacto'!$B$221:$B$223,0))),'Tabla Impacto'!$F$223&amp;"Por favor no seleccionar los criterios de impacto(Afectación Económica o presupuestal y Pérdida Reputacional)",P11)</f>
        <v xml:space="preserve">     Entre 100 y 500 SMLMV </v>
      </c>
      <c r="R11" s="479" t="str">
        <f>IF(OR(Q11='Tabla Impacto'!$C$11,Q11='Tabla Impacto'!$D$11),"Leve",IF(OR(Q11='Tabla Impacto'!$C$12,Q11='Tabla Impacto'!$D$12),"Menor",IF(OR(Q11='Tabla Impacto'!$C$13,Q11='Tabla Impacto'!$D$13),"Moderado",IF(OR(Q11='Tabla Impacto'!$C$14,Q11='Tabla Impacto'!$D$14),"Mayor",IF(OR(Q11='Tabla Impacto'!$C$15,Q11='Tabla Impacto'!$D$15),"Catastrófico","")))))</f>
        <v>Mayor</v>
      </c>
      <c r="S11" s="480">
        <f>IF(R11="","",IF(R11="Leve",0.2,IF(R11="Menor",0.4,IF(R11="Moderado",0.6,IF(R11="Mayor",0.8,IF(R11="Catastrófico",1,))))))</f>
        <v>0.8</v>
      </c>
      <c r="T11" s="481"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Alto</v>
      </c>
      <c r="U11" s="194">
        <v>1</v>
      </c>
      <c r="V11" s="208" t="s">
        <v>444</v>
      </c>
      <c r="W11" s="178" t="str">
        <f t="shared" si="0"/>
        <v>Probabilidad</v>
      </c>
      <c r="X11" s="178" t="s">
        <v>189</v>
      </c>
      <c r="Y11" s="178" t="s">
        <v>189</v>
      </c>
      <c r="Z11" s="178" t="s">
        <v>189</v>
      </c>
      <c r="AA11" s="178" t="s">
        <v>189</v>
      </c>
      <c r="AB11" s="206" t="s">
        <v>445</v>
      </c>
      <c r="AC11" s="206" t="s">
        <v>191</v>
      </c>
      <c r="AD11" s="179" t="str">
        <f t="shared" si="1"/>
        <v>30%</v>
      </c>
      <c r="AE11" s="206" t="s">
        <v>192</v>
      </c>
      <c r="AF11" s="206" t="s">
        <v>193</v>
      </c>
      <c r="AG11" s="206" t="s">
        <v>194</v>
      </c>
      <c r="AH11" s="183">
        <f>IFERROR(IF(W11="Probabilidad",(O11-(+O11*AD11)),IF(W11="Impacto",O11,"")),"")</f>
        <v>0.42</v>
      </c>
      <c r="AI11" s="181" t="str">
        <f t="shared" si="2"/>
        <v>Media</v>
      </c>
      <c r="AJ11" s="179">
        <f t="shared" si="3"/>
        <v>0.42</v>
      </c>
      <c r="AK11" s="181" t="str">
        <f t="shared" si="4"/>
        <v>Mayor</v>
      </c>
      <c r="AL11" s="179">
        <f>IFERROR(IF(W11="Impacto",(S11-(+S11*AD11)),IF(W11="Probabilidad",S11,"")),"")</f>
        <v>0.8</v>
      </c>
      <c r="AM11" s="182" t="str">
        <f t="shared" si="5"/>
        <v>Alto</v>
      </c>
      <c r="AN11" s="463" t="s">
        <v>195</v>
      </c>
      <c r="AO11" s="215" t="s">
        <v>446</v>
      </c>
      <c r="AP11" s="215" t="s">
        <v>447</v>
      </c>
      <c r="AQ11" s="216">
        <v>45291</v>
      </c>
      <c r="AR11" s="317">
        <v>44967</v>
      </c>
      <c r="AS11" s="328" t="s">
        <v>448</v>
      </c>
      <c r="AT11" s="356" t="s">
        <v>409</v>
      </c>
      <c r="AU11" s="359" t="s">
        <v>449</v>
      </c>
      <c r="AV11" s="143" t="s">
        <v>367</v>
      </c>
      <c r="AW11" s="142" t="s">
        <v>450</v>
      </c>
      <c r="AX11" s="114"/>
      <c r="AY11" s="142"/>
      <c r="AZ11" s="173"/>
      <c r="BA11" s="291" t="s">
        <v>261</v>
      </c>
      <c r="BB11" s="311" t="s">
        <v>451</v>
      </c>
      <c r="BC11" s="311" t="s">
        <v>204</v>
      </c>
      <c r="BD11" s="311" t="s">
        <v>260</v>
      </c>
      <c r="BE11" s="197"/>
      <c r="BF11" s="291" t="s">
        <v>415</v>
      </c>
      <c r="BG11" s="311" t="s">
        <v>452</v>
      </c>
      <c r="BH11" s="346" t="s">
        <v>204</v>
      </c>
      <c r="BI11" s="291" t="s">
        <v>453</v>
      </c>
      <c r="BJ11" s="197" t="s">
        <v>206</v>
      </c>
      <c r="BK11" s="375" t="s">
        <v>375</v>
      </c>
      <c r="BL11" s="376" t="s">
        <v>454</v>
      </c>
      <c r="BM11" s="379" t="s">
        <v>204</v>
      </c>
      <c r="BN11" s="388" t="s">
        <v>455</v>
      </c>
      <c r="BO11" s="114"/>
      <c r="BP11" s="142"/>
      <c r="BQ11" s="142"/>
      <c r="BR11" s="173"/>
      <c r="BS11" s="114"/>
      <c r="BT11" s="114"/>
      <c r="BU11" s="114"/>
      <c r="BV11" s="142" t="s">
        <v>213</v>
      </c>
      <c r="BW11" s="142"/>
      <c r="BX11" s="142"/>
      <c r="BY11" s="143" t="s">
        <v>378</v>
      </c>
      <c r="BZ11" s="285" t="s">
        <v>456</v>
      </c>
      <c r="CA11" s="285" t="s">
        <v>457</v>
      </c>
      <c r="CB11" s="391" t="s">
        <v>458</v>
      </c>
      <c r="CC11" s="331" t="s">
        <v>459</v>
      </c>
      <c r="CD11" s="331" t="s">
        <v>460</v>
      </c>
      <c r="CE11" s="331" t="s">
        <v>461</v>
      </c>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row>
    <row r="12" spans="1:109" ht="116.25" customHeight="1">
      <c r="A12" s="455"/>
      <c r="B12" s="456"/>
      <c r="C12" s="456"/>
      <c r="D12" s="456"/>
      <c r="E12" s="482"/>
      <c r="F12" s="456"/>
      <c r="G12" s="456"/>
      <c r="H12" s="456"/>
      <c r="I12" s="196" t="s">
        <v>462</v>
      </c>
      <c r="J12" s="194" t="s">
        <v>463</v>
      </c>
      <c r="K12" s="456"/>
      <c r="L12" s="482"/>
      <c r="M12" s="455"/>
      <c r="N12" s="479"/>
      <c r="O12" s="480"/>
      <c r="P12" s="475"/>
      <c r="Q12" s="480">
        <f>IF(NOT(ISERROR(MATCH(P12,_xlfn.ANCHORARRAY(#REF!),0))),#REF!&amp;"Por favor no seleccionar los criterios de impacto",P12)</f>
        <v>0</v>
      </c>
      <c r="R12" s="479"/>
      <c r="S12" s="480"/>
      <c r="T12" s="481"/>
      <c r="U12" s="194">
        <v>2</v>
      </c>
      <c r="V12" s="210" t="s">
        <v>464</v>
      </c>
      <c r="W12" s="178" t="str">
        <f t="shared" si="0"/>
        <v>Probabilidad</v>
      </c>
      <c r="X12" s="178" t="s">
        <v>189</v>
      </c>
      <c r="Y12" s="178" t="s">
        <v>189</v>
      </c>
      <c r="Z12" s="178" t="s">
        <v>189</v>
      </c>
      <c r="AA12" s="178" t="s">
        <v>189</v>
      </c>
      <c r="AB12" s="206" t="s">
        <v>445</v>
      </c>
      <c r="AC12" s="206" t="s">
        <v>191</v>
      </c>
      <c r="AD12" s="179" t="str">
        <f t="shared" si="1"/>
        <v>30%</v>
      </c>
      <c r="AE12" s="206" t="s">
        <v>192</v>
      </c>
      <c r="AF12" s="206" t="s">
        <v>193</v>
      </c>
      <c r="AG12" s="206" t="s">
        <v>194</v>
      </c>
      <c r="AH12" s="183">
        <f>IFERROR(IF(AND(W11="Probabilidad",W12="Probabilidad"),(AJ11-(+AJ11*AD12)),IF(W12="Probabilidad",(O11-(+O11*AD12)),IF(W12="Impacto",AJ11,""))),"")</f>
        <v>0.29399999999999998</v>
      </c>
      <c r="AI12" s="181" t="str">
        <f t="shared" si="2"/>
        <v>Baja</v>
      </c>
      <c r="AJ12" s="179">
        <f t="shared" si="3"/>
        <v>0.29399999999999998</v>
      </c>
      <c r="AK12" s="181" t="str">
        <f t="shared" si="4"/>
        <v>Mayor</v>
      </c>
      <c r="AL12" s="179">
        <f>IFERROR(IF(AND(W11="Impacto",W12="Impacto"),(AL5-(+AL5*AD12)),IF(W12="Impacto",($S$11-(+$S$11*AD12)),IF(W12="Probabilidad",AL5,""))),"")</f>
        <v>0.8</v>
      </c>
      <c r="AM12" s="182" t="str">
        <f t="shared" si="5"/>
        <v>Alto</v>
      </c>
      <c r="AN12" s="464"/>
      <c r="AO12" s="215" t="s">
        <v>465</v>
      </c>
      <c r="AP12" s="215" t="s">
        <v>466</v>
      </c>
      <c r="AQ12" s="216">
        <v>45291</v>
      </c>
      <c r="AR12" s="317">
        <v>44967</v>
      </c>
      <c r="AS12" s="289" t="s">
        <v>467</v>
      </c>
      <c r="AT12" s="356" t="s">
        <v>409</v>
      </c>
      <c r="AU12" s="357" t="s">
        <v>468</v>
      </c>
      <c r="AV12" s="143" t="s">
        <v>367</v>
      </c>
      <c r="AW12" s="142" t="s">
        <v>469</v>
      </c>
      <c r="AX12" s="114"/>
      <c r="AY12" s="142"/>
      <c r="AZ12" s="173"/>
      <c r="BA12" s="291" t="s">
        <v>470</v>
      </c>
      <c r="BB12" s="311" t="s">
        <v>471</v>
      </c>
      <c r="BC12" s="311" t="s">
        <v>204</v>
      </c>
      <c r="BD12" s="314" t="s">
        <v>472</v>
      </c>
      <c r="BE12" s="197" t="s">
        <v>206</v>
      </c>
      <c r="BF12" s="291" t="s">
        <v>415</v>
      </c>
      <c r="BG12" s="312" t="s">
        <v>473</v>
      </c>
      <c r="BH12" s="346" t="s">
        <v>204</v>
      </c>
      <c r="BI12" s="366" t="s">
        <v>474</v>
      </c>
      <c r="BJ12" s="197" t="s">
        <v>206</v>
      </c>
      <c r="BK12" s="142" t="s">
        <v>367</v>
      </c>
      <c r="BL12" s="142" t="s">
        <v>475</v>
      </c>
      <c r="BM12" s="379" t="s">
        <v>204</v>
      </c>
      <c r="BN12" s="388" t="s">
        <v>476</v>
      </c>
      <c r="BO12" s="114"/>
      <c r="BP12" s="142"/>
      <c r="BQ12" s="142"/>
      <c r="BR12" s="173"/>
      <c r="BS12" s="114"/>
      <c r="BT12" s="114"/>
      <c r="BU12" s="114"/>
      <c r="BV12" s="142" t="s">
        <v>213</v>
      </c>
      <c r="BW12" s="142"/>
      <c r="BX12" s="142"/>
      <c r="BY12" s="143" t="s">
        <v>378</v>
      </c>
      <c r="BZ12" s="285" t="s">
        <v>237</v>
      </c>
      <c r="CA12" s="285" t="s">
        <v>457</v>
      </c>
      <c r="CB12" s="391" t="s">
        <v>458</v>
      </c>
      <c r="CC12" s="331" t="s">
        <v>477</v>
      </c>
      <c r="CD12" s="331" t="s">
        <v>478</v>
      </c>
      <c r="CE12" s="331" t="s">
        <v>479</v>
      </c>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8"/>
      <c r="DD12" s="148"/>
      <c r="DE12" s="148"/>
    </row>
    <row r="13" spans="1:109" ht="153.75" customHeight="1">
      <c r="A13" s="455"/>
      <c r="B13" s="456"/>
      <c r="C13" s="456"/>
      <c r="D13" s="456"/>
      <c r="E13" s="482"/>
      <c r="F13" s="456"/>
      <c r="G13" s="456"/>
      <c r="H13" s="456"/>
      <c r="I13" s="196" t="s">
        <v>480</v>
      </c>
      <c r="J13" s="196" t="s">
        <v>481</v>
      </c>
      <c r="K13" s="456"/>
      <c r="L13" s="482"/>
      <c r="M13" s="455"/>
      <c r="N13" s="479"/>
      <c r="O13" s="480"/>
      <c r="P13" s="475"/>
      <c r="Q13" s="480">
        <f>IF(NOT(ISERROR(MATCH(P13,_xlfn.ANCHORARRAY(#REF!),0))),#REF!&amp;"Por favor no seleccionar los criterios de impacto",P13)</f>
        <v>0</v>
      </c>
      <c r="R13" s="479"/>
      <c r="S13" s="480"/>
      <c r="T13" s="481"/>
      <c r="U13" s="194">
        <v>3</v>
      </c>
      <c r="V13" s="211" t="s">
        <v>482</v>
      </c>
      <c r="W13" s="178" t="str">
        <f t="shared" si="0"/>
        <v>Probabilidad</v>
      </c>
      <c r="X13" s="178" t="s">
        <v>189</v>
      </c>
      <c r="Y13" s="178" t="s">
        <v>189</v>
      </c>
      <c r="Z13" s="178" t="s">
        <v>189</v>
      </c>
      <c r="AA13" s="178" t="s">
        <v>189</v>
      </c>
      <c r="AB13" s="206" t="s">
        <v>190</v>
      </c>
      <c r="AC13" s="206" t="s">
        <v>483</v>
      </c>
      <c r="AD13" s="179"/>
      <c r="AE13" s="206" t="s">
        <v>192</v>
      </c>
      <c r="AF13" s="206" t="s">
        <v>193</v>
      </c>
      <c r="AG13" s="206" t="s">
        <v>194</v>
      </c>
      <c r="AH13" s="183">
        <f>IFERROR(IF(AND(W12="Probabilidad",W13="Probabilidad"),(AJ12-(+AJ12*AD13)),IF(AND(W12="Impacto",W13="Probabilidad"),(AJ11-(+AJ11*AD13)),IF(W13="Impacto",AJ12,""))),"")</f>
        <v>0.29399999999999998</v>
      </c>
      <c r="AI13" s="181" t="str">
        <f t="shared" si="2"/>
        <v>Baja</v>
      </c>
      <c r="AJ13" s="179">
        <f t="shared" si="3"/>
        <v>0.29399999999999998</v>
      </c>
      <c r="AK13" s="181" t="str">
        <f t="shared" si="4"/>
        <v>Mayor</v>
      </c>
      <c r="AL13" s="179">
        <f>IFERROR(IF(AND(W12="Impacto",W13="Impacto"),(AL12-(+AL12*AD13)),IF(AND(W12="Probabilidad",W13="Impacto"),(AL11-(+AL11*AD13)),IF(W13="Probabilidad",AL12,""))),"")</f>
        <v>0.8</v>
      </c>
      <c r="AM13" s="182" t="str">
        <f t="shared" si="5"/>
        <v>Alto</v>
      </c>
      <c r="AN13" s="464"/>
      <c r="AO13" s="217"/>
      <c r="AP13" s="215"/>
      <c r="AQ13" s="216"/>
      <c r="AR13" s="318"/>
      <c r="AS13" s="318"/>
      <c r="AT13" s="360" t="s">
        <v>260</v>
      </c>
      <c r="AU13" s="357" t="s">
        <v>260</v>
      </c>
      <c r="AV13" s="114"/>
      <c r="AW13" s="142"/>
      <c r="AX13" s="114"/>
      <c r="AY13" s="142"/>
      <c r="AZ13" s="173"/>
      <c r="BA13" s="291" t="s">
        <v>202</v>
      </c>
      <c r="BB13" s="311" t="s">
        <v>484</v>
      </c>
      <c r="BC13" s="311" t="s">
        <v>485</v>
      </c>
      <c r="BD13" s="314" t="s">
        <v>486</v>
      </c>
      <c r="BE13" s="197" t="s">
        <v>206</v>
      </c>
      <c r="BF13" s="306">
        <v>45056</v>
      </c>
      <c r="BG13" s="311" t="s">
        <v>487</v>
      </c>
      <c r="BH13" s="346" t="s">
        <v>485</v>
      </c>
      <c r="BI13" s="367" t="s">
        <v>488</v>
      </c>
      <c r="BJ13" s="197" t="s">
        <v>206</v>
      </c>
      <c r="BK13" s="142" t="s">
        <v>367</v>
      </c>
      <c r="BL13" s="142" t="s">
        <v>489</v>
      </c>
      <c r="BM13" s="379" t="s">
        <v>485</v>
      </c>
      <c r="BN13" s="332" t="s">
        <v>490</v>
      </c>
      <c r="BO13" s="114"/>
      <c r="BP13" s="142"/>
      <c r="BQ13" s="142"/>
      <c r="BR13" s="173"/>
      <c r="BS13" s="114"/>
      <c r="BT13" s="114"/>
      <c r="BU13" s="114"/>
      <c r="BV13" s="142" t="s">
        <v>213</v>
      </c>
      <c r="BW13" s="142"/>
      <c r="BX13" s="142"/>
      <c r="BY13" s="143" t="s">
        <v>378</v>
      </c>
      <c r="BZ13" s="285" t="s">
        <v>237</v>
      </c>
      <c r="CA13" s="142"/>
      <c r="CB13" s="391" t="s">
        <v>458</v>
      </c>
      <c r="CC13" s="331" t="s">
        <v>491</v>
      </c>
      <c r="CD13" s="331" t="s">
        <v>492</v>
      </c>
      <c r="CE13" s="331" t="s">
        <v>493</v>
      </c>
      <c r="CF13" s="148"/>
      <c r="CG13" s="148"/>
      <c r="CH13" s="148"/>
      <c r="CI13" s="148"/>
      <c r="CJ13" s="148"/>
      <c r="CK13" s="148"/>
      <c r="CL13" s="148"/>
      <c r="CM13" s="148"/>
      <c r="CN13" s="148"/>
      <c r="CO13" s="148"/>
      <c r="CP13" s="148"/>
      <c r="CQ13" s="148"/>
      <c r="CR13" s="148"/>
      <c r="CS13" s="148"/>
      <c r="CT13" s="148"/>
      <c r="CU13" s="148"/>
      <c r="CV13" s="148"/>
      <c r="CW13" s="148"/>
      <c r="CX13" s="148"/>
      <c r="CY13" s="148"/>
      <c r="CZ13" s="148"/>
      <c r="DA13" s="148"/>
      <c r="DB13" s="148"/>
      <c r="DC13" s="148"/>
      <c r="DD13" s="148"/>
      <c r="DE13" s="148"/>
    </row>
    <row r="14" spans="1:109" ht="12.75" customHeight="1">
      <c r="A14" s="455"/>
      <c r="B14" s="456"/>
      <c r="C14" s="456"/>
      <c r="D14" s="456"/>
      <c r="E14" s="482"/>
      <c r="F14" s="456"/>
      <c r="G14" s="456"/>
      <c r="H14" s="456"/>
      <c r="I14" s="196"/>
      <c r="J14" s="194"/>
      <c r="K14" s="456"/>
      <c r="L14" s="482"/>
      <c r="M14" s="455"/>
      <c r="N14" s="479"/>
      <c r="O14" s="480"/>
      <c r="P14" s="475"/>
      <c r="Q14" s="480">
        <f>IF(NOT(ISERROR(MATCH(P14,_xlfn.ANCHORARRAY(#REF!),0))),#REF!&amp;"Por favor no seleccionar los criterios de impacto",P14)</f>
        <v>0</v>
      </c>
      <c r="R14" s="479"/>
      <c r="S14" s="480"/>
      <c r="T14" s="481"/>
      <c r="U14" s="194">
        <v>4</v>
      </c>
      <c r="W14" s="178" t="str">
        <f t="shared" si="0"/>
        <v/>
      </c>
      <c r="X14" s="178"/>
      <c r="Y14" s="178"/>
      <c r="Z14" s="178"/>
      <c r="AA14" s="178"/>
      <c r="AB14" s="206"/>
      <c r="AC14" s="206"/>
      <c r="AD14" s="179" t="str">
        <f t="shared" si="1"/>
        <v/>
      </c>
      <c r="AE14" s="206"/>
      <c r="AF14" s="206"/>
      <c r="AG14" s="206"/>
      <c r="AH14" s="183" t="str">
        <f>IFERROR(IF(AND(W13="Probabilidad",W14="Probabilidad"),(AJ13-(+AJ13*AD14)),IF(AND(W13="Impacto",W14="Probabilidad"),(AJ12-(+AJ12*AD14)),IF(W14="Impacto",AJ13,""))),"")</f>
        <v/>
      </c>
      <c r="AI14" s="181" t="str">
        <f t="shared" si="2"/>
        <v/>
      </c>
      <c r="AJ14" s="179" t="str">
        <f t="shared" si="3"/>
        <v/>
      </c>
      <c r="AK14" s="181" t="str">
        <f t="shared" si="4"/>
        <v/>
      </c>
      <c r="AL14" s="179" t="str">
        <f>IFERROR(IF(AND(W13="Impacto",W14="Impacto"),(AL13-(+AL13*AD14)),IF(AND(W13="Probabilidad",W14="Impacto"),(AL12-(+AL12*AD14)),IF(W14="Probabilidad",AL13,""))),"")</f>
        <v/>
      </c>
      <c r="AM14" s="182" t="str">
        <f t="shared" si="5"/>
        <v/>
      </c>
      <c r="AN14" s="464"/>
      <c r="AO14" s="208"/>
      <c r="AP14" s="208"/>
      <c r="AQ14" s="212"/>
      <c r="AR14" s="293" t="s">
        <v>260</v>
      </c>
      <c r="AS14" s="287" t="s">
        <v>260</v>
      </c>
      <c r="AT14" s="358" t="s">
        <v>260</v>
      </c>
      <c r="AU14" s="357" t="s">
        <v>260</v>
      </c>
      <c r="AV14" s="114"/>
      <c r="AW14" s="142"/>
      <c r="AX14" s="114"/>
      <c r="AY14" s="142"/>
      <c r="AZ14" s="173"/>
      <c r="BA14" s="291" t="s">
        <v>260</v>
      </c>
      <c r="BB14" s="311" t="s">
        <v>260</v>
      </c>
      <c r="BC14" s="311" t="s">
        <v>260</v>
      </c>
      <c r="BD14" s="311" t="s">
        <v>260</v>
      </c>
      <c r="BE14" s="197"/>
      <c r="BF14" s="196"/>
      <c r="BG14" s="196"/>
      <c r="BH14" s="346" t="s">
        <v>260</v>
      </c>
      <c r="BI14" s="358" t="s">
        <v>260</v>
      </c>
      <c r="BJ14" s="197"/>
      <c r="BK14" s="142"/>
      <c r="BL14" s="142"/>
      <c r="BM14" s="173"/>
      <c r="BN14" s="114"/>
      <c r="BO14" s="114"/>
      <c r="BP14" s="142"/>
      <c r="BQ14" s="142"/>
      <c r="BR14" s="173"/>
      <c r="BS14" s="114"/>
      <c r="BT14" s="114"/>
      <c r="BU14" s="114"/>
      <c r="BV14" s="142"/>
      <c r="BW14" s="142"/>
      <c r="BX14" s="142"/>
      <c r="BY14" s="114"/>
      <c r="BZ14" s="142"/>
      <c r="CA14" s="142"/>
      <c r="CB14" s="114"/>
      <c r="CC14" s="142"/>
      <c r="CD14" s="173"/>
      <c r="CE14" s="142"/>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row>
    <row r="15" spans="1:109" ht="12.75" customHeight="1">
      <c r="A15" s="455"/>
      <c r="B15" s="456"/>
      <c r="C15" s="456"/>
      <c r="D15" s="456"/>
      <c r="E15" s="482"/>
      <c r="F15" s="456"/>
      <c r="G15" s="456"/>
      <c r="H15" s="456"/>
      <c r="K15" s="456"/>
      <c r="L15" s="482"/>
      <c r="M15" s="455"/>
      <c r="N15" s="479"/>
      <c r="O15" s="480"/>
      <c r="P15" s="475"/>
      <c r="Q15" s="480">
        <f>IF(NOT(ISERROR(MATCH(P15,_xlfn.ANCHORARRAY(#REF!),0))),#REF!&amp;"Por favor no seleccionar los criterios de impacto",P15)</f>
        <v>0</v>
      </c>
      <c r="R15" s="479"/>
      <c r="S15" s="480"/>
      <c r="T15" s="481"/>
      <c r="U15" s="194">
        <v>5</v>
      </c>
      <c r="V15" s="205"/>
      <c r="W15" s="178" t="str">
        <f t="shared" si="0"/>
        <v/>
      </c>
      <c r="X15" s="178"/>
      <c r="Y15" s="178"/>
      <c r="Z15" s="178"/>
      <c r="AA15" s="178"/>
      <c r="AB15" s="206"/>
      <c r="AC15" s="206"/>
      <c r="AD15" s="179" t="str">
        <f t="shared" si="1"/>
        <v/>
      </c>
      <c r="AE15" s="206"/>
      <c r="AF15" s="206"/>
      <c r="AG15" s="206"/>
      <c r="AH15" s="183" t="str">
        <f>IFERROR(IF(AND(W14="Probabilidad",W15="Probabilidad"),(AJ14-(+AJ14*AD15)),IF(AND(W14="Impacto",W15="Probabilidad"),(AJ13-(+AJ13*AD15)),IF(W15="Impacto",AJ14,""))),"")</f>
        <v/>
      </c>
      <c r="AI15" s="181" t="str">
        <f t="shared" si="2"/>
        <v/>
      </c>
      <c r="AJ15" s="179" t="str">
        <f t="shared" si="3"/>
        <v/>
      </c>
      <c r="AK15" s="181" t="str">
        <f t="shared" si="4"/>
        <v/>
      </c>
      <c r="AL15" s="179" t="str">
        <f>IFERROR(IF(AND(W14="Impacto",W15="Impacto"),(AL14-(+AL14*AD15)),IF(AND(W14="Probabilidad",W15="Impacto"),(AL13-(+AL13*AD15)),IF(W15="Probabilidad",AL14,""))),"")</f>
        <v/>
      </c>
      <c r="AM15" s="182" t="str">
        <f t="shared" si="5"/>
        <v/>
      </c>
      <c r="AN15" s="464"/>
      <c r="AO15" s="209"/>
      <c r="AP15" s="208"/>
      <c r="AQ15" s="212"/>
      <c r="AR15" s="293" t="s">
        <v>260</v>
      </c>
      <c r="AS15" s="289" t="s">
        <v>260</v>
      </c>
      <c r="AT15" s="358" t="s">
        <v>260</v>
      </c>
      <c r="AU15" s="357" t="s">
        <v>260</v>
      </c>
      <c r="AV15" s="114"/>
      <c r="AW15" s="142"/>
      <c r="AX15" s="114"/>
      <c r="AY15" s="142"/>
      <c r="AZ15" s="173"/>
      <c r="BA15" s="291" t="s">
        <v>260</v>
      </c>
      <c r="BB15" s="311" t="s">
        <v>260</v>
      </c>
      <c r="BC15" s="311" t="s">
        <v>260</v>
      </c>
      <c r="BD15" s="311" t="s">
        <v>260</v>
      </c>
      <c r="BE15" s="197"/>
      <c r="BF15" s="196"/>
      <c r="BG15" s="196"/>
      <c r="BH15" s="346" t="s">
        <v>260</v>
      </c>
      <c r="BI15" s="358" t="s">
        <v>260</v>
      </c>
      <c r="BJ15" s="197"/>
      <c r="BK15" s="142"/>
      <c r="BL15" s="142"/>
      <c r="BM15" s="173"/>
      <c r="BN15" s="114"/>
      <c r="BO15" s="114"/>
      <c r="BP15" s="142"/>
      <c r="BQ15" s="142"/>
      <c r="BR15" s="173"/>
      <c r="BS15" s="114"/>
      <c r="BT15" s="114"/>
      <c r="BU15" s="114"/>
      <c r="BV15" s="142"/>
      <c r="BW15" s="142"/>
      <c r="BX15" s="142"/>
      <c r="BY15" s="114"/>
      <c r="BZ15" s="142"/>
      <c r="CA15" s="142"/>
      <c r="CB15" s="114"/>
      <c r="CC15" s="142"/>
      <c r="CD15" s="173"/>
      <c r="CE15" s="142"/>
      <c r="CF15" s="148"/>
      <c r="CG15" s="148"/>
      <c r="CH15" s="148"/>
      <c r="CI15" s="148"/>
      <c r="CJ15" s="148"/>
      <c r="CK15" s="148"/>
      <c r="CL15" s="148"/>
      <c r="CM15" s="148"/>
      <c r="CN15" s="148"/>
      <c r="CO15" s="148"/>
      <c r="CP15" s="148"/>
      <c r="CQ15" s="148"/>
      <c r="CR15" s="148"/>
      <c r="CS15" s="148"/>
      <c r="CT15" s="148"/>
      <c r="CU15" s="148"/>
      <c r="CV15" s="148"/>
      <c r="CW15" s="148"/>
      <c r="CX15" s="148"/>
      <c r="CY15" s="148"/>
      <c r="CZ15" s="148"/>
      <c r="DA15" s="148"/>
      <c r="DB15" s="148"/>
      <c r="DC15" s="148"/>
      <c r="DD15" s="148"/>
      <c r="DE15" s="148"/>
    </row>
    <row r="16" spans="1:109" ht="12.75" customHeight="1">
      <c r="A16" s="455"/>
      <c r="B16" s="456"/>
      <c r="C16" s="456"/>
      <c r="D16" s="456"/>
      <c r="E16" s="482"/>
      <c r="F16" s="456"/>
      <c r="G16" s="456"/>
      <c r="H16" s="456"/>
      <c r="I16" s="196"/>
      <c r="J16" s="194"/>
      <c r="K16" s="456"/>
      <c r="L16" s="482"/>
      <c r="M16" s="455"/>
      <c r="N16" s="479"/>
      <c r="O16" s="480"/>
      <c r="P16" s="475"/>
      <c r="Q16" s="480">
        <f>IF(NOT(ISERROR(MATCH(P16,_xlfn.ANCHORARRAY(#REF!),0))),#REF!&amp;"Por favor no seleccionar los criterios de impacto",P16)</f>
        <v>0</v>
      </c>
      <c r="R16" s="479"/>
      <c r="S16" s="480"/>
      <c r="T16" s="481"/>
      <c r="U16" s="194">
        <v>6</v>
      </c>
      <c r="V16" s="205"/>
      <c r="W16" s="178" t="str">
        <f t="shared" si="0"/>
        <v/>
      </c>
      <c r="X16" s="178"/>
      <c r="Y16" s="178"/>
      <c r="Z16" s="178"/>
      <c r="AA16" s="178"/>
      <c r="AB16" s="206"/>
      <c r="AC16" s="206"/>
      <c r="AD16" s="179" t="str">
        <f t="shared" si="1"/>
        <v/>
      </c>
      <c r="AE16" s="206"/>
      <c r="AF16" s="206"/>
      <c r="AG16" s="206"/>
      <c r="AH16" s="183" t="str">
        <f>IFERROR(IF(AND(W15="Probabilidad",W16="Probabilidad"),(AJ15-(+AJ15*AD16)),IF(AND(W15="Impacto",W16="Probabilidad"),(AJ14-(+AJ14*AD16)),IF(W16="Impacto",AJ15,""))),"")</f>
        <v/>
      </c>
      <c r="AI16" s="181" t="str">
        <f t="shared" si="2"/>
        <v/>
      </c>
      <c r="AJ16" s="179" t="str">
        <f t="shared" si="3"/>
        <v/>
      </c>
      <c r="AK16" s="181" t="str">
        <f t="shared" si="4"/>
        <v/>
      </c>
      <c r="AL16" s="179" t="str">
        <f>IFERROR(IF(AND(W15="Impacto",W16="Impacto"),(AL15-(+AL15*AD16)),IF(AND(W15="Probabilidad",W16="Impacto"),(AL14-(+AL14*AD16)),IF(W16="Probabilidad",AL15,""))),"")</f>
        <v/>
      </c>
      <c r="AM16" s="182" t="str">
        <f t="shared" si="5"/>
        <v/>
      </c>
      <c r="AN16" s="465"/>
      <c r="AO16" s="208"/>
      <c r="AP16" s="208"/>
      <c r="AQ16" s="212"/>
      <c r="AR16" s="293" t="s">
        <v>260</v>
      </c>
      <c r="AS16" s="289" t="s">
        <v>260</v>
      </c>
      <c r="AT16" s="358" t="s">
        <v>260</v>
      </c>
      <c r="AU16" s="357" t="s">
        <v>260</v>
      </c>
      <c r="AV16" s="114"/>
      <c r="AW16" s="142"/>
      <c r="AX16" s="114"/>
      <c r="AY16" s="142"/>
      <c r="AZ16" s="173"/>
      <c r="BA16" s="291" t="s">
        <v>260</v>
      </c>
      <c r="BB16" s="311" t="s">
        <v>260</v>
      </c>
      <c r="BC16" s="311" t="s">
        <v>260</v>
      </c>
      <c r="BD16" s="311" t="s">
        <v>260</v>
      </c>
      <c r="BE16" s="197"/>
      <c r="BF16" s="196"/>
      <c r="BG16" s="196"/>
      <c r="BH16" s="346" t="s">
        <v>260</v>
      </c>
      <c r="BI16" s="358" t="s">
        <v>260</v>
      </c>
      <c r="BJ16" s="197"/>
      <c r="BK16" s="142"/>
      <c r="BL16" s="142"/>
      <c r="BM16" s="173"/>
      <c r="BN16" s="114"/>
      <c r="BO16" s="114"/>
      <c r="BP16" s="142"/>
      <c r="BQ16" s="142"/>
      <c r="BR16" s="173"/>
      <c r="BS16" s="114"/>
      <c r="BT16" s="114"/>
      <c r="BU16" s="114"/>
      <c r="BV16" s="142"/>
      <c r="BW16" s="142"/>
      <c r="BX16" s="142"/>
      <c r="BY16" s="114"/>
      <c r="BZ16" s="142"/>
      <c r="CA16" s="142"/>
      <c r="CB16" s="114"/>
      <c r="CC16" s="142"/>
      <c r="CD16" s="173"/>
      <c r="CE16" s="142"/>
      <c r="CF16" s="148"/>
      <c r="CG16" s="148"/>
      <c r="CH16" s="148"/>
      <c r="CI16" s="148"/>
      <c r="CJ16" s="148"/>
      <c r="CK16" s="148"/>
      <c r="CL16" s="148"/>
      <c r="CM16" s="148"/>
      <c r="CN16" s="148"/>
      <c r="CO16" s="148"/>
      <c r="CP16" s="148"/>
      <c r="CQ16" s="148"/>
      <c r="CR16" s="148"/>
      <c r="CS16" s="148"/>
      <c r="CT16" s="148"/>
      <c r="CU16" s="148"/>
      <c r="CV16" s="148"/>
      <c r="CW16" s="148"/>
      <c r="CX16" s="148"/>
      <c r="CY16" s="148"/>
      <c r="CZ16" s="148"/>
      <c r="DA16" s="148"/>
      <c r="DB16" s="148"/>
      <c r="DC16" s="148"/>
      <c r="DD16" s="148"/>
      <c r="DE16" s="148"/>
    </row>
    <row r="17" spans="1:109" ht="141" customHeight="1">
      <c r="A17" s="455">
        <v>3</v>
      </c>
      <c r="B17" s="516" t="s">
        <v>72</v>
      </c>
      <c r="C17" s="516" t="s">
        <v>181</v>
      </c>
      <c r="D17" s="456" t="s">
        <v>182</v>
      </c>
      <c r="E17" s="482" t="s">
        <v>494</v>
      </c>
      <c r="F17" s="456" t="s">
        <v>354</v>
      </c>
      <c r="G17" s="456" t="s">
        <v>355</v>
      </c>
      <c r="H17" s="516" t="s">
        <v>183</v>
      </c>
      <c r="I17" s="196" t="s">
        <v>495</v>
      </c>
      <c r="J17" s="194" t="s">
        <v>496</v>
      </c>
      <c r="K17" s="456" t="s">
        <v>358</v>
      </c>
      <c r="L17" s="482" t="s">
        <v>497</v>
      </c>
      <c r="M17" s="455">
        <v>25</v>
      </c>
      <c r="N17" s="479" t="str">
        <f>IF(M17&lt;=0,"",IF(M17&lt;=2,"Muy Baja",IF(M17&lt;=24,"Baja",IF(M17&lt;=500,"Media",IF(M17&lt;=5000,"Alta","Muy Alta")))))</f>
        <v>Media</v>
      </c>
      <c r="O17" s="480">
        <f>IF(N17="","",IF(N17="Muy Baja",0.2,IF(N17="Baja",0.4,IF(N17="Media",0.6,IF(N17="Alta",0.8,IF(N17="Muy Alta",1,))))))</f>
        <v>0.6</v>
      </c>
      <c r="P17" s="475" t="s">
        <v>187</v>
      </c>
      <c r="Q17" s="480" t="str">
        <f>IF(NOT(ISERROR(MATCH(P17,'Tabla Impacto'!$B$221:$B$223,0))),'Tabla Impacto'!$F$223&amp;"Por favor no seleccionar los criterios de impacto(Afectación Económica o presupuestal y Pérdida Reputacional)",P17)</f>
        <v xml:space="preserve">     Entre 100 y 500 SMLMV </v>
      </c>
      <c r="R17" s="479" t="str">
        <f>IF(OR(Q17='Tabla Impacto'!$C$11,Q17='Tabla Impacto'!$D$11),"Leve",IF(OR(Q17='Tabla Impacto'!$C$12,Q17='Tabla Impacto'!$D$12),"Menor",IF(OR(Q17='Tabla Impacto'!$C$13,Q17='Tabla Impacto'!$D$13),"Moderado",IF(OR(Q17='Tabla Impacto'!$C$14,Q17='Tabla Impacto'!$D$14),"Mayor",IF(OR(Q17='Tabla Impacto'!$C$15,Q17='Tabla Impacto'!$D$15),"Catastrófico","")))))</f>
        <v>Mayor</v>
      </c>
      <c r="S17" s="480">
        <f>IF(R17="","",IF(R17="Leve",0.2,IF(R17="Menor",0.4,IF(R17="Moderado",0.6,IF(R17="Mayor",0.8,IF(R17="Catastrófico",1,))))))</f>
        <v>0.8</v>
      </c>
      <c r="T17" s="481"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Alto</v>
      </c>
      <c r="U17" s="194">
        <v>1</v>
      </c>
      <c r="V17" s="209" t="s">
        <v>498</v>
      </c>
      <c r="W17" s="178" t="str">
        <f t="shared" si="0"/>
        <v>Probabilidad</v>
      </c>
      <c r="X17" s="178" t="s">
        <v>189</v>
      </c>
      <c r="Y17" s="178" t="s">
        <v>189</v>
      </c>
      <c r="Z17" s="178" t="s">
        <v>189</v>
      </c>
      <c r="AA17" s="178" t="s">
        <v>189</v>
      </c>
      <c r="AB17" s="206" t="s">
        <v>190</v>
      </c>
      <c r="AC17" s="206" t="s">
        <v>191</v>
      </c>
      <c r="AD17" s="179" t="str">
        <f t="shared" si="1"/>
        <v>40%</v>
      </c>
      <c r="AE17" s="206" t="s">
        <v>192</v>
      </c>
      <c r="AF17" s="206" t="s">
        <v>193</v>
      </c>
      <c r="AG17" s="206" t="s">
        <v>194</v>
      </c>
      <c r="AH17" s="183">
        <f>IFERROR(IF(W17="Probabilidad",(O17-(+O17*AD17)),IF(W17="Impacto",O17,"")),"")</f>
        <v>0.36</v>
      </c>
      <c r="AI17" s="181" t="str">
        <f t="shared" si="2"/>
        <v>Baja</v>
      </c>
      <c r="AJ17" s="179">
        <f t="shared" si="3"/>
        <v>0.36</v>
      </c>
      <c r="AK17" s="181" t="str">
        <f t="shared" si="4"/>
        <v>Mayor</v>
      </c>
      <c r="AL17" s="179">
        <f>IFERROR(IF(W17="Impacto",(S17-(+S17*AD17)),IF(W17="Probabilidad",S17,"")),"")</f>
        <v>0.8</v>
      </c>
      <c r="AM17" s="182" t="str">
        <f t="shared" si="5"/>
        <v>Alto</v>
      </c>
      <c r="AN17" s="463" t="s">
        <v>195</v>
      </c>
      <c r="AO17" s="201" t="s">
        <v>499</v>
      </c>
      <c r="AP17" s="208" t="s">
        <v>500</v>
      </c>
      <c r="AQ17" s="212">
        <v>45291</v>
      </c>
      <c r="AR17" s="316" t="s">
        <v>261</v>
      </c>
      <c r="AS17" s="289" t="s">
        <v>501</v>
      </c>
      <c r="AT17" s="361" t="s">
        <v>502</v>
      </c>
      <c r="AU17" s="289" t="s">
        <v>503</v>
      </c>
      <c r="AV17" s="143" t="s">
        <v>367</v>
      </c>
      <c r="AW17" s="142" t="s">
        <v>504</v>
      </c>
      <c r="AX17" s="114"/>
      <c r="AY17" s="142"/>
      <c r="AZ17" s="173"/>
      <c r="BA17" s="291" t="s">
        <v>202</v>
      </c>
      <c r="BB17" s="311" t="s">
        <v>505</v>
      </c>
      <c r="BC17" s="311" t="s">
        <v>204</v>
      </c>
      <c r="BD17" s="314" t="s">
        <v>506</v>
      </c>
      <c r="BE17" s="197" t="s">
        <v>206</v>
      </c>
      <c r="BF17" s="348" t="s">
        <v>365</v>
      </c>
      <c r="BG17" s="304" t="s">
        <v>507</v>
      </c>
      <c r="BH17" s="357" t="s">
        <v>204</v>
      </c>
      <c r="BI17" s="368" t="s">
        <v>508</v>
      </c>
      <c r="BJ17" s="197" t="s">
        <v>206</v>
      </c>
      <c r="BK17" s="375" t="s">
        <v>367</v>
      </c>
      <c r="BL17" s="376" t="s">
        <v>509</v>
      </c>
      <c r="BM17" s="379" t="s">
        <v>204</v>
      </c>
      <c r="BN17" s="332" t="s">
        <v>510</v>
      </c>
      <c r="BO17" s="114"/>
      <c r="BP17" s="142"/>
      <c r="BQ17" s="142"/>
      <c r="BR17" s="173"/>
      <c r="BS17" s="114"/>
      <c r="BT17" s="114"/>
      <c r="BU17" s="114"/>
      <c r="BV17" s="142" t="s">
        <v>213</v>
      </c>
      <c r="BW17" s="142"/>
      <c r="BX17" s="142"/>
      <c r="BY17" s="143" t="s">
        <v>378</v>
      </c>
      <c r="BZ17" s="285" t="s">
        <v>237</v>
      </c>
      <c r="CA17" s="285" t="s">
        <v>511</v>
      </c>
      <c r="CB17" s="391" t="s">
        <v>458</v>
      </c>
      <c r="CC17" s="331" t="s">
        <v>512</v>
      </c>
      <c r="CD17" s="331" t="s">
        <v>513</v>
      </c>
      <c r="CE17" s="331" t="s">
        <v>514</v>
      </c>
      <c r="CF17" s="148"/>
      <c r="CG17" s="148"/>
      <c r="CH17" s="148"/>
      <c r="CI17" s="148"/>
      <c r="CJ17" s="148"/>
      <c r="CK17" s="148"/>
      <c r="CL17" s="148"/>
      <c r="CM17" s="148"/>
      <c r="CN17" s="148"/>
      <c r="CO17" s="148"/>
      <c r="CP17" s="148"/>
      <c r="CQ17" s="148"/>
      <c r="CR17" s="148"/>
      <c r="CS17" s="148"/>
      <c r="CT17" s="148"/>
      <c r="CU17" s="148"/>
      <c r="CV17" s="148"/>
      <c r="CW17" s="148"/>
      <c r="CX17" s="148"/>
      <c r="CY17" s="148"/>
      <c r="CZ17" s="148"/>
      <c r="DA17" s="148"/>
      <c r="DB17" s="148"/>
      <c r="DC17" s="148"/>
      <c r="DD17" s="148"/>
      <c r="DE17" s="148"/>
    </row>
    <row r="18" spans="1:109" ht="102" customHeight="1">
      <c r="A18" s="455"/>
      <c r="B18" s="477"/>
      <c r="C18" s="477"/>
      <c r="D18" s="456"/>
      <c r="E18" s="482"/>
      <c r="F18" s="456"/>
      <c r="G18" s="456"/>
      <c r="H18" s="477"/>
      <c r="I18" s="196" t="s">
        <v>515</v>
      </c>
      <c r="J18" s="194" t="s">
        <v>516</v>
      </c>
      <c r="K18" s="456"/>
      <c r="L18" s="482"/>
      <c r="M18" s="455"/>
      <c r="N18" s="479"/>
      <c r="O18" s="480"/>
      <c r="P18" s="475"/>
      <c r="Q18" s="480">
        <f>IF(NOT(ISERROR(MATCH(P18,_xlfn.ANCHORARRAY(#REF!),0))),#REF!&amp;"Por favor no seleccionar los criterios de impacto",P18)</f>
        <v>0</v>
      </c>
      <c r="R18" s="479"/>
      <c r="S18" s="480"/>
      <c r="T18" s="481"/>
      <c r="U18" s="194">
        <v>2</v>
      </c>
      <c r="V18" s="210" t="s">
        <v>517</v>
      </c>
      <c r="W18" s="178" t="str">
        <f t="shared" si="0"/>
        <v>Probabilidad</v>
      </c>
      <c r="X18" s="178" t="s">
        <v>189</v>
      </c>
      <c r="Y18" s="178" t="s">
        <v>189</v>
      </c>
      <c r="Z18" s="178" t="s">
        <v>189</v>
      </c>
      <c r="AA18" s="178" t="s">
        <v>189</v>
      </c>
      <c r="AB18" s="206" t="s">
        <v>190</v>
      </c>
      <c r="AC18" s="206" t="s">
        <v>191</v>
      </c>
      <c r="AD18" s="179" t="s">
        <v>518</v>
      </c>
      <c r="AE18" s="206" t="s">
        <v>192</v>
      </c>
      <c r="AF18" s="206" t="s">
        <v>193</v>
      </c>
      <c r="AG18" s="206" t="s">
        <v>194</v>
      </c>
      <c r="AH18" s="183">
        <f>IFERROR(IF(W18="Probabilidad",(O18-(+O18*AD18)),IF(W18="Impacto",O18,"")),"")</f>
        <v>0</v>
      </c>
      <c r="AI18" s="181" t="str">
        <f t="shared" si="2"/>
        <v>Muy Baja</v>
      </c>
      <c r="AJ18" s="179">
        <f t="shared" si="3"/>
        <v>0</v>
      </c>
      <c r="AK18" s="181" t="str">
        <f t="shared" si="4"/>
        <v>Mayor</v>
      </c>
      <c r="AL18" s="179">
        <f>IFERROR(IF(AND(W17="Impacto",W18="Impacto"),(AL11-(+AL11*AD18)),IF(W18="Impacto",($S$17-(+$S$17*AD18)),IF(W18="Probabilidad",AL11,""))),"")</f>
        <v>0.8</v>
      </c>
      <c r="AM18" s="182" t="str">
        <f t="shared" si="5"/>
        <v>Alto</v>
      </c>
      <c r="AN18" s="464"/>
      <c r="AO18" s="205" t="s">
        <v>519</v>
      </c>
      <c r="AP18" s="208" t="s">
        <v>520</v>
      </c>
      <c r="AQ18" s="212">
        <v>45291</v>
      </c>
      <c r="AR18" s="317">
        <v>44967</v>
      </c>
      <c r="AS18" s="289" t="s">
        <v>521</v>
      </c>
      <c r="AT18" s="361" t="s">
        <v>502</v>
      </c>
      <c r="AU18" s="362" t="s">
        <v>522</v>
      </c>
      <c r="AV18" s="143" t="s">
        <v>367</v>
      </c>
      <c r="AW18" s="142" t="s">
        <v>523</v>
      </c>
      <c r="AX18" s="114"/>
      <c r="AY18" s="142"/>
      <c r="AZ18" s="173"/>
      <c r="BA18" s="291" t="s">
        <v>524</v>
      </c>
      <c r="BB18" s="311" t="s">
        <v>525</v>
      </c>
      <c r="BC18" s="311" t="s">
        <v>394</v>
      </c>
      <c r="BD18" s="314" t="s">
        <v>526</v>
      </c>
      <c r="BE18" s="197" t="s">
        <v>206</v>
      </c>
      <c r="BF18" s="348" t="s">
        <v>365</v>
      </c>
      <c r="BG18" s="311" t="s">
        <v>527</v>
      </c>
      <c r="BH18" s="357" t="s">
        <v>394</v>
      </c>
      <c r="BI18" s="364" t="s">
        <v>528</v>
      </c>
      <c r="BJ18" s="197" t="s">
        <v>206</v>
      </c>
      <c r="BK18" s="375" t="s">
        <v>367</v>
      </c>
      <c r="BL18" s="376" t="s">
        <v>529</v>
      </c>
      <c r="BM18" s="379" t="s">
        <v>394</v>
      </c>
      <c r="BN18" s="332" t="s">
        <v>530</v>
      </c>
      <c r="BO18" s="114"/>
      <c r="BP18" s="142"/>
      <c r="BQ18" s="142"/>
      <c r="BR18" s="173"/>
      <c r="BS18" s="114"/>
      <c r="BT18" s="114"/>
      <c r="BU18" s="114"/>
      <c r="BV18" s="142" t="s">
        <v>213</v>
      </c>
      <c r="BW18" s="142"/>
      <c r="BX18" s="142"/>
      <c r="BY18" s="114">
        <v>45042</v>
      </c>
      <c r="BZ18" s="285" t="s">
        <v>237</v>
      </c>
      <c r="CA18" s="285" t="s">
        <v>457</v>
      </c>
      <c r="CB18" s="391" t="s">
        <v>458</v>
      </c>
      <c r="CC18" s="331" t="s">
        <v>531</v>
      </c>
      <c r="CD18" s="331" t="s">
        <v>532</v>
      </c>
      <c r="CE18" s="331" t="s">
        <v>533</v>
      </c>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row>
    <row r="19" spans="1:109" ht="167.25" customHeight="1">
      <c r="A19" s="455"/>
      <c r="B19" s="477"/>
      <c r="C19" s="477"/>
      <c r="D19" s="456"/>
      <c r="E19" s="482"/>
      <c r="F19" s="456"/>
      <c r="G19" s="456"/>
      <c r="H19" s="477"/>
      <c r="I19" s="196" t="s">
        <v>534</v>
      </c>
      <c r="J19" s="194" t="s">
        <v>535</v>
      </c>
      <c r="K19" s="456"/>
      <c r="L19" s="482"/>
      <c r="M19" s="455"/>
      <c r="N19" s="479"/>
      <c r="O19" s="480"/>
      <c r="P19" s="475"/>
      <c r="Q19" s="480">
        <f>IF(NOT(ISERROR(MATCH(P19,_xlfn.ANCHORARRAY(#REF!),0))),#REF!&amp;"Por favor no seleccionar los criterios de impacto",P19)</f>
        <v>0</v>
      </c>
      <c r="R19" s="479"/>
      <c r="S19" s="480"/>
      <c r="T19" s="481"/>
      <c r="U19" s="194">
        <v>3</v>
      </c>
      <c r="V19" s="208" t="s">
        <v>536</v>
      </c>
      <c r="W19" s="178" t="str">
        <f t="shared" si="0"/>
        <v>Probabilidad</v>
      </c>
      <c r="X19" s="178" t="s">
        <v>189</v>
      </c>
      <c r="Y19" s="178" t="s">
        <v>189</v>
      </c>
      <c r="Z19" s="178" t="s">
        <v>189</v>
      </c>
      <c r="AA19" s="178" t="s">
        <v>189</v>
      </c>
      <c r="AB19" s="206" t="s">
        <v>190</v>
      </c>
      <c r="AC19" s="206" t="s">
        <v>191</v>
      </c>
      <c r="AD19" s="179" t="s">
        <v>406</v>
      </c>
      <c r="AE19" s="206" t="s">
        <v>192</v>
      </c>
      <c r="AF19" s="206" t="s">
        <v>193</v>
      </c>
      <c r="AG19" s="206" t="s">
        <v>194</v>
      </c>
      <c r="AH19" s="183">
        <f>IFERROR(IF(AND(W18="Probabilidad",W19="Probabilidad"),(AJ18-(+AJ18*AD19)),IF(W19="Probabilidad",(O18-(+O18*AD19)),IF(W19="Impacto",AJ18,""))),"")</f>
        <v>0</v>
      </c>
      <c r="AI19" s="181" t="str">
        <f t="shared" si="2"/>
        <v>Muy Baja</v>
      </c>
      <c r="AJ19" s="179">
        <f t="shared" si="3"/>
        <v>0</v>
      </c>
      <c r="AK19" s="181" t="str">
        <f t="shared" si="4"/>
        <v>Mayor</v>
      </c>
      <c r="AL19" s="179">
        <f>IFERROR(IF(AND(W18="Impacto",W19="Impacto"),(AL18-(+AL18*AD19)),IF(AND(W18="Probabilidad",W19="Impacto"),(AL17-(+AL17*AD19)),IF(W19="Probabilidad",AL18,""))),"")</f>
        <v>0.8</v>
      </c>
      <c r="AM19" s="182" t="str">
        <f t="shared" si="5"/>
        <v>Alto</v>
      </c>
      <c r="AN19" s="464"/>
      <c r="AO19" s="196"/>
      <c r="AP19" s="196"/>
      <c r="AQ19" s="212"/>
      <c r="AR19" s="317">
        <v>44967</v>
      </c>
      <c r="AS19" s="289" t="s">
        <v>260</v>
      </c>
      <c r="AT19" s="358" t="s">
        <v>260</v>
      </c>
      <c r="AU19" s="357" t="s">
        <v>260</v>
      </c>
      <c r="AV19" s="114"/>
      <c r="AW19" s="142"/>
      <c r="AX19" s="114"/>
      <c r="AY19" s="142"/>
      <c r="AZ19" s="173"/>
      <c r="BA19" s="291" t="s">
        <v>261</v>
      </c>
      <c r="BB19" s="286" t="s">
        <v>537</v>
      </c>
      <c r="BC19" s="304" t="s">
        <v>394</v>
      </c>
      <c r="BD19" s="322" t="s">
        <v>538</v>
      </c>
      <c r="BE19" s="197" t="s">
        <v>206</v>
      </c>
      <c r="BF19" s="348" t="s">
        <v>365</v>
      </c>
      <c r="BG19" s="311" t="s">
        <v>539</v>
      </c>
      <c r="BH19" s="357" t="s">
        <v>394</v>
      </c>
      <c r="BI19" s="364" t="s">
        <v>540</v>
      </c>
      <c r="BJ19" s="197" t="s">
        <v>206</v>
      </c>
      <c r="BK19" s="375">
        <v>45141</v>
      </c>
      <c r="BL19" s="376" t="s">
        <v>541</v>
      </c>
      <c r="BM19" s="173"/>
      <c r="BN19" s="372" t="s">
        <v>542</v>
      </c>
      <c r="BO19" s="114"/>
      <c r="BP19" s="142"/>
      <c r="BQ19" s="142"/>
      <c r="BR19" s="173"/>
      <c r="BS19" s="114"/>
      <c r="BT19" s="114"/>
      <c r="BU19" s="114"/>
      <c r="BV19" s="142" t="s">
        <v>213</v>
      </c>
      <c r="BW19" s="142"/>
      <c r="BX19" s="142"/>
      <c r="BY19" s="114">
        <v>45042</v>
      </c>
      <c r="BZ19" s="285" t="s">
        <v>237</v>
      </c>
      <c r="CA19" s="142"/>
      <c r="CB19" s="391" t="s">
        <v>458</v>
      </c>
      <c r="CC19" s="335" t="s">
        <v>543</v>
      </c>
      <c r="CD19" s="331" t="s">
        <v>544</v>
      </c>
      <c r="CE19" s="330" t="s">
        <v>545</v>
      </c>
      <c r="CF19" s="148"/>
      <c r="CG19" s="148"/>
      <c r="CH19" s="148"/>
      <c r="CI19" s="148"/>
      <c r="CJ19" s="148"/>
      <c r="CK19" s="148"/>
      <c r="CL19" s="148"/>
      <c r="CM19" s="148"/>
      <c r="CN19" s="148"/>
      <c r="CO19" s="148"/>
      <c r="CP19" s="148"/>
      <c r="CQ19" s="148"/>
      <c r="CR19" s="148"/>
      <c r="CS19" s="148"/>
      <c r="CT19" s="148"/>
      <c r="CU19" s="148"/>
      <c r="CV19" s="148"/>
      <c r="CW19" s="148"/>
      <c r="CX19" s="148"/>
      <c r="CY19" s="148"/>
      <c r="CZ19" s="148"/>
      <c r="DA19" s="148"/>
      <c r="DB19" s="148"/>
      <c r="DC19" s="148"/>
      <c r="DD19" s="148"/>
      <c r="DE19" s="148"/>
    </row>
    <row r="20" spans="1:109" ht="199.5" customHeight="1">
      <c r="A20" s="455"/>
      <c r="B20" s="477"/>
      <c r="C20" s="477"/>
      <c r="D20" s="456"/>
      <c r="E20" s="482"/>
      <c r="F20" s="456"/>
      <c r="G20" s="456"/>
      <c r="H20" s="477"/>
      <c r="I20" s="196" t="s">
        <v>546</v>
      </c>
      <c r="J20" s="194" t="s">
        <v>547</v>
      </c>
      <c r="K20" s="456"/>
      <c r="L20" s="482"/>
      <c r="M20" s="455"/>
      <c r="N20" s="479"/>
      <c r="O20" s="480"/>
      <c r="P20" s="475"/>
      <c r="Q20" s="480">
        <f>IF(NOT(ISERROR(MATCH(P20,_xlfn.ANCHORARRAY(#REF!),0))),#REF!&amp;"Por favor no seleccionar los criterios de impacto",P20)</f>
        <v>0</v>
      </c>
      <c r="R20" s="479"/>
      <c r="S20" s="480"/>
      <c r="T20" s="481"/>
      <c r="U20" s="194">
        <v>4</v>
      </c>
      <c r="V20" s="205" t="s">
        <v>259</v>
      </c>
      <c r="W20" s="178" t="str">
        <f t="shared" si="0"/>
        <v>Probabilidad</v>
      </c>
      <c r="X20" s="178" t="s">
        <v>189</v>
      </c>
      <c r="Y20" s="178" t="s">
        <v>189</v>
      </c>
      <c r="Z20" s="178" t="s">
        <v>189</v>
      </c>
      <c r="AA20" s="178" t="s">
        <v>189</v>
      </c>
      <c r="AB20" s="206" t="s">
        <v>190</v>
      </c>
      <c r="AC20" s="206" t="s">
        <v>191</v>
      </c>
      <c r="AD20" s="179" t="str">
        <f t="shared" si="1"/>
        <v>40%</v>
      </c>
      <c r="AE20" s="206" t="s">
        <v>192</v>
      </c>
      <c r="AF20" s="206" t="s">
        <v>193</v>
      </c>
      <c r="AG20" s="206" t="s">
        <v>194</v>
      </c>
      <c r="AH20" s="183">
        <f>IFERROR(IF(AND(W19="Probabilidad",W20="Probabilidad"),(AJ19-(+AJ19*AD20)),IF(AND(W19="Impacto",W20="Probabilidad"),(AJ18-(+AJ18*AD20)),IF(W20="Impacto",AJ19,""))),"")</f>
        <v>0</v>
      </c>
      <c r="AI20" s="181" t="str">
        <f t="shared" si="2"/>
        <v>Muy Baja</v>
      </c>
      <c r="AJ20" s="179">
        <f t="shared" si="3"/>
        <v>0</v>
      </c>
      <c r="AK20" s="181" t="str">
        <f t="shared" si="4"/>
        <v>Mayor</v>
      </c>
      <c r="AL20" s="179">
        <f>IFERROR(IF(AND(W19="Impacto",W20="Impacto"),(AL19-(+AL19*AD20)),IF(AND(W19="Probabilidad",W20="Impacto"),(AL18-(+AL18*AD20)),IF(W20="Probabilidad",AL19,""))),"")</f>
        <v>0.8</v>
      </c>
      <c r="AM20" s="182" t="str">
        <f t="shared" si="5"/>
        <v>Alto</v>
      </c>
      <c r="AN20" s="464"/>
      <c r="AO20" s="196"/>
      <c r="AP20" s="196"/>
      <c r="AQ20" s="212"/>
      <c r="AR20" s="317">
        <v>44967</v>
      </c>
      <c r="AS20" s="289" t="s">
        <v>260</v>
      </c>
      <c r="AT20" s="358" t="s">
        <v>260</v>
      </c>
      <c r="AU20" s="357" t="s">
        <v>260</v>
      </c>
      <c r="AV20" s="114"/>
      <c r="AW20" s="142"/>
      <c r="AX20" s="114"/>
      <c r="AY20" s="142"/>
      <c r="AZ20" s="173"/>
      <c r="BA20" s="291" t="s">
        <v>261</v>
      </c>
      <c r="BB20" s="311" t="s">
        <v>548</v>
      </c>
      <c r="BC20" s="311" t="s">
        <v>549</v>
      </c>
      <c r="BD20" s="323" t="s">
        <v>550</v>
      </c>
      <c r="BE20" s="197" t="s">
        <v>551</v>
      </c>
      <c r="BF20" s="348" t="s">
        <v>365</v>
      </c>
      <c r="BG20" s="311" t="s">
        <v>552</v>
      </c>
      <c r="BH20" s="369" t="s">
        <v>553</v>
      </c>
      <c r="BI20" s="364" t="s">
        <v>554</v>
      </c>
      <c r="BJ20" s="197" t="s">
        <v>206</v>
      </c>
      <c r="BK20" s="382">
        <v>45141</v>
      </c>
      <c r="BL20" s="383" t="s">
        <v>555</v>
      </c>
      <c r="BM20" s="173"/>
      <c r="BN20" s="372" t="s">
        <v>556</v>
      </c>
      <c r="BO20" s="114"/>
      <c r="BP20" s="142"/>
      <c r="BQ20" s="142"/>
      <c r="BR20" s="173"/>
      <c r="BS20" s="114"/>
      <c r="BT20" s="114"/>
      <c r="BU20" s="114">
        <v>44999</v>
      </c>
      <c r="BV20" s="142" t="s">
        <v>213</v>
      </c>
      <c r="BW20" s="142" t="s">
        <v>557</v>
      </c>
      <c r="BX20" s="142" t="s">
        <v>558</v>
      </c>
      <c r="BY20" s="114">
        <v>45042</v>
      </c>
      <c r="BZ20" s="285" t="s">
        <v>559</v>
      </c>
      <c r="CA20" s="142"/>
      <c r="CB20" s="391" t="s">
        <v>458</v>
      </c>
      <c r="CC20" s="332" t="s">
        <v>560</v>
      </c>
      <c r="CD20" s="331" t="s">
        <v>561</v>
      </c>
      <c r="CE20" s="330" t="s">
        <v>545</v>
      </c>
      <c r="CF20" s="148"/>
      <c r="CG20" s="148"/>
      <c r="CH20" s="148"/>
      <c r="CI20" s="148"/>
      <c r="CJ20" s="148"/>
      <c r="CK20" s="148"/>
      <c r="CL20" s="148"/>
      <c r="CM20" s="148"/>
      <c r="CN20" s="148"/>
      <c r="CO20" s="148"/>
      <c r="CP20" s="148"/>
      <c r="CQ20" s="148"/>
      <c r="CR20" s="148"/>
      <c r="CS20" s="148"/>
      <c r="CT20" s="148"/>
      <c r="CU20" s="148"/>
      <c r="CV20" s="148"/>
      <c r="CW20" s="148"/>
      <c r="CX20" s="148"/>
      <c r="CY20" s="148"/>
      <c r="CZ20" s="148"/>
      <c r="DA20" s="148"/>
      <c r="DB20" s="148"/>
      <c r="DC20" s="148"/>
      <c r="DD20" s="148"/>
      <c r="DE20" s="148"/>
    </row>
    <row r="21" spans="1:109" ht="11.25" customHeight="1">
      <c r="A21" s="455"/>
      <c r="B21" s="477"/>
      <c r="C21" s="477"/>
      <c r="D21" s="456"/>
      <c r="E21" s="482"/>
      <c r="F21" s="456"/>
      <c r="G21" s="456"/>
      <c r="H21" s="477"/>
      <c r="I21" s="196"/>
      <c r="J21" s="194"/>
      <c r="K21" s="456"/>
      <c r="L21" s="482"/>
      <c r="M21" s="455"/>
      <c r="N21" s="479"/>
      <c r="O21" s="480"/>
      <c r="P21" s="475"/>
      <c r="Q21" s="480">
        <f>IF(NOT(ISERROR(MATCH(P21,_xlfn.ANCHORARRAY(#REF!),0))),#REF!&amp;"Por favor no seleccionar los criterios de impacto",P21)</f>
        <v>0</v>
      </c>
      <c r="R21" s="479"/>
      <c r="S21" s="480"/>
      <c r="T21" s="481"/>
      <c r="U21" s="194">
        <v>5</v>
      </c>
      <c r="V21" s="205"/>
      <c r="W21" s="178" t="str">
        <f t="shared" si="0"/>
        <v/>
      </c>
      <c r="X21" s="178"/>
      <c r="Y21" s="178"/>
      <c r="Z21" s="178"/>
      <c r="AA21" s="178"/>
      <c r="AB21" s="206"/>
      <c r="AC21" s="206"/>
      <c r="AD21" s="179" t="str">
        <f t="shared" si="1"/>
        <v/>
      </c>
      <c r="AE21" s="206"/>
      <c r="AF21" s="206"/>
      <c r="AG21" s="206"/>
      <c r="AH21" s="183" t="str">
        <f>IFERROR(IF(AND(W20="Probabilidad",W21="Probabilidad"),(AJ20-(+AJ20*AD21)),IF(AND(W20="Impacto",W21="Probabilidad"),(AJ19-(+AJ19*AD21)),IF(W21="Impacto",AJ20,""))),"")</f>
        <v/>
      </c>
      <c r="AI21" s="181" t="str">
        <f t="shared" si="2"/>
        <v/>
      </c>
      <c r="AJ21" s="179" t="str">
        <f t="shared" si="3"/>
        <v/>
      </c>
      <c r="AK21" s="181" t="str">
        <f t="shared" si="4"/>
        <v/>
      </c>
      <c r="AL21" s="179" t="str">
        <f>IFERROR(IF(AND(W20="Impacto",W21="Impacto"),(AL20-(+AL20*AD21)),IF(AND(W20="Probabilidad",W21="Impacto"),(AL19-(+AL19*AD21)),IF(W21="Probabilidad",AL20,""))),"")</f>
        <v/>
      </c>
      <c r="AM21" s="182" t="str">
        <f t="shared" si="5"/>
        <v/>
      </c>
      <c r="AN21" s="464"/>
      <c r="AO21" s="209"/>
      <c r="AP21" s="196"/>
      <c r="AQ21" s="197"/>
      <c r="AR21" s="319" t="s">
        <v>260</v>
      </c>
      <c r="AS21" s="320" t="s">
        <v>260</v>
      </c>
      <c r="AT21" s="197"/>
      <c r="AU21" s="196"/>
      <c r="AV21" s="114"/>
      <c r="AW21" s="142"/>
      <c r="AX21" s="114"/>
      <c r="AY21" s="142"/>
      <c r="AZ21" s="173"/>
      <c r="BA21" s="196"/>
      <c r="BB21" s="196"/>
      <c r="BC21" s="194"/>
      <c r="BD21" s="197"/>
      <c r="BE21" s="197"/>
      <c r="BF21" s="370"/>
      <c r="BG21" s="366" t="s">
        <v>260</v>
      </c>
      <c r="BH21" s="369" t="s">
        <v>260</v>
      </c>
      <c r="BI21" s="358" t="s">
        <v>260</v>
      </c>
      <c r="BJ21" s="197"/>
      <c r="BK21" s="142"/>
      <c r="BL21" s="142"/>
      <c r="BM21" s="173"/>
      <c r="BN21" s="114"/>
      <c r="BO21" s="114"/>
      <c r="BP21" s="142"/>
      <c r="BQ21" s="142"/>
      <c r="BR21" s="173"/>
      <c r="BS21" s="114"/>
      <c r="BT21" s="114"/>
      <c r="BU21" s="114"/>
      <c r="BV21" s="142"/>
      <c r="BW21" s="142"/>
      <c r="BX21" s="142"/>
      <c r="BY21" s="114"/>
      <c r="BZ21" s="142"/>
      <c r="CA21" s="142"/>
      <c r="CB21" s="114"/>
      <c r="CC21" s="142"/>
      <c r="CD21" s="173"/>
      <c r="CE21" s="142"/>
      <c r="CF21" s="148"/>
      <c r="CG21" s="148"/>
      <c r="CH21" s="148"/>
      <c r="CI21" s="148"/>
      <c r="CJ21" s="148"/>
      <c r="CK21" s="148"/>
      <c r="CL21" s="148"/>
      <c r="CM21" s="148"/>
      <c r="CN21" s="148"/>
      <c r="CO21" s="148"/>
      <c r="CP21" s="148"/>
      <c r="CQ21" s="148"/>
      <c r="CR21" s="148"/>
      <c r="CS21" s="148"/>
      <c r="CT21" s="148"/>
      <c r="CU21" s="148"/>
      <c r="CV21" s="148"/>
      <c r="CW21" s="148"/>
      <c r="CX21" s="148"/>
      <c r="CY21" s="148"/>
      <c r="CZ21" s="148"/>
      <c r="DA21" s="148"/>
      <c r="DB21" s="148"/>
      <c r="DC21" s="148"/>
      <c r="DD21" s="148"/>
      <c r="DE21" s="148"/>
    </row>
    <row r="22" spans="1:109" ht="11.25" customHeight="1">
      <c r="A22" s="455"/>
      <c r="B22" s="478"/>
      <c r="C22" s="478"/>
      <c r="D22" s="456"/>
      <c r="E22" s="482"/>
      <c r="F22" s="456"/>
      <c r="G22" s="456"/>
      <c r="H22" s="478"/>
      <c r="I22" s="196"/>
      <c r="J22" s="194"/>
      <c r="K22" s="456"/>
      <c r="L22" s="482"/>
      <c r="M22" s="455"/>
      <c r="N22" s="479"/>
      <c r="O22" s="480"/>
      <c r="P22" s="475"/>
      <c r="Q22" s="480">
        <f>IF(NOT(ISERROR(MATCH(P22,_xlfn.ANCHORARRAY(#REF!),0))),#REF!&amp;"Por favor no seleccionar los criterios de impacto",P22)</f>
        <v>0</v>
      </c>
      <c r="R22" s="479"/>
      <c r="S22" s="480"/>
      <c r="T22" s="481"/>
      <c r="U22" s="194">
        <v>6</v>
      </c>
      <c r="V22" s="209"/>
      <c r="W22" s="178" t="str">
        <f t="shared" si="0"/>
        <v/>
      </c>
      <c r="X22" s="178"/>
      <c r="Y22" s="178"/>
      <c r="Z22" s="178"/>
      <c r="AA22" s="178"/>
      <c r="AB22" s="206"/>
      <c r="AC22" s="206"/>
      <c r="AD22" s="179" t="str">
        <f t="shared" si="1"/>
        <v/>
      </c>
      <c r="AE22" s="206"/>
      <c r="AF22" s="206"/>
      <c r="AG22" s="206"/>
      <c r="AH22" s="183" t="str">
        <f>IFERROR(IF(AND(W21="Probabilidad",W22="Probabilidad"),(AJ21-(+AJ21*AD22)),IF(AND(W21="Impacto",W22="Probabilidad"),(AJ20-(+AJ20*AD22)),IF(W22="Impacto",AJ21,""))),"")</f>
        <v/>
      </c>
      <c r="AI22" s="181" t="str">
        <f t="shared" si="2"/>
        <v/>
      </c>
      <c r="AJ22" s="179" t="str">
        <f t="shared" si="3"/>
        <v/>
      </c>
      <c r="AK22" s="181" t="str">
        <f t="shared" si="4"/>
        <v/>
      </c>
      <c r="AL22" s="179" t="str">
        <f>IFERROR(IF(AND(W21="Impacto",W22="Impacto"),(AL21-(+AL21*AD22)),IF(AND(W21="Probabilidad",W22="Impacto"),(AL20-(+AL20*AD22)),IF(W22="Probabilidad",AL21,""))),"")</f>
        <v/>
      </c>
      <c r="AM22" s="182" t="str">
        <f t="shared" si="5"/>
        <v/>
      </c>
      <c r="AN22" s="465"/>
      <c r="AO22" s="209"/>
      <c r="AP22" s="196"/>
      <c r="AQ22" s="197"/>
      <c r="AR22" s="319" t="s">
        <v>260</v>
      </c>
      <c r="AS22" s="320" t="s">
        <v>260</v>
      </c>
      <c r="AT22" s="197"/>
      <c r="AU22" s="196"/>
      <c r="AV22" s="114"/>
      <c r="AW22" s="142"/>
      <c r="AX22" s="114"/>
      <c r="AY22" s="142"/>
      <c r="AZ22" s="173"/>
      <c r="BA22" s="196"/>
      <c r="BB22" s="196"/>
      <c r="BC22" s="194"/>
      <c r="BD22" s="197"/>
      <c r="BE22" s="197"/>
      <c r="BF22" s="370"/>
      <c r="BG22" s="360" t="s">
        <v>260</v>
      </c>
      <c r="BH22" s="357"/>
      <c r="BI22" s="358" t="s">
        <v>260</v>
      </c>
      <c r="BJ22" s="197"/>
      <c r="BK22" s="142"/>
      <c r="BL22" s="142"/>
      <c r="BM22" s="173"/>
      <c r="BN22" s="114"/>
      <c r="BO22" s="114"/>
      <c r="BP22" s="142"/>
      <c r="BQ22" s="142"/>
      <c r="BR22" s="173"/>
      <c r="BS22" s="114"/>
      <c r="BT22" s="114"/>
      <c r="BU22" s="114"/>
      <c r="BV22" s="142"/>
      <c r="BW22" s="142"/>
      <c r="BX22" s="142"/>
      <c r="BY22" s="114"/>
      <c r="BZ22" s="142"/>
      <c r="CA22" s="142"/>
      <c r="CB22" s="114"/>
      <c r="CC22" s="142"/>
      <c r="CD22" s="173"/>
      <c r="CE22" s="142"/>
      <c r="CF22" s="148"/>
      <c r="CG22" s="148"/>
      <c r="CH22" s="148"/>
      <c r="CI22" s="148"/>
      <c r="CJ22" s="148"/>
      <c r="CK22" s="148"/>
      <c r="CL22" s="148"/>
      <c r="CM22" s="148"/>
      <c r="CN22" s="148"/>
      <c r="CO22" s="148"/>
      <c r="CP22" s="148"/>
      <c r="CQ22" s="148"/>
      <c r="CR22" s="148"/>
      <c r="CS22" s="148"/>
      <c r="CT22" s="148"/>
      <c r="CU22" s="148"/>
      <c r="CV22" s="148"/>
      <c r="CW22" s="148"/>
      <c r="CX22" s="148"/>
      <c r="CY22" s="148"/>
      <c r="CZ22" s="148"/>
      <c r="DA22" s="148"/>
      <c r="DB22" s="148"/>
      <c r="DC22" s="148"/>
      <c r="DD22" s="148"/>
      <c r="DE22" s="148"/>
    </row>
    <row r="23" spans="1:109" ht="33" customHeight="1">
      <c r="BA23" s="192"/>
      <c r="BB23" s="192"/>
      <c r="BD23" s="192"/>
    </row>
    <row r="24" spans="1:109" ht="33" customHeight="1">
      <c r="BA24" s="192"/>
      <c r="BB24" s="192"/>
      <c r="BD24" s="192"/>
    </row>
    <row r="25" spans="1:109" ht="33" customHeight="1">
      <c r="BB25" s="192"/>
      <c r="BD25" s="192"/>
    </row>
    <row r="26" spans="1:109" ht="33" customHeight="1">
      <c r="BB26" s="192"/>
      <c r="BD26" s="192"/>
    </row>
    <row r="27" spans="1:109" ht="33" customHeight="1">
      <c r="BB27" s="192"/>
      <c r="BD27" s="192"/>
    </row>
    <row r="28" spans="1:109" ht="33" customHeight="1">
      <c r="BB28" s="192"/>
      <c r="BD28" s="192"/>
    </row>
    <row r="29" spans="1:109" ht="33" customHeight="1">
      <c r="BB29" s="192"/>
      <c r="BD29" s="192"/>
    </row>
    <row r="30" spans="1:109" ht="33" customHeight="1">
      <c r="BB30" s="192"/>
      <c r="BD30" s="192"/>
    </row>
    <row r="31" spans="1:109" ht="33" customHeight="1">
      <c r="BB31" s="192"/>
      <c r="BD31" s="192"/>
    </row>
    <row r="32" spans="1:109" ht="33" customHeight="1">
      <c r="BB32" s="192"/>
      <c r="BD32" s="192"/>
    </row>
    <row r="33" spans="54:56" ht="33" customHeight="1">
      <c r="BB33" s="192"/>
      <c r="BD33" s="192"/>
    </row>
    <row r="34" spans="54:56" ht="33" customHeight="1">
      <c r="BB34" s="192"/>
    </row>
    <row r="35" spans="54:56" ht="33" customHeight="1">
      <c r="BB35" s="192"/>
    </row>
    <row r="36" spans="54:56" ht="33" customHeight="1">
      <c r="BB36" s="192"/>
    </row>
  </sheetData>
  <sheetProtection algorithmName="SHA-512" hashValue="4Z89qURG4CA2dc0L3e2iOXXpxRaZi1kNU3O6ELkXUMWShJ0R0MZm4L+tTDMHKWrcP4nwQBiuwYSgFPoXaUTbpw==" saltValue="5Vu5VK/TGslkCcWYh6rLHw==" spinCount="100000" sheet="1" formatCells="0" formatColumns="0" formatRows="0"/>
  <dataConsolidate link="1"/>
  <mergeCells count="144">
    <mergeCell ref="E3:E4"/>
    <mergeCell ref="K3:K4"/>
    <mergeCell ref="G5:G10"/>
    <mergeCell ref="G11:G16"/>
    <mergeCell ref="G17:G22"/>
    <mergeCell ref="A17:A22"/>
    <mergeCell ref="B17:B22"/>
    <mergeCell ref="A11:A16"/>
    <mergeCell ref="B11:B16"/>
    <mergeCell ref="E5:E10"/>
    <mergeCell ref="K5:K10"/>
    <mergeCell ref="F5:F10"/>
    <mergeCell ref="C11:C16"/>
    <mergeCell ref="D11:D16"/>
    <mergeCell ref="H11:H16"/>
    <mergeCell ref="C17:C22"/>
    <mergeCell ref="D17:D22"/>
    <mergeCell ref="H17:H22"/>
    <mergeCell ref="E17:E22"/>
    <mergeCell ref="K17:K22"/>
    <mergeCell ref="E11:E16"/>
    <mergeCell ref="K11:K16"/>
    <mergeCell ref="F11:F16"/>
    <mergeCell ref="F17:F22"/>
    <mergeCell ref="M5:M10"/>
    <mergeCell ref="N5:N10"/>
    <mergeCell ref="L5:L10"/>
    <mergeCell ref="AN17:AN22"/>
    <mergeCell ref="Q17:Q22"/>
    <mergeCell ref="AN11:AN16"/>
    <mergeCell ref="Q11:Q16"/>
    <mergeCell ref="R11:R16"/>
    <mergeCell ref="S11:S16"/>
    <mergeCell ref="T11:T16"/>
    <mergeCell ref="O11:O16"/>
    <mergeCell ref="P11:P16"/>
    <mergeCell ref="M11:M16"/>
    <mergeCell ref="N11:N16"/>
    <mergeCell ref="L11:L16"/>
    <mergeCell ref="S17:S22"/>
    <mergeCell ref="T17:T22"/>
    <mergeCell ref="R17:R22"/>
    <mergeCell ref="L17:L22"/>
    <mergeCell ref="M17:M22"/>
    <mergeCell ref="N17:N22"/>
    <mergeCell ref="O17:O22"/>
    <mergeCell ref="P17:P22"/>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M3:M4"/>
    <mergeCell ref="N3:N4"/>
    <mergeCell ref="O3:O4"/>
    <mergeCell ref="P3:P4"/>
    <mergeCell ref="L3:L4"/>
    <mergeCell ref="AK3:AK4"/>
    <mergeCell ref="AL3:AL4"/>
    <mergeCell ref="I3:I4"/>
    <mergeCell ref="F3:F4"/>
    <mergeCell ref="J3:J4"/>
    <mergeCell ref="G3:G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45" priority="326" operator="equal">
      <formula>"Baja"</formula>
    </cfRule>
    <cfRule type="cellIs" dxfId="44" priority="325" operator="equal">
      <formula>"Media"</formula>
    </cfRule>
    <cfRule type="cellIs" dxfId="43" priority="324" operator="equal">
      <formula>"Alta"</formula>
    </cfRule>
    <cfRule type="cellIs" dxfId="42" priority="323" operator="equal">
      <formula>"Muy Alta"</formula>
    </cfRule>
    <cfRule type="cellIs" dxfId="41" priority="327" operator="equal">
      <formula>"Muy Baja"</formula>
    </cfRule>
  </conditionalFormatting>
  <conditionalFormatting sqref="N17">
    <cfRule type="cellIs" dxfId="40" priority="278" operator="equal">
      <formula>"Alta"</formula>
    </cfRule>
    <cfRule type="cellIs" dxfId="39" priority="279" operator="equal">
      <formula>"Media"</formula>
    </cfRule>
    <cfRule type="cellIs" dxfId="38" priority="281" operator="equal">
      <formula>"Muy Baja"</formula>
    </cfRule>
    <cfRule type="cellIs" dxfId="37" priority="280" operator="equal">
      <formula>"Baja"</formula>
    </cfRule>
    <cfRule type="cellIs" dxfId="36" priority="277" operator="equal">
      <formula>"Muy Alta"</formula>
    </cfRule>
  </conditionalFormatting>
  <conditionalFormatting sqref="Q5:Q22">
    <cfRule type="containsText" dxfId="35" priority="97" operator="containsText" text="❌">
      <formula>NOT(ISERROR(SEARCH("❌",Q5)))</formula>
    </cfRule>
  </conditionalFormatting>
  <conditionalFormatting sqref="R5 R11 R17">
    <cfRule type="cellIs" dxfId="34" priority="322" operator="equal">
      <formula>"Leve"</formula>
    </cfRule>
    <cfRule type="cellIs" dxfId="33" priority="321" operator="equal">
      <formula>"Menor"</formula>
    </cfRule>
    <cfRule type="cellIs" dxfId="32" priority="320" operator="equal">
      <formula>"Moderado"</formula>
    </cfRule>
    <cfRule type="cellIs" dxfId="31" priority="319" operator="equal">
      <formula>"Mayor"</formula>
    </cfRule>
    <cfRule type="cellIs" dxfId="30" priority="318" operator="equal">
      <formula>"Catastrófico"</formula>
    </cfRule>
  </conditionalFormatting>
  <conditionalFormatting sqref="T5">
    <cfRule type="cellIs" dxfId="29" priority="317" operator="equal">
      <formula>"Bajo"</formula>
    </cfRule>
    <cfRule type="cellIs" dxfId="28" priority="316" operator="equal">
      <formula>"Moderado"</formula>
    </cfRule>
    <cfRule type="cellIs" dxfId="27" priority="315" operator="equal">
      <formula>"Alto"</formula>
    </cfRule>
    <cfRule type="cellIs" dxfId="26" priority="314" operator="equal">
      <formula>"Extremo"</formula>
    </cfRule>
  </conditionalFormatting>
  <conditionalFormatting sqref="T11">
    <cfRule type="cellIs" dxfId="25" priority="299" operator="equal">
      <formula>"Bajo"</formula>
    </cfRule>
    <cfRule type="cellIs" dxfId="24" priority="298" operator="equal">
      <formula>"Moderado"</formula>
    </cfRule>
    <cfRule type="cellIs" dxfId="23" priority="296" operator="equal">
      <formula>"Extremo"</formula>
    </cfRule>
    <cfRule type="cellIs" dxfId="22" priority="297" operator="equal">
      <formula>"Alto"</formula>
    </cfRule>
  </conditionalFormatting>
  <conditionalFormatting sqref="T17">
    <cfRule type="cellIs" dxfId="21" priority="275" operator="equal">
      <formula>"Moderado"</formula>
    </cfRule>
    <cfRule type="cellIs" dxfId="20" priority="274" operator="equal">
      <formula>"Alto"</formula>
    </cfRule>
    <cfRule type="cellIs" dxfId="19" priority="276" operator="equal">
      <formula>"Bajo"</formula>
    </cfRule>
    <cfRule type="cellIs" dxfId="18" priority="273" operator="equal">
      <formula>"Extremo"</formula>
    </cfRule>
  </conditionalFormatting>
  <conditionalFormatting sqref="AI5:AI22">
    <cfRule type="cellIs" dxfId="17" priority="93" operator="equal">
      <formula>"Alta"</formula>
    </cfRule>
    <cfRule type="cellIs" dxfId="16" priority="96" operator="equal">
      <formula>"Muy Baja"</formula>
    </cfRule>
    <cfRule type="cellIs" dxfId="15" priority="95" operator="equal">
      <formula>"Baja"</formula>
    </cfRule>
    <cfRule type="cellIs" dxfId="14" priority="94" operator="equal">
      <formula>"Media"</formula>
    </cfRule>
    <cfRule type="cellIs" dxfId="13" priority="92" operator="equal">
      <formula>"Muy Alta"</formula>
    </cfRule>
  </conditionalFormatting>
  <conditionalFormatting sqref="AK5:AK22">
    <cfRule type="cellIs" dxfId="12" priority="91" operator="equal">
      <formula>"Leve"</formula>
    </cfRule>
    <cfRule type="cellIs" dxfId="11" priority="90" operator="equal">
      <formula>"Menor"</formula>
    </cfRule>
    <cfRule type="cellIs" dxfId="10" priority="88" operator="equal">
      <formula>"Mayor"</formula>
    </cfRule>
    <cfRule type="cellIs" dxfId="9" priority="89" operator="equal">
      <formula>"Moderado"</formula>
    </cfRule>
    <cfRule type="cellIs" dxfId="8" priority="87" operator="equal">
      <formula>"Catastrófico"</formula>
    </cfRule>
  </conditionalFormatting>
  <conditionalFormatting sqref="AM5:AM22">
    <cfRule type="cellIs" dxfId="7" priority="83" operator="equal">
      <formula>"Extremo"</formula>
    </cfRule>
    <cfRule type="cellIs" dxfId="6" priority="86" operator="equal">
      <formula>"Bajo"</formula>
    </cfRule>
    <cfRule type="cellIs" dxfId="5" priority="85" operator="equal">
      <formula>"Moderado"</formula>
    </cfRule>
    <cfRule type="cellIs" dxfId="4" priority="84" operator="equal">
      <formula>"Alto"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BT5:BT22 BO5:BO22 BE5:BE7 BE9:BE22 BJ7:BJ10 BJ14:BJ16 BJ19:BJ22</xm:sqref>
        </x14:dataValidation>
        <x14:dataValidation type="list" allowBlank="1" showInputMessage="1" showErrorMessage="1" xr:uid="{9876A568-F894-4B90-9C8C-2B1211DEB128}">
          <x14:formula1>
            <xm:f>'Opciones Tratamiento'!$B$20:$B$22</xm:f>
          </x14:formula1>
          <xm:sqref>AZ5:AZ22</xm:sqref>
        </x14:dataValidation>
        <x14:dataValidation type="list" allowBlank="1" showInputMessage="1" showErrorMessage="1" xr:uid="{F0AC44DF-8083-410B-9651-ED4525E4899C}">
          <x14:formula1>
            <xm:f>Hoja1!$A$26:$A$39</xm:f>
          </x14:formula1>
          <xm:sqref>B5:B22</xm:sqref>
        </x14:dataValidation>
        <x14:dataValidation type="list" allowBlank="1" showInputMessage="1" showErrorMessage="1" xr:uid="{E2FD72F5-BB69-4E2E-A065-47ED479BE898}">
          <x14:formula1>
            <xm:f>Hoja1!$B$26:$B$39</xm:f>
          </x14:formula1>
          <xm:sqref>C5:C22</xm:sqref>
        </x14:dataValidation>
        <x14:dataValidation type="list" allowBlank="1" showInputMessage="1" showErrorMessage="1" xr:uid="{0CA24C9E-7F8E-4F63-B48D-84FE89F7D02F}">
          <x14:formula1>
            <xm:f>'seguridad info'!$A$2:$A$9</xm:f>
          </x14:formula1>
          <xm:sqref>G5:G22</xm:sqref>
        </x14:dataValidation>
        <x14:dataValidation type="list" allowBlank="1" showInputMessage="1" showErrorMessage="1" xr:uid="{CE547126-0B71-4503-88BE-63C55F6F1FDE}">
          <x14:formula1>
            <xm:f>'Opciones Tratamiento'!$E$2:$E$4</xm:f>
          </x14:formula1>
          <xm:sqref>H5:H22</xm:sqref>
        </x14:dataValidation>
        <x14:dataValidation type="list" allowBlank="1" showInputMessage="1" showErrorMessage="1" xr:uid="{9C363260-16DC-4591-A339-78E9EAA97504}">
          <x14:formula1>
            <xm:f>'Opciones Tratamiento'!$B$13:$B$17</xm:f>
          </x14:formula1>
          <xm:sqref>K5:K22</xm:sqref>
        </x14:dataValidation>
        <x14:dataValidation type="list" allowBlank="1" showInputMessage="1" showErrorMessage="1" xr:uid="{3D319962-32F3-46F5-9681-99E8A032ECDF}">
          <x14:formula1>
            <xm:f>'seguridad info'!$A$113:$A$115</xm:f>
          </x14:formula1>
          <xm:sqref>L5:L22</xm:sqref>
        </x14:dataValidation>
        <x14:dataValidation type="list" allowBlank="1" showInputMessage="1" showErrorMessage="1" xr:uid="{7AE6CF23-EC5C-473C-A3EC-BCCC5BECFB9F}">
          <x14:formula1>
            <xm:f>'Tabla Impacto'!$F$210:$F$221</xm:f>
          </x14:formula1>
          <xm:sqref>P5:P22</xm:sqref>
        </x14:dataValidation>
        <x14:dataValidation type="list" allowBlank="1" showInputMessage="1" showErrorMessage="1" xr:uid="{CB2F1DA2-7856-43C7-8A6E-D00E9F8D43FA}">
          <x14:formula1>
            <xm:f>'Opciones Tratamiento'!$B$28:$B$29</xm:f>
          </x14:formula1>
          <xm:sqref>X5:AA22</xm:sqref>
        </x14:dataValidation>
        <x14:dataValidation type="list" allowBlank="1" showInputMessage="1" showErrorMessage="1" xr:uid="{14F3B1C0-6686-4891-8180-E5FB6EE4E4A1}">
          <x14:formula1>
            <xm:f>Hoja1!$A$12:$A$14</xm:f>
          </x14:formula1>
          <xm:sqref>AG5:AG22</xm:sqref>
        </x14:dataValidation>
        <x14:dataValidation type="list" allowBlank="1" showInputMessage="1" showErrorMessage="1" xr:uid="{A7EB2075-7CEA-4D1E-9C1D-5A79345DCF06}">
          <x14:formula1>
            <xm:f>Hoja1!$A$10:$A$11</xm:f>
          </x14:formula1>
          <xm:sqref>AF5:AF22</xm:sqref>
        </x14:dataValidation>
        <x14:dataValidation type="list" allowBlank="1" showInputMessage="1" showErrorMessage="1" xr:uid="{41114FC7-138E-4FBB-A631-54F6139E660D}">
          <x14:formula1>
            <xm:f>Hoja1!$A$8:$A$9</xm:f>
          </x14:formula1>
          <xm:sqref>AE5:AE22</xm:sqref>
        </x14:dataValidation>
        <x14:dataValidation type="list" allowBlank="1" showInputMessage="1" showErrorMessage="1" xr:uid="{B362517C-9CB1-461C-A772-F0ADCAB6745A}">
          <x14:formula1>
            <xm:f>Hoja1!$A$6:$A$7</xm:f>
          </x14:formula1>
          <xm:sqref>AC5:AC22</xm:sqref>
        </x14:dataValidation>
        <x14:dataValidation type="list" allowBlank="1" showInputMessage="1" showErrorMessage="1" xr:uid="{6F302A78-E97E-42C2-83AF-895FC9002F42}">
          <x14:formula1>
            <xm:f>Hoja1!$A$3:$A$5</xm:f>
          </x14:formula1>
          <xm:sqref>AB5:AB22</xm:sqref>
        </x14:dataValidation>
        <x14:dataValidation type="list" allowBlank="1" showInputMessage="1" showErrorMessage="1" xr:uid="{0D0D0007-F443-474B-BE78-EF3995E60780}">
          <x14:formula1>
            <xm:f>'Opciones Tratamiento'!$B$2:$B$5</xm:f>
          </x14:formula1>
          <xm:sqref>AN5:AN22</xm:sqref>
        </x14:dataValidation>
        <x14:dataValidation type="list" allowBlank="1" showInputMessage="1" showErrorMessage="1" xr:uid="{6A87AE3F-628A-4FD6-96FA-F345953E6751}">
          <x14:formula1>
            <xm:f>'seguridad info'!$B$13:$B$51</xm:f>
          </x14:formula1>
          <xm:sqref>I5:I8 I16:I22 I10:I14</xm:sqref>
        </x14:dataValidation>
        <x14:dataValidation type="list" allowBlank="1" showInputMessage="1" showErrorMessage="1" xr:uid="{2135382E-6996-4E1E-95E6-30F118713305}">
          <x14:formula1>
            <xm:f>'seguridad info'!$B$55:$B$110</xm:f>
          </x14:formula1>
          <xm:sqref>J5:J8 J16:J22 J10:J14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defaultColWidth="11.42578125" defaultRowHeight="15"/>
  <cols>
    <col min="2" max="39" width="5.7109375" customWidth="1"/>
    <col min="41" max="46" width="5.7109375" customWidth="1"/>
  </cols>
  <sheetData>
    <row r="1" spans="1:99">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row>
    <row r="2" spans="1:99" ht="18" customHeight="1">
      <c r="A2" s="71"/>
      <c r="B2" s="622" t="s">
        <v>562</v>
      </c>
      <c r="C2" s="622"/>
      <c r="D2" s="622"/>
      <c r="E2" s="622"/>
      <c r="F2" s="622"/>
      <c r="G2" s="622"/>
      <c r="H2" s="622"/>
      <c r="I2" s="622"/>
      <c r="J2" s="590" t="s">
        <v>15</v>
      </c>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row>
    <row r="3" spans="1:99" ht="18.75" customHeight="1">
      <c r="A3" s="71"/>
      <c r="B3" s="622"/>
      <c r="C3" s="622"/>
      <c r="D3" s="622"/>
      <c r="E3" s="622"/>
      <c r="F3" s="622"/>
      <c r="G3" s="622"/>
      <c r="H3" s="622"/>
      <c r="I3" s="622"/>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row>
    <row r="4" spans="1:99" ht="15" customHeight="1">
      <c r="A4" s="71"/>
      <c r="B4" s="622"/>
      <c r="C4" s="622"/>
      <c r="D4" s="622"/>
      <c r="E4" s="622"/>
      <c r="F4" s="622"/>
      <c r="G4" s="622"/>
      <c r="H4" s="622"/>
      <c r="I4" s="622"/>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0"/>
      <c r="AM4" s="590"/>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row>
    <row r="5" spans="1:99" ht="15.75" thickBo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row>
    <row r="6" spans="1:99" ht="15" customHeight="1">
      <c r="A6" s="71"/>
      <c r="B6" s="537" t="s">
        <v>296</v>
      </c>
      <c r="C6" s="537"/>
      <c r="D6" s="538"/>
      <c r="E6" s="575" t="s">
        <v>563</v>
      </c>
      <c r="F6" s="576"/>
      <c r="G6" s="576"/>
      <c r="H6" s="576"/>
      <c r="I6" s="577"/>
      <c r="J6" s="586" t="e">
        <f>IF(AND(' RIESGOS DE GESTION'!#REF!="Muy Alta",' RIESGOS DE GESTION'!#REF!="Leve"),CONCATENATE("R",' RIESGOS DE GESTION'!#REF!),"")</f>
        <v>#REF!</v>
      </c>
      <c r="K6" s="587"/>
      <c r="L6" s="587" t="e">
        <f>IF(AND(' RIESGOS DE GESTION'!#REF!="Muy Alta",' RIESGOS DE GESTION'!#REF!="Leve"),CONCATENATE("R",' RIESGOS DE GESTION'!#REF!),"")</f>
        <v>#REF!</v>
      </c>
      <c r="M6" s="587"/>
      <c r="N6" s="587" t="e">
        <f>IF(AND(' RIESGOS DE GESTION'!#REF!="Muy Alta",' RIESGOS DE GESTION'!#REF!="Leve"),CONCATENATE("R",' RIESGOS DE GESTION'!#REF!),"")</f>
        <v>#REF!</v>
      </c>
      <c r="O6" s="589"/>
      <c r="P6" s="586" t="e">
        <f>IF(AND(' RIESGOS DE GESTION'!#REF!="Muy Alta",' RIESGOS DE GESTION'!#REF!="Menor"),CONCATENATE("R",' RIESGOS DE GESTION'!#REF!),"")</f>
        <v>#REF!</v>
      </c>
      <c r="Q6" s="587"/>
      <c r="R6" s="587" t="e">
        <f>IF(AND(' RIESGOS DE GESTION'!#REF!="Muy Alta",' RIESGOS DE GESTION'!#REF!="Menor"),CONCATENATE("R",' RIESGOS DE GESTION'!#REF!),"")</f>
        <v>#REF!</v>
      </c>
      <c r="S6" s="587"/>
      <c r="T6" s="587" t="e">
        <f>IF(AND(' RIESGOS DE GESTION'!#REF!="Muy Alta",' RIESGOS DE GESTION'!#REF!="Menor"),CONCATENATE("R",' RIESGOS DE GESTION'!#REF!),"")</f>
        <v>#REF!</v>
      </c>
      <c r="U6" s="589"/>
      <c r="V6" s="586" t="e">
        <f>IF(AND(' RIESGOS DE GESTION'!#REF!="Muy Alta",' RIESGOS DE GESTION'!#REF!="Moderado"),CONCATENATE("R",' RIESGOS DE GESTION'!#REF!),"")</f>
        <v>#REF!</v>
      </c>
      <c r="W6" s="587"/>
      <c r="X6" s="587" t="e">
        <f>IF(AND(' RIESGOS DE GESTION'!#REF!="Muy Alta",' RIESGOS DE GESTION'!#REF!="Moderado"),CONCATENATE("R",' RIESGOS DE GESTION'!#REF!),"")</f>
        <v>#REF!</v>
      </c>
      <c r="Y6" s="587"/>
      <c r="Z6" s="587" t="e">
        <f>IF(AND(' RIESGOS DE GESTION'!#REF!="Muy Alta",' RIESGOS DE GESTION'!#REF!="Moderado"),CONCATENATE("R",' RIESGOS DE GESTION'!#REF!),"")</f>
        <v>#REF!</v>
      </c>
      <c r="AA6" s="589"/>
      <c r="AB6" s="586" t="e">
        <f>IF(AND(' RIESGOS DE GESTION'!#REF!="Muy Alta",' RIESGOS DE GESTION'!#REF!="Mayor"),CONCATENATE("R",' RIESGOS DE GESTION'!#REF!),"")</f>
        <v>#REF!</v>
      </c>
      <c r="AC6" s="587"/>
      <c r="AD6" s="587" t="e">
        <f>IF(AND(' RIESGOS DE GESTION'!#REF!="Muy Alta",' RIESGOS DE GESTION'!#REF!="Mayor"),CONCATENATE("R",' RIESGOS DE GESTION'!#REF!),"")</f>
        <v>#REF!</v>
      </c>
      <c r="AE6" s="587"/>
      <c r="AF6" s="587" t="e">
        <f>IF(AND(' RIESGOS DE GESTION'!#REF!="Muy Alta",' RIESGOS DE GESTION'!#REF!="Mayor"),CONCATENATE("R",' RIESGOS DE GESTION'!#REF!),"")</f>
        <v>#REF!</v>
      </c>
      <c r="AG6" s="589"/>
      <c r="AH6" s="601" t="e">
        <f>IF(AND(' RIESGOS DE GESTION'!#REF!="Muy Alta",' RIESGOS DE GESTION'!#REF!="Catastrófico"),CONCATENATE("R",' RIESGOS DE GESTION'!#REF!),"")</f>
        <v>#REF!</v>
      </c>
      <c r="AI6" s="602"/>
      <c r="AJ6" s="602" t="e">
        <f>IF(AND(' RIESGOS DE GESTION'!#REF!="Muy Alta",' RIESGOS DE GESTION'!#REF!="Catastrófico"),CONCATENATE("R",' RIESGOS DE GESTION'!#REF!),"")</f>
        <v>#REF!</v>
      </c>
      <c r="AK6" s="602"/>
      <c r="AL6" s="602" t="e">
        <f>IF(AND(' RIESGOS DE GESTION'!#REF!="Muy Alta",' RIESGOS DE GESTION'!#REF!="Catastrófico"),CONCATENATE("R",' RIESGOS DE GESTION'!#REF!),"")</f>
        <v>#REF!</v>
      </c>
      <c r="AM6" s="603"/>
      <c r="AO6" s="539" t="s">
        <v>564</v>
      </c>
      <c r="AP6" s="540"/>
      <c r="AQ6" s="540"/>
      <c r="AR6" s="540"/>
      <c r="AS6" s="540"/>
      <c r="AT6" s="54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row>
    <row r="7" spans="1:99" ht="15" customHeight="1">
      <c r="A7" s="71"/>
      <c r="B7" s="537"/>
      <c r="C7" s="537"/>
      <c r="D7" s="538"/>
      <c r="E7" s="578"/>
      <c r="F7" s="579"/>
      <c r="G7" s="579"/>
      <c r="H7" s="579"/>
      <c r="I7" s="580"/>
      <c r="J7" s="588"/>
      <c r="K7" s="584"/>
      <c r="L7" s="584"/>
      <c r="M7" s="584"/>
      <c r="N7" s="584"/>
      <c r="O7" s="585"/>
      <c r="P7" s="588"/>
      <c r="Q7" s="584"/>
      <c r="R7" s="584"/>
      <c r="S7" s="584"/>
      <c r="T7" s="584"/>
      <c r="U7" s="585"/>
      <c r="V7" s="588"/>
      <c r="W7" s="584"/>
      <c r="X7" s="584"/>
      <c r="Y7" s="584"/>
      <c r="Z7" s="584"/>
      <c r="AA7" s="585"/>
      <c r="AB7" s="588"/>
      <c r="AC7" s="584"/>
      <c r="AD7" s="584"/>
      <c r="AE7" s="584"/>
      <c r="AF7" s="584"/>
      <c r="AG7" s="585"/>
      <c r="AH7" s="595"/>
      <c r="AI7" s="596"/>
      <c r="AJ7" s="596"/>
      <c r="AK7" s="596"/>
      <c r="AL7" s="596"/>
      <c r="AM7" s="597"/>
      <c r="AN7" s="71"/>
      <c r="AO7" s="542"/>
      <c r="AP7" s="543"/>
      <c r="AQ7" s="543"/>
      <c r="AR7" s="543"/>
      <c r="AS7" s="543"/>
      <c r="AT7" s="544"/>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row>
    <row r="8" spans="1:99" ht="15" customHeight="1">
      <c r="A8" s="71"/>
      <c r="B8" s="537"/>
      <c r="C8" s="537"/>
      <c r="D8" s="538"/>
      <c r="E8" s="578"/>
      <c r="F8" s="579"/>
      <c r="G8" s="579"/>
      <c r="H8" s="579"/>
      <c r="I8" s="580"/>
      <c r="J8" s="588" t="e">
        <f>IF(AND(' RIESGOS DE GESTION'!#REF!="Muy Alta",' RIESGOS DE GESTION'!#REF!="Leve"),CONCATENATE("R",' RIESGOS DE GESTION'!#REF!),"")</f>
        <v>#REF!</v>
      </c>
      <c r="K8" s="584"/>
      <c r="L8" s="584" t="e">
        <f>IF(AND(' RIESGOS DE GESTION'!#REF!="Muy Alta",' RIESGOS DE GESTION'!#REF!="Leve"),CONCATENATE("R",' RIESGOS DE GESTION'!#REF!),"")</f>
        <v>#REF!</v>
      </c>
      <c r="M8" s="584"/>
      <c r="N8" s="584" t="e">
        <f>IF(AND(' RIESGOS DE GESTION'!#REF!="Muy Alta",' RIESGOS DE GESTION'!#REF!="Leve"),CONCATENATE("R",' RIESGOS DE GESTION'!#REF!),"")</f>
        <v>#REF!</v>
      </c>
      <c r="O8" s="585"/>
      <c r="P8" s="588" t="e">
        <f>IF(AND(' RIESGOS DE GESTION'!#REF!="Muy Alta",' RIESGOS DE GESTION'!#REF!="Menor"),CONCATENATE("R",' RIESGOS DE GESTION'!#REF!),"")</f>
        <v>#REF!</v>
      </c>
      <c r="Q8" s="584"/>
      <c r="R8" s="584" t="e">
        <f>IF(AND(' RIESGOS DE GESTION'!#REF!="Muy Alta",' RIESGOS DE GESTION'!#REF!="Menor"),CONCATENATE("R",' RIESGOS DE GESTION'!#REF!),"")</f>
        <v>#REF!</v>
      </c>
      <c r="S8" s="584"/>
      <c r="T8" s="584" t="e">
        <f>IF(AND(' RIESGOS DE GESTION'!#REF!="Muy Alta",' RIESGOS DE GESTION'!#REF!="Menor"),CONCATENATE("R",' RIESGOS DE GESTION'!#REF!),"")</f>
        <v>#REF!</v>
      </c>
      <c r="U8" s="585"/>
      <c r="V8" s="588" t="e">
        <f>IF(AND(' RIESGOS DE GESTION'!#REF!="Muy Alta",' RIESGOS DE GESTION'!#REF!="Moderado"),CONCATENATE("R",' RIESGOS DE GESTION'!#REF!),"")</f>
        <v>#REF!</v>
      </c>
      <c r="W8" s="584"/>
      <c r="X8" s="584" t="e">
        <f>IF(AND(' RIESGOS DE GESTION'!#REF!="Muy Alta",' RIESGOS DE GESTION'!#REF!="Moderado"),CONCATENATE("R",' RIESGOS DE GESTION'!#REF!),"")</f>
        <v>#REF!</v>
      </c>
      <c r="Y8" s="584"/>
      <c r="Z8" s="584" t="e">
        <f>IF(AND(' RIESGOS DE GESTION'!#REF!="Muy Alta",' RIESGOS DE GESTION'!#REF!="Moderado"),CONCATENATE("R",' RIESGOS DE GESTION'!#REF!),"")</f>
        <v>#REF!</v>
      </c>
      <c r="AA8" s="585"/>
      <c r="AB8" s="588" t="e">
        <f>IF(AND(' RIESGOS DE GESTION'!#REF!="Muy Alta",' RIESGOS DE GESTION'!#REF!="Mayor"),CONCATENATE("R",' RIESGOS DE GESTION'!#REF!),"")</f>
        <v>#REF!</v>
      </c>
      <c r="AC8" s="584"/>
      <c r="AD8" s="584" t="e">
        <f>IF(AND(' RIESGOS DE GESTION'!#REF!="Muy Alta",' RIESGOS DE GESTION'!#REF!="Mayor"),CONCATENATE("R",' RIESGOS DE GESTION'!#REF!),"")</f>
        <v>#REF!</v>
      </c>
      <c r="AE8" s="584"/>
      <c r="AF8" s="584" t="e">
        <f>IF(AND(' RIESGOS DE GESTION'!#REF!="Muy Alta",' RIESGOS DE GESTION'!#REF!="Mayor"),CONCATENATE("R",' RIESGOS DE GESTION'!#REF!),"")</f>
        <v>#REF!</v>
      </c>
      <c r="AG8" s="585"/>
      <c r="AH8" s="595" t="e">
        <f>IF(AND(' RIESGOS DE GESTION'!#REF!="Muy Alta",' RIESGOS DE GESTION'!#REF!="Catastrófico"),CONCATENATE("R",' RIESGOS DE GESTION'!#REF!),"")</f>
        <v>#REF!</v>
      </c>
      <c r="AI8" s="596"/>
      <c r="AJ8" s="596" t="e">
        <f>IF(AND(' RIESGOS DE GESTION'!#REF!="Muy Alta",' RIESGOS DE GESTION'!#REF!="Catastrófico"),CONCATENATE("R",' RIESGOS DE GESTION'!#REF!),"")</f>
        <v>#REF!</v>
      </c>
      <c r="AK8" s="596"/>
      <c r="AL8" s="596" t="e">
        <f>IF(AND(' RIESGOS DE GESTION'!#REF!="Muy Alta",' RIESGOS DE GESTION'!#REF!="Catastrófico"),CONCATENATE("R",' RIESGOS DE GESTION'!#REF!),"")</f>
        <v>#REF!</v>
      </c>
      <c r="AM8" s="597"/>
      <c r="AN8" s="71"/>
      <c r="AO8" s="542"/>
      <c r="AP8" s="543"/>
      <c r="AQ8" s="543"/>
      <c r="AR8" s="543"/>
      <c r="AS8" s="543"/>
      <c r="AT8" s="544"/>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row>
    <row r="9" spans="1:99" ht="15" customHeight="1">
      <c r="A9" s="71"/>
      <c r="B9" s="537"/>
      <c r="C9" s="537"/>
      <c r="D9" s="538"/>
      <c r="E9" s="578"/>
      <c r="F9" s="579"/>
      <c r="G9" s="579"/>
      <c r="H9" s="579"/>
      <c r="I9" s="580"/>
      <c r="J9" s="588"/>
      <c r="K9" s="584"/>
      <c r="L9" s="584"/>
      <c r="M9" s="584"/>
      <c r="N9" s="584"/>
      <c r="O9" s="585"/>
      <c r="P9" s="588"/>
      <c r="Q9" s="584"/>
      <c r="R9" s="584"/>
      <c r="S9" s="584"/>
      <c r="T9" s="584"/>
      <c r="U9" s="585"/>
      <c r="V9" s="588"/>
      <c r="W9" s="584"/>
      <c r="X9" s="584"/>
      <c r="Y9" s="584"/>
      <c r="Z9" s="584"/>
      <c r="AA9" s="585"/>
      <c r="AB9" s="588"/>
      <c r="AC9" s="584"/>
      <c r="AD9" s="584"/>
      <c r="AE9" s="584"/>
      <c r="AF9" s="584"/>
      <c r="AG9" s="585"/>
      <c r="AH9" s="595"/>
      <c r="AI9" s="596"/>
      <c r="AJ9" s="596"/>
      <c r="AK9" s="596"/>
      <c r="AL9" s="596"/>
      <c r="AM9" s="597"/>
      <c r="AN9" s="71"/>
      <c r="AO9" s="542"/>
      <c r="AP9" s="543"/>
      <c r="AQ9" s="543"/>
      <c r="AR9" s="543"/>
      <c r="AS9" s="543"/>
      <c r="AT9" s="544"/>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row>
    <row r="10" spans="1:99" ht="15" customHeight="1">
      <c r="A10" s="71"/>
      <c r="B10" s="537"/>
      <c r="C10" s="537"/>
      <c r="D10" s="538"/>
      <c r="E10" s="578"/>
      <c r="F10" s="579"/>
      <c r="G10" s="579"/>
      <c r="H10" s="579"/>
      <c r="I10" s="580"/>
      <c r="J10" s="588" t="e">
        <f>IF(AND(' RIESGOS DE GESTION'!#REF!="Muy Alta",' RIESGOS DE GESTION'!#REF!="Leve"),CONCATENATE("R",' RIESGOS DE GESTION'!#REF!),"")</f>
        <v>#REF!</v>
      </c>
      <c r="K10" s="584"/>
      <c r="L10" s="584" t="e">
        <f>IF(AND(' RIESGOS DE GESTION'!#REF!="Muy Alta",' RIESGOS DE GESTION'!#REF!="Leve"),CONCATENATE("R",' RIESGOS DE GESTION'!#REF!),"")</f>
        <v>#REF!</v>
      </c>
      <c r="M10" s="584"/>
      <c r="N10" s="584" t="e">
        <f>IF(AND(' RIESGOS DE GESTION'!#REF!="Muy Alta",' RIESGOS DE GESTION'!#REF!="Leve"),CONCATENATE("R",' RIESGOS DE GESTION'!#REF!),"")</f>
        <v>#REF!</v>
      </c>
      <c r="O10" s="585"/>
      <c r="P10" s="588" t="e">
        <f>IF(AND(' RIESGOS DE GESTION'!#REF!="Muy Alta",' RIESGOS DE GESTION'!#REF!="Menor"),CONCATENATE("R",' RIESGOS DE GESTION'!#REF!),"")</f>
        <v>#REF!</v>
      </c>
      <c r="Q10" s="584"/>
      <c r="R10" s="584" t="e">
        <f>IF(AND(' RIESGOS DE GESTION'!#REF!="Muy Alta",' RIESGOS DE GESTION'!#REF!="Menor"),CONCATENATE("R",' RIESGOS DE GESTION'!#REF!),"")</f>
        <v>#REF!</v>
      </c>
      <c r="S10" s="584"/>
      <c r="T10" s="584" t="e">
        <f>IF(AND(' RIESGOS DE GESTION'!#REF!="Muy Alta",' RIESGOS DE GESTION'!#REF!="Menor"),CONCATENATE("R",' RIESGOS DE GESTION'!#REF!),"")</f>
        <v>#REF!</v>
      </c>
      <c r="U10" s="585"/>
      <c r="V10" s="588" t="e">
        <f>IF(AND(' RIESGOS DE GESTION'!#REF!="Muy Alta",' RIESGOS DE GESTION'!#REF!="Moderado"),CONCATENATE("R",' RIESGOS DE GESTION'!#REF!),"")</f>
        <v>#REF!</v>
      </c>
      <c r="W10" s="584"/>
      <c r="X10" s="584" t="e">
        <f>IF(AND(' RIESGOS DE GESTION'!#REF!="Muy Alta",' RIESGOS DE GESTION'!#REF!="Moderado"),CONCATENATE("R",' RIESGOS DE GESTION'!#REF!),"")</f>
        <v>#REF!</v>
      </c>
      <c r="Y10" s="584"/>
      <c r="Z10" s="584" t="e">
        <f>IF(AND(' RIESGOS DE GESTION'!#REF!="Muy Alta",' RIESGOS DE GESTION'!#REF!="Moderado"),CONCATENATE("R",' RIESGOS DE GESTION'!#REF!),"")</f>
        <v>#REF!</v>
      </c>
      <c r="AA10" s="585"/>
      <c r="AB10" s="588" t="e">
        <f>IF(AND(' RIESGOS DE GESTION'!#REF!="Muy Alta",' RIESGOS DE GESTION'!#REF!="Mayor"),CONCATENATE("R",' RIESGOS DE GESTION'!#REF!),"")</f>
        <v>#REF!</v>
      </c>
      <c r="AC10" s="584"/>
      <c r="AD10" s="584" t="e">
        <f>IF(AND(' RIESGOS DE GESTION'!#REF!="Muy Alta",' RIESGOS DE GESTION'!#REF!="Mayor"),CONCATENATE("R",' RIESGOS DE GESTION'!#REF!),"")</f>
        <v>#REF!</v>
      </c>
      <c r="AE10" s="584"/>
      <c r="AF10" s="584" t="e">
        <f>IF(AND(' RIESGOS DE GESTION'!#REF!="Muy Alta",' RIESGOS DE GESTION'!#REF!="Mayor"),CONCATENATE("R",' RIESGOS DE GESTION'!#REF!),"")</f>
        <v>#REF!</v>
      </c>
      <c r="AG10" s="585"/>
      <c r="AH10" s="595" t="e">
        <f>IF(AND(' RIESGOS DE GESTION'!#REF!="Muy Alta",' RIESGOS DE GESTION'!#REF!="Catastrófico"),CONCATENATE("R",' RIESGOS DE GESTION'!#REF!),"")</f>
        <v>#REF!</v>
      </c>
      <c r="AI10" s="596"/>
      <c r="AJ10" s="596" t="e">
        <f>IF(AND(' RIESGOS DE GESTION'!#REF!="Muy Alta",' RIESGOS DE GESTION'!#REF!="Catastrófico"),CONCATENATE("R",' RIESGOS DE GESTION'!#REF!),"")</f>
        <v>#REF!</v>
      </c>
      <c r="AK10" s="596"/>
      <c r="AL10" s="596" t="e">
        <f>IF(AND(' RIESGOS DE GESTION'!#REF!="Muy Alta",' RIESGOS DE GESTION'!#REF!="Catastrófico"),CONCATENATE("R",' RIESGOS DE GESTION'!#REF!),"")</f>
        <v>#REF!</v>
      </c>
      <c r="AM10" s="597"/>
      <c r="AN10" s="71"/>
      <c r="AO10" s="542"/>
      <c r="AP10" s="543"/>
      <c r="AQ10" s="543"/>
      <c r="AR10" s="543"/>
      <c r="AS10" s="543"/>
      <c r="AT10" s="544"/>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row>
    <row r="11" spans="1:99" ht="15" customHeight="1">
      <c r="A11" s="71"/>
      <c r="B11" s="537"/>
      <c r="C11" s="537"/>
      <c r="D11" s="538"/>
      <c r="E11" s="578"/>
      <c r="F11" s="579"/>
      <c r="G11" s="579"/>
      <c r="H11" s="579"/>
      <c r="I11" s="580"/>
      <c r="J11" s="588"/>
      <c r="K11" s="584"/>
      <c r="L11" s="584"/>
      <c r="M11" s="584"/>
      <c r="N11" s="584"/>
      <c r="O11" s="585"/>
      <c r="P11" s="588"/>
      <c r="Q11" s="584"/>
      <c r="R11" s="584"/>
      <c r="S11" s="584"/>
      <c r="T11" s="584"/>
      <c r="U11" s="585"/>
      <c r="V11" s="588"/>
      <c r="W11" s="584"/>
      <c r="X11" s="584"/>
      <c r="Y11" s="584"/>
      <c r="Z11" s="584"/>
      <c r="AA11" s="585"/>
      <c r="AB11" s="588"/>
      <c r="AC11" s="584"/>
      <c r="AD11" s="584"/>
      <c r="AE11" s="584"/>
      <c r="AF11" s="584"/>
      <c r="AG11" s="585"/>
      <c r="AH11" s="595"/>
      <c r="AI11" s="596"/>
      <c r="AJ11" s="596"/>
      <c r="AK11" s="596"/>
      <c r="AL11" s="596"/>
      <c r="AM11" s="597"/>
      <c r="AN11" s="71"/>
      <c r="AO11" s="542"/>
      <c r="AP11" s="543"/>
      <c r="AQ11" s="543"/>
      <c r="AR11" s="543"/>
      <c r="AS11" s="543"/>
      <c r="AT11" s="544"/>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row>
    <row r="12" spans="1:99" ht="15" customHeight="1">
      <c r="A12" s="71"/>
      <c r="B12" s="537"/>
      <c r="C12" s="537"/>
      <c r="D12" s="538"/>
      <c r="E12" s="578"/>
      <c r="F12" s="579"/>
      <c r="G12" s="579"/>
      <c r="H12" s="579"/>
      <c r="I12" s="580"/>
      <c r="J12" s="588" t="e">
        <f>IF(AND(' RIESGOS DE GESTION'!#REF!="Muy Alta",' RIESGOS DE GESTION'!#REF!="Leve"),CONCATENATE("R",' RIESGOS DE GESTION'!#REF!),"")</f>
        <v>#REF!</v>
      </c>
      <c r="K12" s="584"/>
      <c r="L12" s="584" t="e">
        <f>IF(AND(' RIESGOS DE GESTION'!#REF!="Muy Alta",' RIESGOS DE GESTION'!#REF!="Leve"),CONCATENATE("R",' RIESGOS DE GESTION'!#REF!),"")</f>
        <v>#REF!</v>
      </c>
      <c r="M12" s="584"/>
      <c r="N12" s="584" t="e">
        <f>IF(AND(' RIESGOS DE GESTION'!#REF!="Muy Alta",' RIESGOS DE GESTION'!#REF!="Leve"),CONCATENATE("R",' RIESGOS DE GESTION'!#REF!),"")</f>
        <v>#REF!</v>
      </c>
      <c r="O12" s="585"/>
      <c r="P12" s="588" t="e">
        <f>IF(AND(' RIESGOS DE GESTION'!#REF!="Muy Alta",' RIESGOS DE GESTION'!#REF!="Menor"),CONCATENATE("R",' RIESGOS DE GESTION'!#REF!),"")</f>
        <v>#REF!</v>
      </c>
      <c r="Q12" s="584"/>
      <c r="R12" s="584" t="e">
        <f>IF(AND(' RIESGOS DE GESTION'!#REF!="Muy Alta",' RIESGOS DE GESTION'!#REF!="Menor"),CONCATENATE("R",' RIESGOS DE GESTION'!#REF!),"")</f>
        <v>#REF!</v>
      </c>
      <c r="S12" s="584"/>
      <c r="T12" s="584" t="e">
        <f>IF(AND(' RIESGOS DE GESTION'!#REF!="Muy Alta",' RIESGOS DE GESTION'!#REF!="Menor"),CONCATENATE("R",' RIESGOS DE GESTION'!#REF!),"")</f>
        <v>#REF!</v>
      </c>
      <c r="U12" s="585"/>
      <c r="V12" s="588" t="e">
        <f>IF(AND(' RIESGOS DE GESTION'!#REF!="Muy Alta",' RIESGOS DE GESTION'!#REF!="Moderado"),CONCATENATE("R",' RIESGOS DE GESTION'!#REF!),"")</f>
        <v>#REF!</v>
      </c>
      <c r="W12" s="584"/>
      <c r="X12" s="584" t="e">
        <f>IF(AND(' RIESGOS DE GESTION'!#REF!="Muy Alta",' RIESGOS DE GESTION'!#REF!="Moderado"),CONCATENATE("R",' RIESGOS DE GESTION'!#REF!),"")</f>
        <v>#REF!</v>
      </c>
      <c r="Y12" s="584"/>
      <c r="Z12" s="584" t="e">
        <f>IF(AND(' RIESGOS DE GESTION'!#REF!="Muy Alta",' RIESGOS DE GESTION'!#REF!="Moderado"),CONCATENATE("R",' RIESGOS DE GESTION'!#REF!),"")</f>
        <v>#REF!</v>
      </c>
      <c r="AA12" s="585"/>
      <c r="AB12" s="588" t="e">
        <f>IF(AND(' RIESGOS DE GESTION'!#REF!="Muy Alta",' RIESGOS DE GESTION'!#REF!="Mayor"),CONCATENATE("R",' RIESGOS DE GESTION'!#REF!),"")</f>
        <v>#REF!</v>
      </c>
      <c r="AC12" s="584"/>
      <c r="AD12" s="584" t="e">
        <f>IF(AND(' RIESGOS DE GESTION'!#REF!="Muy Alta",' RIESGOS DE GESTION'!#REF!="Mayor"),CONCATENATE("R",' RIESGOS DE GESTION'!#REF!),"")</f>
        <v>#REF!</v>
      </c>
      <c r="AE12" s="584"/>
      <c r="AF12" s="584" t="e">
        <f>IF(AND(' RIESGOS DE GESTION'!#REF!="Muy Alta",' RIESGOS DE GESTION'!#REF!="Mayor"),CONCATENATE("R",' RIESGOS DE GESTION'!#REF!),"")</f>
        <v>#REF!</v>
      </c>
      <c r="AG12" s="585"/>
      <c r="AH12" s="595" t="e">
        <f>IF(AND(' RIESGOS DE GESTION'!#REF!="Muy Alta",' RIESGOS DE GESTION'!#REF!="Catastrófico"),CONCATENATE("R",' RIESGOS DE GESTION'!#REF!),"")</f>
        <v>#REF!</v>
      </c>
      <c r="AI12" s="596"/>
      <c r="AJ12" s="596" t="e">
        <f>IF(AND(' RIESGOS DE GESTION'!#REF!="Muy Alta",' RIESGOS DE GESTION'!#REF!="Catastrófico"),CONCATENATE("R",' RIESGOS DE GESTION'!#REF!),"")</f>
        <v>#REF!</v>
      </c>
      <c r="AK12" s="596"/>
      <c r="AL12" s="596" t="e">
        <f>IF(AND(' RIESGOS DE GESTION'!#REF!="Muy Alta",' RIESGOS DE GESTION'!#REF!="Catastrófico"),CONCATENATE("R",' RIESGOS DE GESTION'!#REF!),"")</f>
        <v>#REF!</v>
      </c>
      <c r="AM12" s="597"/>
      <c r="AN12" s="71"/>
      <c r="AO12" s="542"/>
      <c r="AP12" s="543"/>
      <c r="AQ12" s="543"/>
      <c r="AR12" s="543"/>
      <c r="AS12" s="543"/>
      <c r="AT12" s="544"/>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row>
    <row r="13" spans="1:99" ht="15.75" customHeight="1" thickBot="1">
      <c r="A13" s="71"/>
      <c r="B13" s="537"/>
      <c r="C13" s="537"/>
      <c r="D13" s="538"/>
      <c r="E13" s="581"/>
      <c r="F13" s="582"/>
      <c r="G13" s="582"/>
      <c r="H13" s="582"/>
      <c r="I13" s="583"/>
      <c r="J13" s="588"/>
      <c r="K13" s="584"/>
      <c r="L13" s="584"/>
      <c r="M13" s="584"/>
      <c r="N13" s="584"/>
      <c r="O13" s="585"/>
      <c r="P13" s="588"/>
      <c r="Q13" s="584"/>
      <c r="R13" s="584"/>
      <c r="S13" s="584"/>
      <c r="T13" s="584"/>
      <c r="U13" s="585"/>
      <c r="V13" s="588"/>
      <c r="W13" s="584"/>
      <c r="X13" s="584"/>
      <c r="Y13" s="584"/>
      <c r="Z13" s="584"/>
      <c r="AA13" s="585"/>
      <c r="AB13" s="588"/>
      <c r="AC13" s="584"/>
      <c r="AD13" s="584"/>
      <c r="AE13" s="584"/>
      <c r="AF13" s="584"/>
      <c r="AG13" s="585"/>
      <c r="AH13" s="598"/>
      <c r="AI13" s="599"/>
      <c r="AJ13" s="599"/>
      <c r="AK13" s="599"/>
      <c r="AL13" s="599"/>
      <c r="AM13" s="600"/>
      <c r="AN13" s="71"/>
      <c r="AO13" s="545"/>
      <c r="AP13" s="546"/>
      <c r="AQ13" s="546"/>
      <c r="AR13" s="546"/>
      <c r="AS13" s="546"/>
      <c r="AT13" s="547"/>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row>
    <row r="14" spans="1:99" ht="15" customHeight="1">
      <c r="A14" s="71"/>
      <c r="B14" s="537"/>
      <c r="C14" s="537"/>
      <c r="D14" s="538"/>
      <c r="E14" s="575" t="s">
        <v>565</v>
      </c>
      <c r="F14" s="576"/>
      <c r="G14" s="576"/>
      <c r="H14" s="576"/>
      <c r="I14" s="576"/>
      <c r="J14" s="610" t="e">
        <f>IF(AND(' RIESGOS DE GESTION'!#REF!="Alta",' RIESGOS DE GESTION'!#REF!="Leve"),CONCATENATE("R",' RIESGOS DE GESTION'!#REF!),"")</f>
        <v>#REF!</v>
      </c>
      <c r="K14" s="611"/>
      <c r="L14" s="611" t="e">
        <f>IF(AND(' RIESGOS DE GESTION'!#REF!="Alta",' RIESGOS DE GESTION'!#REF!="Leve"),CONCATENATE("R",' RIESGOS DE GESTION'!#REF!),"")</f>
        <v>#REF!</v>
      </c>
      <c r="M14" s="611"/>
      <c r="N14" s="611" t="e">
        <f>IF(AND(' RIESGOS DE GESTION'!#REF!="Alta",' RIESGOS DE GESTION'!#REF!="Leve"),CONCATENATE("R",' RIESGOS DE GESTION'!#REF!),"")</f>
        <v>#REF!</v>
      </c>
      <c r="O14" s="612"/>
      <c r="P14" s="610" t="e">
        <f>IF(AND(' RIESGOS DE GESTION'!#REF!="Alta",' RIESGOS DE GESTION'!#REF!="Menor"),CONCATENATE("R",' RIESGOS DE GESTION'!#REF!),"")</f>
        <v>#REF!</v>
      </c>
      <c r="Q14" s="611"/>
      <c r="R14" s="611" t="e">
        <f>IF(AND(' RIESGOS DE GESTION'!#REF!="Alta",' RIESGOS DE GESTION'!#REF!="Menor"),CONCATENATE("R",' RIESGOS DE GESTION'!#REF!),"")</f>
        <v>#REF!</v>
      </c>
      <c r="S14" s="611"/>
      <c r="T14" s="611" t="e">
        <f>IF(AND(' RIESGOS DE GESTION'!#REF!="Alta",' RIESGOS DE GESTION'!#REF!="Menor"),CONCATENATE("R",' RIESGOS DE GESTION'!#REF!),"")</f>
        <v>#REF!</v>
      </c>
      <c r="U14" s="612"/>
      <c r="V14" s="586" t="e">
        <f>IF(AND(' RIESGOS DE GESTION'!#REF!="Alta",' RIESGOS DE GESTION'!#REF!="Moderado"),CONCATENATE("R",' RIESGOS DE GESTION'!#REF!),"")</f>
        <v>#REF!</v>
      </c>
      <c r="W14" s="587"/>
      <c r="X14" s="587" t="e">
        <f>IF(AND(' RIESGOS DE GESTION'!#REF!="Alta",' RIESGOS DE GESTION'!#REF!="Moderado"),CONCATENATE("R",' RIESGOS DE GESTION'!#REF!),"")</f>
        <v>#REF!</v>
      </c>
      <c r="Y14" s="587"/>
      <c r="Z14" s="587" t="e">
        <f>IF(AND(' RIESGOS DE GESTION'!#REF!="Alta",' RIESGOS DE GESTION'!#REF!="Moderado"),CONCATENATE("R",' RIESGOS DE GESTION'!#REF!),"")</f>
        <v>#REF!</v>
      </c>
      <c r="AA14" s="589"/>
      <c r="AB14" s="586" t="e">
        <f>IF(AND(' RIESGOS DE GESTION'!#REF!="Alta",' RIESGOS DE GESTION'!#REF!="Mayor"),CONCATENATE("R",' RIESGOS DE GESTION'!#REF!),"")</f>
        <v>#REF!</v>
      </c>
      <c r="AC14" s="587"/>
      <c r="AD14" s="587" t="e">
        <f>IF(AND(' RIESGOS DE GESTION'!#REF!="Alta",' RIESGOS DE GESTION'!#REF!="Mayor"),CONCATENATE("R",' RIESGOS DE GESTION'!#REF!),"")</f>
        <v>#REF!</v>
      </c>
      <c r="AE14" s="587"/>
      <c r="AF14" s="587" t="e">
        <f>IF(AND(' RIESGOS DE GESTION'!#REF!="Alta",' RIESGOS DE GESTION'!#REF!="Mayor"),CONCATENATE("R",' RIESGOS DE GESTION'!#REF!),"")</f>
        <v>#REF!</v>
      </c>
      <c r="AG14" s="589"/>
      <c r="AH14" s="601" t="e">
        <f>IF(AND(' RIESGOS DE GESTION'!#REF!="Alta",' RIESGOS DE GESTION'!#REF!="Catastrófico"),CONCATENATE("R",' RIESGOS DE GESTION'!#REF!),"")</f>
        <v>#REF!</v>
      </c>
      <c r="AI14" s="602"/>
      <c r="AJ14" s="602" t="e">
        <f>IF(AND(' RIESGOS DE GESTION'!#REF!="Alta",' RIESGOS DE GESTION'!#REF!="Catastrófico"),CONCATENATE("R",' RIESGOS DE GESTION'!#REF!),"")</f>
        <v>#REF!</v>
      </c>
      <c r="AK14" s="602"/>
      <c r="AL14" s="602" t="e">
        <f>IF(AND(' RIESGOS DE GESTION'!#REF!="Alta",' RIESGOS DE GESTION'!#REF!="Catastrófico"),CONCATENATE("R",' RIESGOS DE GESTION'!#REF!),"")</f>
        <v>#REF!</v>
      </c>
      <c r="AM14" s="603"/>
      <c r="AN14" s="71"/>
      <c r="AO14" s="548" t="s">
        <v>566</v>
      </c>
      <c r="AP14" s="549"/>
      <c r="AQ14" s="549"/>
      <c r="AR14" s="549"/>
      <c r="AS14" s="549"/>
      <c r="AT14" s="550"/>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row>
    <row r="15" spans="1:99" ht="15" customHeight="1">
      <c r="A15" s="71"/>
      <c r="B15" s="537"/>
      <c r="C15" s="537"/>
      <c r="D15" s="538"/>
      <c r="E15" s="578"/>
      <c r="F15" s="579"/>
      <c r="G15" s="579"/>
      <c r="H15" s="579"/>
      <c r="I15" s="579"/>
      <c r="J15" s="604"/>
      <c r="K15" s="605"/>
      <c r="L15" s="605"/>
      <c r="M15" s="605"/>
      <c r="N15" s="605"/>
      <c r="O15" s="606"/>
      <c r="P15" s="604"/>
      <c r="Q15" s="605"/>
      <c r="R15" s="605"/>
      <c r="S15" s="605"/>
      <c r="T15" s="605"/>
      <c r="U15" s="606"/>
      <c r="V15" s="588"/>
      <c r="W15" s="584"/>
      <c r="X15" s="584"/>
      <c r="Y15" s="584"/>
      <c r="Z15" s="584"/>
      <c r="AA15" s="585"/>
      <c r="AB15" s="588"/>
      <c r="AC15" s="584"/>
      <c r="AD15" s="584"/>
      <c r="AE15" s="584"/>
      <c r="AF15" s="584"/>
      <c r="AG15" s="585"/>
      <c r="AH15" s="595"/>
      <c r="AI15" s="596"/>
      <c r="AJ15" s="596"/>
      <c r="AK15" s="596"/>
      <c r="AL15" s="596"/>
      <c r="AM15" s="597"/>
      <c r="AN15" s="71"/>
      <c r="AO15" s="551"/>
      <c r="AP15" s="552"/>
      <c r="AQ15" s="552"/>
      <c r="AR15" s="552"/>
      <c r="AS15" s="552"/>
      <c r="AT15" s="553"/>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row>
    <row r="16" spans="1:99" ht="15" customHeight="1">
      <c r="A16" s="71"/>
      <c r="B16" s="537"/>
      <c r="C16" s="537"/>
      <c r="D16" s="538"/>
      <c r="E16" s="578"/>
      <c r="F16" s="579"/>
      <c r="G16" s="579"/>
      <c r="H16" s="579"/>
      <c r="I16" s="579"/>
      <c r="J16" s="604" t="e">
        <f>IF(AND(' RIESGOS DE GESTION'!#REF!="Alta",' RIESGOS DE GESTION'!#REF!="Leve"),CONCATENATE("R",' RIESGOS DE GESTION'!#REF!),"")</f>
        <v>#REF!</v>
      </c>
      <c r="K16" s="605"/>
      <c r="L16" s="605" t="e">
        <f>IF(AND(' RIESGOS DE GESTION'!#REF!="Alta",' RIESGOS DE GESTION'!#REF!="Leve"),CONCATENATE("R",' RIESGOS DE GESTION'!#REF!),"")</f>
        <v>#REF!</v>
      </c>
      <c r="M16" s="605"/>
      <c r="N16" s="605" t="e">
        <f>IF(AND(' RIESGOS DE GESTION'!#REF!="Alta",' RIESGOS DE GESTION'!#REF!="Leve"),CONCATENATE("R",' RIESGOS DE GESTION'!#REF!),"")</f>
        <v>#REF!</v>
      </c>
      <c r="O16" s="606"/>
      <c r="P16" s="604" t="e">
        <f>IF(AND(' RIESGOS DE GESTION'!#REF!="Alta",' RIESGOS DE GESTION'!#REF!="Menor"),CONCATENATE("R",' RIESGOS DE GESTION'!#REF!),"")</f>
        <v>#REF!</v>
      </c>
      <c r="Q16" s="605"/>
      <c r="R16" s="605" t="e">
        <f>IF(AND(' RIESGOS DE GESTION'!#REF!="Alta",' RIESGOS DE GESTION'!#REF!="Menor"),CONCATENATE("R",' RIESGOS DE GESTION'!#REF!),"")</f>
        <v>#REF!</v>
      </c>
      <c r="S16" s="605"/>
      <c r="T16" s="605" t="e">
        <f>IF(AND(' RIESGOS DE GESTION'!#REF!="Alta",' RIESGOS DE GESTION'!#REF!="Menor"),CONCATENATE("R",' RIESGOS DE GESTION'!#REF!),"")</f>
        <v>#REF!</v>
      </c>
      <c r="U16" s="606"/>
      <c r="V16" s="588" t="e">
        <f>IF(AND(' RIESGOS DE GESTION'!#REF!="Alta",' RIESGOS DE GESTION'!#REF!="Moderado"),CONCATENATE("R",' RIESGOS DE GESTION'!#REF!),"")</f>
        <v>#REF!</v>
      </c>
      <c r="W16" s="584"/>
      <c r="X16" s="584" t="e">
        <f>IF(AND(' RIESGOS DE GESTION'!#REF!="Alta",' RIESGOS DE GESTION'!#REF!="Moderado"),CONCATENATE("R",' RIESGOS DE GESTION'!#REF!),"")</f>
        <v>#REF!</v>
      </c>
      <c r="Y16" s="584"/>
      <c r="Z16" s="584" t="e">
        <f>IF(AND(' RIESGOS DE GESTION'!#REF!="Alta",' RIESGOS DE GESTION'!#REF!="Moderado"),CONCATENATE("R",' RIESGOS DE GESTION'!#REF!),"")</f>
        <v>#REF!</v>
      </c>
      <c r="AA16" s="585"/>
      <c r="AB16" s="588" t="e">
        <f>IF(AND(' RIESGOS DE GESTION'!#REF!="Alta",' RIESGOS DE GESTION'!#REF!="Mayor"),CONCATENATE("R",' RIESGOS DE GESTION'!#REF!),"")</f>
        <v>#REF!</v>
      </c>
      <c r="AC16" s="584"/>
      <c r="AD16" s="584" t="e">
        <f>IF(AND(' RIESGOS DE GESTION'!#REF!="Alta",' RIESGOS DE GESTION'!#REF!="Mayor"),CONCATENATE("R",' RIESGOS DE GESTION'!#REF!),"")</f>
        <v>#REF!</v>
      </c>
      <c r="AE16" s="584"/>
      <c r="AF16" s="584" t="e">
        <f>IF(AND(' RIESGOS DE GESTION'!#REF!="Alta",' RIESGOS DE GESTION'!#REF!="Mayor"),CONCATENATE("R",' RIESGOS DE GESTION'!#REF!),"")</f>
        <v>#REF!</v>
      </c>
      <c r="AG16" s="585"/>
      <c r="AH16" s="595" t="e">
        <f>IF(AND(' RIESGOS DE GESTION'!#REF!="Alta",' RIESGOS DE GESTION'!#REF!="Catastrófico"),CONCATENATE("R",' RIESGOS DE GESTION'!#REF!),"")</f>
        <v>#REF!</v>
      </c>
      <c r="AI16" s="596"/>
      <c r="AJ16" s="596" t="e">
        <f>IF(AND(' RIESGOS DE GESTION'!#REF!="Alta",' RIESGOS DE GESTION'!#REF!="Catastrófico"),CONCATENATE("R",' RIESGOS DE GESTION'!#REF!),"")</f>
        <v>#REF!</v>
      </c>
      <c r="AK16" s="596"/>
      <c r="AL16" s="596" t="e">
        <f>IF(AND(' RIESGOS DE GESTION'!#REF!="Alta",' RIESGOS DE GESTION'!#REF!="Catastrófico"),CONCATENATE("R",' RIESGOS DE GESTION'!#REF!),"")</f>
        <v>#REF!</v>
      </c>
      <c r="AM16" s="597"/>
      <c r="AN16" s="71"/>
      <c r="AO16" s="551"/>
      <c r="AP16" s="552"/>
      <c r="AQ16" s="552"/>
      <c r="AR16" s="552"/>
      <c r="AS16" s="552"/>
      <c r="AT16" s="553"/>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row>
    <row r="17" spans="1:80" ht="15" customHeight="1">
      <c r="A17" s="71"/>
      <c r="B17" s="537"/>
      <c r="C17" s="537"/>
      <c r="D17" s="538"/>
      <c r="E17" s="578"/>
      <c r="F17" s="579"/>
      <c r="G17" s="579"/>
      <c r="H17" s="579"/>
      <c r="I17" s="579"/>
      <c r="J17" s="604"/>
      <c r="K17" s="605"/>
      <c r="L17" s="605"/>
      <c r="M17" s="605"/>
      <c r="N17" s="605"/>
      <c r="O17" s="606"/>
      <c r="P17" s="604"/>
      <c r="Q17" s="605"/>
      <c r="R17" s="605"/>
      <c r="S17" s="605"/>
      <c r="T17" s="605"/>
      <c r="U17" s="606"/>
      <c r="V17" s="588"/>
      <c r="W17" s="584"/>
      <c r="X17" s="584"/>
      <c r="Y17" s="584"/>
      <c r="Z17" s="584"/>
      <c r="AA17" s="585"/>
      <c r="AB17" s="588"/>
      <c r="AC17" s="584"/>
      <c r="AD17" s="584"/>
      <c r="AE17" s="584"/>
      <c r="AF17" s="584"/>
      <c r="AG17" s="585"/>
      <c r="AH17" s="595"/>
      <c r="AI17" s="596"/>
      <c r="AJ17" s="596"/>
      <c r="AK17" s="596"/>
      <c r="AL17" s="596"/>
      <c r="AM17" s="597"/>
      <c r="AN17" s="71"/>
      <c r="AO17" s="551"/>
      <c r="AP17" s="552"/>
      <c r="AQ17" s="552"/>
      <c r="AR17" s="552"/>
      <c r="AS17" s="552"/>
      <c r="AT17" s="553"/>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row>
    <row r="18" spans="1:80" ht="15" customHeight="1">
      <c r="A18" s="71"/>
      <c r="B18" s="537"/>
      <c r="C18" s="537"/>
      <c r="D18" s="538"/>
      <c r="E18" s="578"/>
      <c r="F18" s="579"/>
      <c r="G18" s="579"/>
      <c r="H18" s="579"/>
      <c r="I18" s="579"/>
      <c r="J18" s="604" t="e">
        <f>IF(AND(' RIESGOS DE GESTION'!#REF!="Alta",' RIESGOS DE GESTION'!#REF!="Leve"),CONCATENATE("R",' RIESGOS DE GESTION'!#REF!),"")</f>
        <v>#REF!</v>
      </c>
      <c r="K18" s="605"/>
      <c r="L18" s="605" t="e">
        <f>IF(AND(' RIESGOS DE GESTION'!#REF!="Alta",' RIESGOS DE GESTION'!#REF!="Leve"),CONCATENATE("R",' RIESGOS DE GESTION'!#REF!),"")</f>
        <v>#REF!</v>
      </c>
      <c r="M18" s="605"/>
      <c r="N18" s="605" t="e">
        <f>IF(AND(' RIESGOS DE GESTION'!#REF!="Alta",' RIESGOS DE GESTION'!#REF!="Leve"),CONCATENATE("R",' RIESGOS DE GESTION'!#REF!),"")</f>
        <v>#REF!</v>
      </c>
      <c r="O18" s="606"/>
      <c r="P18" s="604" t="e">
        <f>IF(AND(' RIESGOS DE GESTION'!#REF!="Alta",' RIESGOS DE GESTION'!#REF!="Menor"),CONCATENATE("R",' RIESGOS DE GESTION'!#REF!),"")</f>
        <v>#REF!</v>
      </c>
      <c r="Q18" s="605"/>
      <c r="R18" s="605" t="e">
        <f>IF(AND(' RIESGOS DE GESTION'!#REF!="Alta",' RIESGOS DE GESTION'!#REF!="Menor"),CONCATENATE("R",' RIESGOS DE GESTION'!#REF!),"")</f>
        <v>#REF!</v>
      </c>
      <c r="S18" s="605"/>
      <c r="T18" s="605" t="e">
        <f>IF(AND(' RIESGOS DE GESTION'!#REF!="Alta",' RIESGOS DE GESTION'!#REF!="Menor"),CONCATENATE("R",' RIESGOS DE GESTION'!#REF!),"")</f>
        <v>#REF!</v>
      </c>
      <c r="U18" s="606"/>
      <c r="V18" s="588" t="e">
        <f>IF(AND(' RIESGOS DE GESTION'!#REF!="Alta",' RIESGOS DE GESTION'!#REF!="Moderado"),CONCATENATE("R",' RIESGOS DE GESTION'!#REF!),"")</f>
        <v>#REF!</v>
      </c>
      <c r="W18" s="584"/>
      <c r="X18" s="584" t="e">
        <f>IF(AND(' RIESGOS DE GESTION'!#REF!="Alta",' RIESGOS DE GESTION'!#REF!="Moderado"),CONCATENATE("R",' RIESGOS DE GESTION'!#REF!),"")</f>
        <v>#REF!</v>
      </c>
      <c r="Y18" s="584"/>
      <c r="Z18" s="584" t="e">
        <f>IF(AND(' RIESGOS DE GESTION'!#REF!="Alta",' RIESGOS DE GESTION'!#REF!="Moderado"),CONCATENATE("R",' RIESGOS DE GESTION'!#REF!),"")</f>
        <v>#REF!</v>
      </c>
      <c r="AA18" s="585"/>
      <c r="AB18" s="588" t="e">
        <f>IF(AND(' RIESGOS DE GESTION'!#REF!="Alta",' RIESGOS DE GESTION'!#REF!="Mayor"),CONCATENATE("R",' RIESGOS DE GESTION'!#REF!),"")</f>
        <v>#REF!</v>
      </c>
      <c r="AC18" s="584"/>
      <c r="AD18" s="584" t="e">
        <f>IF(AND(' RIESGOS DE GESTION'!#REF!="Alta",' RIESGOS DE GESTION'!#REF!="Mayor"),CONCATENATE("R",' RIESGOS DE GESTION'!#REF!),"")</f>
        <v>#REF!</v>
      </c>
      <c r="AE18" s="584"/>
      <c r="AF18" s="584" t="e">
        <f>IF(AND(' RIESGOS DE GESTION'!#REF!="Alta",' RIESGOS DE GESTION'!#REF!="Mayor"),CONCATENATE("R",' RIESGOS DE GESTION'!#REF!),"")</f>
        <v>#REF!</v>
      </c>
      <c r="AG18" s="585"/>
      <c r="AH18" s="595" t="e">
        <f>IF(AND(' RIESGOS DE GESTION'!#REF!="Alta",' RIESGOS DE GESTION'!#REF!="Catastrófico"),CONCATENATE("R",' RIESGOS DE GESTION'!#REF!),"")</f>
        <v>#REF!</v>
      </c>
      <c r="AI18" s="596"/>
      <c r="AJ18" s="596" t="e">
        <f>IF(AND(' RIESGOS DE GESTION'!#REF!="Alta",' RIESGOS DE GESTION'!#REF!="Catastrófico"),CONCATENATE("R",' RIESGOS DE GESTION'!#REF!),"")</f>
        <v>#REF!</v>
      </c>
      <c r="AK18" s="596"/>
      <c r="AL18" s="596" t="e">
        <f>IF(AND(' RIESGOS DE GESTION'!#REF!="Alta",' RIESGOS DE GESTION'!#REF!="Catastrófico"),CONCATENATE("R",' RIESGOS DE GESTION'!#REF!),"")</f>
        <v>#REF!</v>
      </c>
      <c r="AM18" s="597"/>
      <c r="AN18" s="71"/>
      <c r="AO18" s="551"/>
      <c r="AP18" s="552"/>
      <c r="AQ18" s="552"/>
      <c r="AR18" s="552"/>
      <c r="AS18" s="552"/>
      <c r="AT18" s="553"/>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row>
    <row r="19" spans="1:80" ht="15" customHeight="1">
      <c r="A19" s="71"/>
      <c r="B19" s="537"/>
      <c r="C19" s="537"/>
      <c r="D19" s="538"/>
      <c r="E19" s="578"/>
      <c r="F19" s="579"/>
      <c r="G19" s="579"/>
      <c r="H19" s="579"/>
      <c r="I19" s="579"/>
      <c r="J19" s="604"/>
      <c r="K19" s="605"/>
      <c r="L19" s="605"/>
      <c r="M19" s="605"/>
      <c r="N19" s="605"/>
      <c r="O19" s="606"/>
      <c r="P19" s="604"/>
      <c r="Q19" s="605"/>
      <c r="R19" s="605"/>
      <c r="S19" s="605"/>
      <c r="T19" s="605"/>
      <c r="U19" s="606"/>
      <c r="V19" s="588"/>
      <c r="W19" s="584"/>
      <c r="X19" s="584"/>
      <c r="Y19" s="584"/>
      <c r="Z19" s="584"/>
      <c r="AA19" s="585"/>
      <c r="AB19" s="588"/>
      <c r="AC19" s="584"/>
      <c r="AD19" s="584"/>
      <c r="AE19" s="584"/>
      <c r="AF19" s="584"/>
      <c r="AG19" s="585"/>
      <c r="AH19" s="595"/>
      <c r="AI19" s="596"/>
      <c r="AJ19" s="596"/>
      <c r="AK19" s="596"/>
      <c r="AL19" s="596"/>
      <c r="AM19" s="597"/>
      <c r="AN19" s="71"/>
      <c r="AO19" s="551"/>
      <c r="AP19" s="552"/>
      <c r="AQ19" s="552"/>
      <c r="AR19" s="552"/>
      <c r="AS19" s="552"/>
      <c r="AT19" s="553"/>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row>
    <row r="20" spans="1:80" ht="15" customHeight="1">
      <c r="A20" s="71"/>
      <c r="B20" s="537"/>
      <c r="C20" s="537"/>
      <c r="D20" s="538"/>
      <c r="E20" s="578"/>
      <c r="F20" s="579"/>
      <c r="G20" s="579"/>
      <c r="H20" s="579"/>
      <c r="I20" s="579"/>
      <c r="J20" s="604" t="e">
        <f>IF(AND(' RIESGOS DE GESTION'!#REF!="Alta",' RIESGOS DE GESTION'!#REF!="Leve"),CONCATENATE("R",' RIESGOS DE GESTION'!#REF!),"")</f>
        <v>#REF!</v>
      </c>
      <c r="K20" s="605"/>
      <c r="L20" s="605" t="e">
        <f>IF(AND(' RIESGOS DE GESTION'!#REF!="Alta",' RIESGOS DE GESTION'!#REF!="Leve"),CONCATENATE("R",' RIESGOS DE GESTION'!#REF!),"")</f>
        <v>#REF!</v>
      </c>
      <c r="M20" s="605"/>
      <c r="N20" s="605" t="e">
        <f>IF(AND(' RIESGOS DE GESTION'!#REF!="Alta",' RIESGOS DE GESTION'!#REF!="Leve"),CONCATENATE("R",' RIESGOS DE GESTION'!#REF!),"")</f>
        <v>#REF!</v>
      </c>
      <c r="O20" s="606"/>
      <c r="P20" s="604" t="e">
        <f>IF(AND(' RIESGOS DE GESTION'!#REF!="Alta",' RIESGOS DE GESTION'!#REF!="Menor"),CONCATENATE("R",' RIESGOS DE GESTION'!#REF!),"")</f>
        <v>#REF!</v>
      </c>
      <c r="Q20" s="605"/>
      <c r="R20" s="605" t="e">
        <f>IF(AND(' RIESGOS DE GESTION'!#REF!="Alta",' RIESGOS DE GESTION'!#REF!="Menor"),CONCATENATE("R",' RIESGOS DE GESTION'!#REF!),"")</f>
        <v>#REF!</v>
      </c>
      <c r="S20" s="605"/>
      <c r="T20" s="605" t="e">
        <f>IF(AND(' RIESGOS DE GESTION'!#REF!="Alta",' RIESGOS DE GESTION'!#REF!="Menor"),CONCATENATE("R",' RIESGOS DE GESTION'!#REF!),"")</f>
        <v>#REF!</v>
      </c>
      <c r="U20" s="606"/>
      <c r="V20" s="588" t="e">
        <f>IF(AND(' RIESGOS DE GESTION'!#REF!="Alta",' RIESGOS DE GESTION'!#REF!="Moderado"),CONCATENATE("R",' RIESGOS DE GESTION'!#REF!),"")</f>
        <v>#REF!</v>
      </c>
      <c r="W20" s="584"/>
      <c r="X20" s="584" t="e">
        <f>IF(AND(' RIESGOS DE GESTION'!#REF!="Alta",' RIESGOS DE GESTION'!#REF!="Moderado"),CONCATENATE("R",' RIESGOS DE GESTION'!#REF!),"")</f>
        <v>#REF!</v>
      </c>
      <c r="Y20" s="584"/>
      <c r="Z20" s="584" t="e">
        <f>IF(AND(' RIESGOS DE GESTION'!#REF!="Alta",' RIESGOS DE GESTION'!#REF!="Moderado"),CONCATENATE("R",' RIESGOS DE GESTION'!#REF!),"")</f>
        <v>#REF!</v>
      </c>
      <c r="AA20" s="585"/>
      <c r="AB20" s="588" t="e">
        <f>IF(AND(' RIESGOS DE GESTION'!#REF!="Alta",' RIESGOS DE GESTION'!#REF!="Mayor"),CONCATENATE("R",' RIESGOS DE GESTION'!#REF!),"")</f>
        <v>#REF!</v>
      </c>
      <c r="AC20" s="584"/>
      <c r="AD20" s="584" t="e">
        <f>IF(AND(' RIESGOS DE GESTION'!#REF!="Alta",' RIESGOS DE GESTION'!#REF!="Mayor"),CONCATENATE("R",' RIESGOS DE GESTION'!#REF!),"")</f>
        <v>#REF!</v>
      </c>
      <c r="AE20" s="584"/>
      <c r="AF20" s="584" t="e">
        <f>IF(AND(' RIESGOS DE GESTION'!#REF!="Alta",' RIESGOS DE GESTION'!#REF!="Mayor"),CONCATENATE("R",' RIESGOS DE GESTION'!#REF!),"")</f>
        <v>#REF!</v>
      </c>
      <c r="AG20" s="585"/>
      <c r="AH20" s="595" t="e">
        <f>IF(AND(' RIESGOS DE GESTION'!#REF!="Alta",' RIESGOS DE GESTION'!#REF!="Catastrófico"),CONCATENATE("R",' RIESGOS DE GESTION'!#REF!),"")</f>
        <v>#REF!</v>
      </c>
      <c r="AI20" s="596"/>
      <c r="AJ20" s="596" t="e">
        <f>IF(AND(' RIESGOS DE GESTION'!#REF!="Alta",' RIESGOS DE GESTION'!#REF!="Catastrófico"),CONCATENATE("R",' RIESGOS DE GESTION'!#REF!),"")</f>
        <v>#REF!</v>
      </c>
      <c r="AK20" s="596"/>
      <c r="AL20" s="596" t="e">
        <f>IF(AND(' RIESGOS DE GESTION'!#REF!="Alta",' RIESGOS DE GESTION'!#REF!="Catastrófico"),CONCATENATE("R",' RIESGOS DE GESTION'!#REF!),"")</f>
        <v>#REF!</v>
      </c>
      <c r="AM20" s="597"/>
      <c r="AN20" s="71"/>
      <c r="AO20" s="551"/>
      <c r="AP20" s="552"/>
      <c r="AQ20" s="552"/>
      <c r="AR20" s="552"/>
      <c r="AS20" s="552"/>
      <c r="AT20" s="553"/>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row>
    <row r="21" spans="1:80" ht="15.75" customHeight="1" thickBot="1">
      <c r="A21" s="71"/>
      <c r="B21" s="537"/>
      <c r="C21" s="537"/>
      <c r="D21" s="538"/>
      <c r="E21" s="581"/>
      <c r="F21" s="582"/>
      <c r="G21" s="582"/>
      <c r="H21" s="582"/>
      <c r="I21" s="582"/>
      <c r="J21" s="607"/>
      <c r="K21" s="608"/>
      <c r="L21" s="608"/>
      <c r="M21" s="608"/>
      <c r="N21" s="608"/>
      <c r="O21" s="609"/>
      <c r="P21" s="607"/>
      <c r="Q21" s="608"/>
      <c r="R21" s="608"/>
      <c r="S21" s="608"/>
      <c r="T21" s="608"/>
      <c r="U21" s="609"/>
      <c r="V21" s="592"/>
      <c r="W21" s="593"/>
      <c r="X21" s="593"/>
      <c r="Y21" s="593"/>
      <c r="Z21" s="593"/>
      <c r="AA21" s="594"/>
      <c r="AB21" s="592"/>
      <c r="AC21" s="593"/>
      <c r="AD21" s="593"/>
      <c r="AE21" s="593"/>
      <c r="AF21" s="593"/>
      <c r="AG21" s="594"/>
      <c r="AH21" s="598"/>
      <c r="AI21" s="599"/>
      <c r="AJ21" s="599"/>
      <c r="AK21" s="599"/>
      <c r="AL21" s="599"/>
      <c r="AM21" s="600"/>
      <c r="AN21" s="71"/>
      <c r="AO21" s="554"/>
      <c r="AP21" s="555"/>
      <c r="AQ21" s="555"/>
      <c r="AR21" s="555"/>
      <c r="AS21" s="555"/>
      <c r="AT21" s="556"/>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row>
    <row r="22" spans="1:80">
      <c r="A22" s="71"/>
      <c r="B22" s="537"/>
      <c r="C22" s="537"/>
      <c r="D22" s="538"/>
      <c r="E22" s="575" t="s">
        <v>567</v>
      </c>
      <c r="F22" s="576"/>
      <c r="G22" s="576"/>
      <c r="H22" s="576"/>
      <c r="I22" s="577"/>
      <c r="J22" s="610" t="e">
        <f>IF(AND(' RIESGOS DE GESTION'!#REF!="Media",' RIESGOS DE GESTION'!#REF!="Leve"),CONCATENATE("R",' RIESGOS DE GESTION'!#REF!),"")</f>
        <v>#REF!</v>
      </c>
      <c r="K22" s="611"/>
      <c r="L22" s="611" t="e">
        <f>IF(AND(' RIESGOS DE GESTION'!#REF!="Media",' RIESGOS DE GESTION'!#REF!="Leve"),CONCATENATE("R",' RIESGOS DE GESTION'!#REF!),"")</f>
        <v>#REF!</v>
      </c>
      <c r="M22" s="611"/>
      <c r="N22" s="611" t="e">
        <f>IF(AND(' RIESGOS DE GESTION'!#REF!="Media",' RIESGOS DE GESTION'!#REF!="Leve"),CONCATENATE("R",' RIESGOS DE GESTION'!#REF!),"")</f>
        <v>#REF!</v>
      </c>
      <c r="O22" s="612"/>
      <c r="P22" s="610" t="e">
        <f>IF(AND(' RIESGOS DE GESTION'!#REF!="Media",' RIESGOS DE GESTION'!#REF!="Menor"),CONCATENATE("R",' RIESGOS DE GESTION'!#REF!),"")</f>
        <v>#REF!</v>
      </c>
      <c r="Q22" s="611"/>
      <c r="R22" s="611" t="e">
        <f>IF(AND(' RIESGOS DE GESTION'!#REF!="Media",' RIESGOS DE GESTION'!#REF!="Menor"),CONCATENATE("R",' RIESGOS DE GESTION'!#REF!),"")</f>
        <v>#REF!</v>
      </c>
      <c r="S22" s="611"/>
      <c r="T22" s="611" t="e">
        <f>IF(AND(' RIESGOS DE GESTION'!#REF!="Media",' RIESGOS DE GESTION'!#REF!="Menor"),CONCATENATE("R",' RIESGOS DE GESTION'!#REF!),"")</f>
        <v>#REF!</v>
      </c>
      <c r="U22" s="612"/>
      <c r="V22" s="610" t="e">
        <f>IF(AND(' RIESGOS DE GESTION'!#REF!="Media",' RIESGOS DE GESTION'!#REF!="Moderado"),CONCATENATE("R",' RIESGOS DE GESTION'!#REF!),"")</f>
        <v>#REF!</v>
      </c>
      <c r="W22" s="611"/>
      <c r="X22" s="611" t="e">
        <f>IF(AND(' RIESGOS DE GESTION'!#REF!="Media",' RIESGOS DE GESTION'!#REF!="Moderado"),CONCATENATE("R",' RIESGOS DE GESTION'!#REF!),"")</f>
        <v>#REF!</v>
      </c>
      <c r="Y22" s="611"/>
      <c r="Z22" s="611" t="e">
        <f>IF(AND(' RIESGOS DE GESTION'!#REF!="Media",' RIESGOS DE GESTION'!#REF!="Moderado"),CONCATENATE("R",' RIESGOS DE GESTION'!#REF!),"")</f>
        <v>#REF!</v>
      </c>
      <c r="AA22" s="612"/>
      <c r="AB22" s="586" t="e">
        <f>IF(AND(' RIESGOS DE GESTION'!#REF!="Media",' RIESGOS DE GESTION'!#REF!="Mayor"),CONCATENATE("R",' RIESGOS DE GESTION'!#REF!),"")</f>
        <v>#REF!</v>
      </c>
      <c r="AC22" s="587"/>
      <c r="AD22" s="587" t="e">
        <f>IF(AND(' RIESGOS DE GESTION'!#REF!="Media",' RIESGOS DE GESTION'!#REF!="Mayor"),CONCATENATE("R",' RIESGOS DE GESTION'!#REF!),"")</f>
        <v>#REF!</v>
      </c>
      <c r="AE22" s="587"/>
      <c r="AF22" s="587" t="e">
        <f>IF(AND(' RIESGOS DE GESTION'!#REF!="Media",' RIESGOS DE GESTION'!#REF!="Mayor"),CONCATENATE("R",' RIESGOS DE GESTION'!#REF!),"")</f>
        <v>#REF!</v>
      </c>
      <c r="AG22" s="589"/>
      <c r="AH22" s="601" t="e">
        <f>IF(AND(' RIESGOS DE GESTION'!#REF!="Media",' RIESGOS DE GESTION'!#REF!="Catastrófico"),CONCATENATE("R",' RIESGOS DE GESTION'!#REF!),"")</f>
        <v>#REF!</v>
      </c>
      <c r="AI22" s="602"/>
      <c r="AJ22" s="602" t="e">
        <f>IF(AND(' RIESGOS DE GESTION'!#REF!="Media",' RIESGOS DE GESTION'!#REF!="Catastrófico"),CONCATENATE("R",' RIESGOS DE GESTION'!#REF!),"")</f>
        <v>#REF!</v>
      </c>
      <c r="AK22" s="602"/>
      <c r="AL22" s="602" t="e">
        <f>IF(AND(' RIESGOS DE GESTION'!#REF!="Media",' RIESGOS DE GESTION'!#REF!="Catastrófico"),CONCATENATE("R",' RIESGOS DE GESTION'!#REF!),"")</f>
        <v>#REF!</v>
      </c>
      <c r="AM22" s="603"/>
      <c r="AN22" s="71"/>
      <c r="AO22" s="557" t="s">
        <v>568</v>
      </c>
      <c r="AP22" s="558"/>
      <c r="AQ22" s="558"/>
      <c r="AR22" s="558"/>
      <c r="AS22" s="558"/>
      <c r="AT22" s="559"/>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row>
    <row r="23" spans="1:80">
      <c r="A23" s="71"/>
      <c r="B23" s="537"/>
      <c r="C23" s="537"/>
      <c r="D23" s="538"/>
      <c r="E23" s="578"/>
      <c r="F23" s="579"/>
      <c r="G23" s="579"/>
      <c r="H23" s="579"/>
      <c r="I23" s="580"/>
      <c r="J23" s="604"/>
      <c r="K23" s="605"/>
      <c r="L23" s="605"/>
      <c r="M23" s="605"/>
      <c r="N23" s="605"/>
      <c r="O23" s="606"/>
      <c r="P23" s="604"/>
      <c r="Q23" s="605"/>
      <c r="R23" s="605"/>
      <c r="S23" s="605"/>
      <c r="T23" s="605"/>
      <c r="U23" s="606"/>
      <c r="V23" s="604"/>
      <c r="W23" s="605"/>
      <c r="X23" s="605"/>
      <c r="Y23" s="605"/>
      <c r="Z23" s="605"/>
      <c r="AA23" s="606"/>
      <c r="AB23" s="588"/>
      <c r="AC23" s="584"/>
      <c r="AD23" s="584"/>
      <c r="AE23" s="584"/>
      <c r="AF23" s="584"/>
      <c r="AG23" s="585"/>
      <c r="AH23" s="595"/>
      <c r="AI23" s="596"/>
      <c r="AJ23" s="596"/>
      <c r="AK23" s="596"/>
      <c r="AL23" s="596"/>
      <c r="AM23" s="597"/>
      <c r="AN23" s="71"/>
      <c r="AO23" s="560"/>
      <c r="AP23" s="561"/>
      <c r="AQ23" s="561"/>
      <c r="AR23" s="561"/>
      <c r="AS23" s="561"/>
      <c r="AT23" s="562"/>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row>
    <row r="24" spans="1:80">
      <c r="A24" s="71"/>
      <c r="B24" s="537"/>
      <c r="C24" s="537"/>
      <c r="D24" s="538"/>
      <c r="E24" s="578"/>
      <c r="F24" s="579"/>
      <c r="G24" s="579"/>
      <c r="H24" s="579"/>
      <c r="I24" s="580"/>
      <c r="J24" s="604" t="e">
        <f>IF(AND(' RIESGOS DE GESTION'!#REF!="Media",' RIESGOS DE GESTION'!#REF!="Leve"),CONCATENATE("R",' RIESGOS DE GESTION'!#REF!),"")</f>
        <v>#REF!</v>
      </c>
      <c r="K24" s="605"/>
      <c r="L24" s="605" t="e">
        <f>IF(AND(' RIESGOS DE GESTION'!#REF!="Media",' RIESGOS DE GESTION'!#REF!="Leve"),CONCATENATE("R",' RIESGOS DE GESTION'!#REF!),"")</f>
        <v>#REF!</v>
      </c>
      <c r="M24" s="605"/>
      <c r="N24" s="605" t="e">
        <f>IF(AND(' RIESGOS DE GESTION'!#REF!="Media",' RIESGOS DE GESTION'!#REF!="Leve"),CONCATENATE("R",' RIESGOS DE GESTION'!#REF!),"")</f>
        <v>#REF!</v>
      </c>
      <c r="O24" s="606"/>
      <c r="P24" s="604" t="e">
        <f>IF(AND(' RIESGOS DE GESTION'!#REF!="Media",' RIESGOS DE GESTION'!#REF!="Menor"),CONCATENATE("R",' RIESGOS DE GESTION'!#REF!),"")</f>
        <v>#REF!</v>
      </c>
      <c r="Q24" s="605"/>
      <c r="R24" s="605" t="e">
        <f>IF(AND(' RIESGOS DE GESTION'!#REF!="Media",' RIESGOS DE GESTION'!#REF!="Menor"),CONCATENATE("R",' RIESGOS DE GESTION'!#REF!),"")</f>
        <v>#REF!</v>
      </c>
      <c r="S24" s="605"/>
      <c r="T24" s="605" t="e">
        <f>IF(AND(' RIESGOS DE GESTION'!#REF!="Media",' RIESGOS DE GESTION'!#REF!="Menor"),CONCATENATE("R",' RIESGOS DE GESTION'!#REF!),"")</f>
        <v>#REF!</v>
      </c>
      <c r="U24" s="606"/>
      <c r="V24" s="604" t="e">
        <f>IF(AND(' RIESGOS DE GESTION'!#REF!="Media",' RIESGOS DE GESTION'!#REF!="Moderado"),CONCATENATE("R",' RIESGOS DE GESTION'!#REF!),"")</f>
        <v>#REF!</v>
      </c>
      <c r="W24" s="605"/>
      <c r="X24" s="605" t="e">
        <f>IF(AND(' RIESGOS DE GESTION'!#REF!="Media",' RIESGOS DE GESTION'!#REF!="Moderado"),CONCATENATE("R",' RIESGOS DE GESTION'!#REF!),"")</f>
        <v>#REF!</v>
      </c>
      <c r="Y24" s="605"/>
      <c r="Z24" s="605" t="e">
        <f>IF(AND(' RIESGOS DE GESTION'!#REF!="Media",' RIESGOS DE GESTION'!#REF!="Moderado"),CONCATENATE("R",' RIESGOS DE GESTION'!#REF!),"")</f>
        <v>#REF!</v>
      </c>
      <c r="AA24" s="606"/>
      <c r="AB24" s="588" t="e">
        <f>IF(AND(' RIESGOS DE GESTION'!#REF!="Media",' RIESGOS DE GESTION'!#REF!="Mayor"),CONCATENATE("R",' RIESGOS DE GESTION'!#REF!),"")</f>
        <v>#REF!</v>
      </c>
      <c r="AC24" s="584"/>
      <c r="AD24" s="584" t="e">
        <f>IF(AND(' RIESGOS DE GESTION'!#REF!="Media",' RIESGOS DE GESTION'!#REF!="Mayor"),CONCATENATE("R",' RIESGOS DE GESTION'!#REF!),"")</f>
        <v>#REF!</v>
      </c>
      <c r="AE24" s="584"/>
      <c r="AF24" s="584" t="e">
        <f>IF(AND(' RIESGOS DE GESTION'!#REF!="Media",' RIESGOS DE GESTION'!#REF!="Mayor"),CONCATENATE("R",' RIESGOS DE GESTION'!#REF!),"")</f>
        <v>#REF!</v>
      </c>
      <c r="AG24" s="585"/>
      <c r="AH24" s="595" t="e">
        <f>IF(AND(' RIESGOS DE GESTION'!#REF!="Media",' RIESGOS DE GESTION'!#REF!="Catastrófico"),CONCATENATE("R",' RIESGOS DE GESTION'!#REF!),"")</f>
        <v>#REF!</v>
      </c>
      <c r="AI24" s="596"/>
      <c r="AJ24" s="596" t="e">
        <f>IF(AND(' RIESGOS DE GESTION'!#REF!="Media",' RIESGOS DE GESTION'!#REF!="Catastrófico"),CONCATENATE("R",' RIESGOS DE GESTION'!#REF!),"")</f>
        <v>#REF!</v>
      </c>
      <c r="AK24" s="596"/>
      <c r="AL24" s="596" t="e">
        <f>IF(AND(' RIESGOS DE GESTION'!#REF!="Media",' RIESGOS DE GESTION'!#REF!="Catastrófico"),CONCATENATE("R",' RIESGOS DE GESTION'!#REF!),"")</f>
        <v>#REF!</v>
      </c>
      <c r="AM24" s="597"/>
      <c r="AN24" s="71"/>
      <c r="AO24" s="560"/>
      <c r="AP24" s="561"/>
      <c r="AQ24" s="561"/>
      <c r="AR24" s="561"/>
      <c r="AS24" s="561"/>
      <c r="AT24" s="562"/>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row>
    <row r="25" spans="1:80">
      <c r="A25" s="71"/>
      <c r="B25" s="537"/>
      <c r="C25" s="537"/>
      <c r="D25" s="538"/>
      <c r="E25" s="578"/>
      <c r="F25" s="579"/>
      <c r="G25" s="579"/>
      <c r="H25" s="579"/>
      <c r="I25" s="580"/>
      <c r="J25" s="604"/>
      <c r="K25" s="605"/>
      <c r="L25" s="605"/>
      <c r="M25" s="605"/>
      <c r="N25" s="605"/>
      <c r="O25" s="606"/>
      <c r="P25" s="604"/>
      <c r="Q25" s="605"/>
      <c r="R25" s="605"/>
      <c r="S25" s="605"/>
      <c r="T25" s="605"/>
      <c r="U25" s="606"/>
      <c r="V25" s="604"/>
      <c r="W25" s="605"/>
      <c r="X25" s="605"/>
      <c r="Y25" s="605"/>
      <c r="Z25" s="605"/>
      <c r="AA25" s="606"/>
      <c r="AB25" s="588"/>
      <c r="AC25" s="584"/>
      <c r="AD25" s="584"/>
      <c r="AE25" s="584"/>
      <c r="AF25" s="584"/>
      <c r="AG25" s="585"/>
      <c r="AH25" s="595"/>
      <c r="AI25" s="596"/>
      <c r="AJ25" s="596"/>
      <c r="AK25" s="596"/>
      <c r="AL25" s="596"/>
      <c r="AM25" s="597"/>
      <c r="AN25" s="71"/>
      <c r="AO25" s="560"/>
      <c r="AP25" s="561"/>
      <c r="AQ25" s="561"/>
      <c r="AR25" s="561"/>
      <c r="AS25" s="561"/>
      <c r="AT25" s="562"/>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row>
    <row r="26" spans="1:80">
      <c r="A26" s="71"/>
      <c r="B26" s="537"/>
      <c r="C26" s="537"/>
      <c r="D26" s="538"/>
      <c r="E26" s="578"/>
      <c r="F26" s="579"/>
      <c r="G26" s="579"/>
      <c r="H26" s="579"/>
      <c r="I26" s="580"/>
      <c r="J26" s="604" t="e">
        <f>IF(AND(' RIESGOS DE GESTION'!#REF!="Media",' RIESGOS DE GESTION'!#REF!="Leve"),CONCATENATE("R",' RIESGOS DE GESTION'!#REF!),"")</f>
        <v>#REF!</v>
      </c>
      <c r="K26" s="605"/>
      <c r="L26" s="605" t="e">
        <f>IF(AND(' RIESGOS DE GESTION'!#REF!="Media",' RIESGOS DE GESTION'!#REF!="Leve"),CONCATENATE("R",' RIESGOS DE GESTION'!#REF!),"")</f>
        <v>#REF!</v>
      </c>
      <c r="M26" s="605"/>
      <c r="N26" s="605" t="e">
        <f>IF(AND(' RIESGOS DE GESTION'!#REF!="Media",' RIESGOS DE GESTION'!#REF!="Leve"),CONCATENATE("R",' RIESGOS DE GESTION'!#REF!),"")</f>
        <v>#REF!</v>
      </c>
      <c r="O26" s="606"/>
      <c r="P26" s="604" t="e">
        <f>IF(AND(' RIESGOS DE GESTION'!#REF!="Media",' RIESGOS DE GESTION'!#REF!="Menor"),CONCATENATE("R",' RIESGOS DE GESTION'!#REF!),"")</f>
        <v>#REF!</v>
      </c>
      <c r="Q26" s="605"/>
      <c r="R26" s="605" t="e">
        <f>IF(AND(' RIESGOS DE GESTION'!#REF!="Media",' RIESGOS DE GESTION'!#REF!="Menor"),CONCATENATE("R",' RIESGOS DE GESTION'!#REF!),"")</f>
        <v>#REF!</v>
      </c>
      <c r="S26" s="605"/>
      <c r="T26" s="605" t="e">
        <f>IF(AND(' RIESGOS DE GESTION'!#REF!="Media",' RIESGOS DE GESTION'!#REF!="Menor"),CONCATENATE("R",' RIESGOS DE GESTION'!#REF!),"")</f>
        <v>#REF!</v>
      </c>
      <c r="U26" s="606"/>
      <c r="V26" s="604" t="e">
        <f>IF(AND(' RIESGOS DE GESTION'!#REF!="Media",' RIESGOS DE GESTION'!#REF!="Moderado"),CONCATENATE("R",' RIESGOS DE GESTION'!#REF!),"")</f>
        <v>#REF!</v>
      </c>
      <c r="W26" s="605"/>
      <c r="X26" s="605" t="e">
        <f>IF(AND(' RIESGOS DE GESTION'!#REF!="Media",' RIESGOS DE GESTION'!#REF!="Moderado"),CONCATENATE("R",' RIESGOS DE GESTION'!#REF!),"")</f>
        <v>#REF!</v>
      </c>
      <c r="Y26" s="605"/>
      <c r="Z26" s="605" t="e">
        <f>IF(AND(' RIESGOS DE GESTION'!#REF!="Media",' RIESGOS DE GESTION'!#REF!="Moderado"),CONCATENATE("R",' RIESGOS DE GESTION'!#REF!),"")</f>
        <v>#REF!</v>
      </c>
      <c r="AA26" s="606"/>
      <c r="AB26" s="588" t="e">
        <f>IF(AND(' RIESGOS DE GESTION'!#REF!="Media",' RIESGOS DE GESTION'!#REF!="Mayor"),CONCATENATE("R",' RIESGOS DE GESTION'!#REF!),"")</f>
        <v>#REF!</v>
      </c>
      <c r="AC26" s="584"/>
      <c r="AD26" s="584" t="e">
        <f>IF(AND(' RIESGOS DE GESTION'!#REF!="Media",' RIESGOS DE GESTION'!#REF!="Mayor"),CONCATENATE("R",' RIESGOS DE GESTION'!#REF!),"")</f>
        <v>#REF!</v>
      </c>
      <c r="AE26" s="584"/>
      <c r="AF26" s="584" t="e">
        <f>IF(AND(' RIESGOS DE GESTION'!#REF!="Media",' RIESGOS DE GESTION'!#REF!="Mayor"),CONCATENATE("R",' RIESGOS DE GESTION'!#REF!),"")</f>
        <v>#REF!</v>
      </c>
      <c r="AG26" s="585"/>
      <c r="AH26" s="595" t="e">
        <f>IF(AND(' RIESGOS DE GESTION'!#REF!="Media",' RIESGOS DE GESTION'!#REF!="Catastrófico"),CONCATENATE("R",' RIESGOS DE GESTION'!#REF!),"")</f>
        <v>#REF!</v>
      </c>
      <c r="AI26" s="596"/>
      <c r="AJ26" s="596" t="e">
        <f>IF(AND(' RIESGOS DE GESTION'!#REF!="Media",' RIESGOS DE GESTION'!#REF!="Catastrófico"),CONCATENATE("R",' RIESGOS DE GESTION'!#REF!),"")</f>
        <v>#REF!</v>
      </c>
      <c r="AK26" s="596"/>
      <c r="AL26" s="596" t="e">
        <f>IF(AND(' RIESGOS DE GESTION'!#REF!="Media",' RIESGOS DE GESTION'!#REF!="Catastrófico"),CONCATENATE("R",' RIESGOS DE GESTION'!#REF!),"")</f>
        <v>#REF!</v>
      </c>
      <c r="AM26" s="597"/>
      <c r="AN26" s="71"/>
      <c r="AO26" s="560"/>
      <c r="AP26" s="561"/>
      <c r="AQ26" s="561"/>
      <c r="AR26" s="561"/>
      <c r="AS26" s="561"/>
      <c r="AT26" s="562"/>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row>
    <row r="27" spans="1:80">
      <c r="A27" s="71"/>
      <c r="B27" s="537"/>
      <c r="C27" s="537"/>
      <c r="D27" s="538"/>
      <c r="E27" s="578"/>
      <c r="F27" s="579"/>
      <c r="G27" s="579"/>
      <c r="H27" s="579"/>
      <c r="I27" s="580"/>
      <c r="J27" s="604"/>
      <c r="K27" s="605"/>
      <c r="L27" s="605"/>
      <c r="M27" s="605"/>
      <c r="N27" s="605"/>
      <c r="O27" s="606"/>
      <c r="P27" s="604"/>
      <c r="Q27" s="605"/>
      <c r="R27" s="605"/>
      <c r="S27" s="605"/>
      <c r="T27" s="605"/>
      <c r="U27" s="606"/>
      <c r="V27" s="604"/>
      <c r="W27" s="605"/>
      <c r="X27" s="605"/>
      <c r="Y27" s="605"/>
      <c r="Z27" s="605"/>
      <c r="AA27" s="606"/>
      <c r="AB27" s="588"/>
      <c r="AC27" s="584"/>
      <c r="AD27" s="584"/>
      <c r="AE27" s="584"/>
      <c r="AF27" s="584"/>
      <c r="AG27" s="585"/>
      <c r="AH27" s="595"/>
      <c r="AI27" s="596"/>
      <c r="AJ27" s="596"/>
      <c r="AK27" s="596"/>
      <c r="AL27" s="596"/>
      <c r="AM27" s="597"/>
      <c r="AN27" s="71"/>
      <c r="AO27" s="560"/>
      <c r="AP27" s="561"/>
      <c r="AQ27" s="561"/>
      <c r="AR27" s="561"/>
      <c r="AS27" s="561"/>
      <c r="AT27" s="562"/>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row>
    <row r="28" spans="1:80">
      <c r="A28" s="71"/>
      <c r="B28" s="537"/>
      <c r="C28" s="537"/>
      <c r="D28" s="538"/>
      <c r="E28" s="578"/>
      <c r="F28" s="579"/>
      <c r="G28" s="579"/>
      <c r="H28" s="579"/>
      <c r="I28" s="580"/>
      <c r="J28" s="604" t="e">
        <f>IF(AND(' RIESGOS DE GESTION'!#REF!="Media",' RIESGOS DE GESTION'!#REF!="Leve"),CONCATENATE("R",' RIESGOS DE GESTION'!#REF!),"")</f>
        <v>#REF!</v>
      </c>
      <c r="K28" s="605"/>
      <c r="L28" s="605" t="e">
        <f>IF(AND(' RIESGOS DE GESTION'!#REF!="Media",' RIESGOS DE GESTION'!#REF!="Leve"),CONCATENATE("R",' RIESGOS DE GESTION'!#REF!),"")</f>
        <v>#REF!</v>
      </c>
      <c r="M28" s="605"/>
      <c r="N28" s="605" t="e">
        <f>IF(AND(' RIESGOS DE GESTION'!#REF!="Media",' RIESGOS DE GESTION'!#REF!="Leve"),CONCATENATE("R",' RIESGOS DE GESTION'!#REF!),"")</f>
        <v>#REF!</v>
      </c>
      <c r="O28" s="606"/>
      <c r="P28" s="604" t="e">
        <f>IF(AND(' RIESGOS DE GESTION'!#REF!="Media",' RIESGOS DE GESTION'!#REF!="Menor"),CONCATENATE("R",' RIESGOS DE GESTION'!#REF!),"")</f>
        <v>#REF!</v>
      </c>
      <c r="Q28" s="605"/>
      <c r="R28" s="605" t="e">
        <f>IF(AND(' RIESGOS DE GESTION'!#REF!="Media",' RIESGOS DE GESTION'!#REF!="Menor"),CONCATENATE("R",' RIESGOS DE GESTION'!#REF!),"")</f>
        <v>#REF!</v>
      </c>
      <c r="S28" s="605"/>
      <c r="T28" s="605" t="e">
        <f>IF(AND(' RIESGOS DE GESTION'!#REF!="Media",' RIESGOS DE GESTION'!#REF!="Menor"),CONCATENATE("R",' RIESGOS DE GESTION'!#REF!),"")</f>
        <v>#REF!</v>
      </c>
      <c r="U28" s="606"/>
      <c r="V28" s="604" t="e">
        <f>IF(AND(' RIESGOS DE GESTION'!#REF!="Media",' RIESGOS DE GESTION'!#REF!="Moderado"),CONCATENATE("R",' RIESGOS DE GESTION'!#REF!),"")</f>
        <v>#REF!</v>
      </c>
      <c r="W28" s="605"/>
      <c r="X28" s="605" t="e">
        <f>IF(AND(' RIESGOS DE GESTION'!#REF!="Media",' RIESGOS DE GESTION'!#REF!="Moderado"),CONCATENATE("R",' RIESGOS DE GESTION'!#REF!),"")</f>
        <v>#REF!</v>
      </c>
      <c r="Y28" s="605"/>
      <c r="Z28" s="605" t="e">
        <f>IF(AND(' RIESGOS DE GESTION'!#REF!="Media",' RIESGOS DE GESTION'!#REF!="Moderado"),CONCATENATE("R",' RIESGOS DE GESTION'!#REF!),"")</f>
        <v>#REF!</v>
      </c>
      <c r="AA28" s="606"/>
      <c r="AB28" s="588" t="e">
        <f>IF(AND(' RIESGOS DE GESTION'!#REF!="Media",' RIESGOS DE GESTION'!#REF!="Mayor"),CONCATENATE("R",' RIESGOS DE GESTION'!#REF!),"")</f>
        <v>#REF!</v>
      </c>
      <c r="AC28" s="584"/>
      <c r="AD28" s="584" t="e">
        <f>IF(AND(' RIESGOS DE GESTION'!#REF!="Media",' RIESGOS DE GESTION'!#REF!="Mayor"),CONCATENATE("R",' RIESGOS DE GESTION'!#REF!),"")</f>
        <v>#REF!</v>
      </c>
      <c r="AE28" s="584"/>
      <c r="AF28" s="584" t="e">
        <f>IF(AND(' RIESGOS DE GESTION'!#REF!="Media",' RIESGOS DE GESTION'!#REF!="Mayor"),CONCATENATE("R",' RIESGOS DE GESTION'!#REF!),"")</f>
        <v>#REF!</v>
      </c>
      <c r="AG28" s="585"/>
      <c r="AH28" s="595" t="e">
        <f>IF(AND(' RIESGOS DE GESTION'!#REF!="Media",' RIESGOS DE GESTION'!#REF!="Catastrófico"),CONCATENATE("R",' RIESGOS DE GESTION'!#REF!),"")</f>
        <v>#REF!</v>
      </c>
      <c r="AI28" s="596"/>
      <c r="AJ28" s="596" t="e">
        <f>IF(AND(' RIESGOS DE GESTION'!#REF!="Media",' RIESGOS DE GESTION'!#REF!="Catastrófico"),CONCATENATE("R",' RIESGOS DE GESTION'!#REF!),"")</f>
        <v>#REF!</v>
      </c>
      <c r="AK28" s="596"/>
      <c r="AL28" s="596" t="e">
        <f>IF(AND(' RIESGOS DE GESTION'!#REF!="Media",' RIESGOS DE GESTION'!#REF!="Catastrófico"),CONCATENATE("R",' RIESGOS DE GESTION'!#REF!),"")</f>
        <v>#REF!</v>
      </c>
      <c r="AM28" s="597"/>
      <c r="AN28" s="71"/>
      <c r="AO28" s="560"/>
      <c r="AP28" s="561"/>
      <c r="AQ28" s="561"/>
      <c r="AR28" s="561"/>
      <c r="AS28" s="561"/>
      <c r="AT28" s="562"/>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row>
    <row r="29" spans="1:80" ht="15.75" thickBot="1">
      <c r="A29" s="71"/>
      <c r="B29" s="537"/>
      <c r="C29" s="537"/>
      <c r="D29" s="538"/>
      <c r="E29" s="581"/>
      <c r="F29" s="582"/>
      <c r="G29" s="582"/>
      <c r="H29" s="582"/>
      <c r="I29" s="583"/>
      <c r="J29" s="604"/>
      <c r="K29" s="605"/>
      <c r="L29" s="605"/>
      <c r="M29" s="605"/>
      <c r="N29" s="605"/>
      <c r="O29" s="606"/>
      <c r="P29" s="607"/>
      <c r="Q29" s="608"/>
      <c r="R29" s="608"/>
      <c r="S29" s="608"/>
      <c r="T29" s="608"/>
      <c r="U29" s="609"/>
      <c r="V29" s="607"/>
      <c r="W29" s="608"/>
      <c r="X29" s="608"/>
      <c r="Y29" s="608"/>
      <c r="Z29" s="608"/>
      <c r="AA29" s="609"/>
      <c r="AB29" s="592"/>
      <c r="AC29" s="593"/>
      <c r="AD29" s="593"/>
      <c r="AE29" s="593"/>
      <c r="AF29" s="593"/>
      <c r="AG29" s="594"/>
      <c r="AH29" s="598"/>
      <c r="AI29" s="599"/>
      <c r="AJ29" s="599"/>
      <c r="AK29" s="599"/>
      <c r="AL29" s="599"/>
      <c r="AM29" s="600"/>
      <c r="AN29" s="71"/>
      <c r="AO29" s="563"/>
      <c r="AP29" s="564"/>
      <c r="AQ29" s="564"/>
      <c r="AR29" s="564"/>
      <c r="AS29" s="564"/>
      <c r="AT29" s="565"/>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row>
    <row r="30" spans="1:80">
      <c r="A30" s="71"/>
      <c r="B30" s="537"/>
      <c r="C30" s="537"/>
      <c r="D30" s="538"/>
      <c r="E30" s="575" t="s">
        <v>569</v>
      </c>
      <c r="F30" s="576"/>
      <c r="G30" s="576"/>
      <c r="H30" s="576"/>
      <c r="I30" s="576"/>
      <c r="J30" s="619" t="e">
        <f>IF(AND(' RIESGOS DE GESTION'!#REF!="Baja",' RIESGOS DE GESTION'!#REF!="Leve"),CONCATENATE("R",' RIESGOS DE GESTION'!#REF!),"")</f>
        <v>#REF!</v>
      </c>
      <c r="K30" s="620"/>
      <c r="L30" s="620" t="e">
        <f>IF(AND(' RIESGOS DE GESTION'!#REF!="Baja",' RIESGOS DE GESTION'!#REF!="Leve"),CONCATENATE("R",' RIESGOS DE GESTION'!#REF!),"")</f>
        <v>#REF!</v>
      </c>
      <c r="M30" s="620"/>
      <c r="N30" s="620" t="e">
        <f>IF(AND(' RIESGOS DE GESTION'!#REF!="Baja",' RIESGOS DE GESTION'!#REF!="Leve"),CONCATENATE("R",' RIESGOS DE GESTION'!#REF!),"")</f>
        <v>#REF!</v>
      </c>
      <c r="O30" s="621"/>
      <c r="P30" s="611" t="e">
        <f>IF(AND(' RIESGOS DE GESTION'!#REF!="Baja",' RIESGOS DE GESTION'!#REF!="Menor"),CONCATENATE("R",' RIESGOS DE GESTION'!#REF!),"")</f>
        <v>#REF!</v>
      </c>
      <c r="Q30" s="611"/>
      <c r="R30" s="611" t="e">
        <f>IF(AND(' RIESGOS DE GESTION'!#REF!="Baja",' RIESGOS DE GESTION'!#REF!="Menor"),CONCATENATE("R",' RIESGOS DE GESTION'!#REF!),"")</f>
        <v>#REF!</v>
      </c>
      <c r="S30" s="611"/>
      <c r="T30" s="611" t="e">
        <f>IF(AND(' RIESGOS DE GESTION'!#REF!="Baja",' RIESGOS DE GESTION'!#REF!="Menor"),CONCATENATE("R",' RIESGOS DE GESTION'!#REF!),"")</f>
        <v>#REF!</v>
      </c>
      <c r="U30" s="612"/>
      <c r="V30" s="610" t="e">
        <f>IF(AND(' RIESGOS DE GESTION'!#REF!="Baja",' RIESGOS DE GESTION'!#REF!="Moderado"),CONCATENATE("R",' RIESGOS DE GESTION'!#REF!),"")</f>
        <v>#REF!</v>
      </c>
      <c r="W30" s="611"/>
      <c r="X30" s="611" t="e">
        <f>IF(AND(' RIESGOS DE GESTION'!#REF!="Baja",' RIESGOS DE GESTION'!#REF!="Moderado"),CONCATENATE("R",' RIESGOS DE GESTION'!#REF!),"")</f>
        <v>#REF!</v>
      </c>
      <c r="Y30" s="611"/>
      <c r="Z30" s="611" t="e">
        <f>IF(AND(' RIESGOS DE GESTION'!#REF!="Baja",' RIESGOS DE GESTION'!#REF!="Moderado"),CONCATENATE("R",' RIESGOS DE GESTION'!#REF!),"")</f>
        <v>#REF!</v>
      </c>
      <c r="AA30" s="612"/>
      <c r="AB30" s="586" t="e">
        <f>IF(AND(' RIESGOS DE GESTION'!#REF!="Baja",' RIESGOS DE GESTION'!#REF!="Mayor"),CONCATENATE("R",' RIESGOS DE GESTION'!#REF!),"")</f>
        <v>#REF!</v>
      </c>
      <c r="AC30" s="587"/>
      <c r="AD30" s="587" t="e">
        <f>IF(AND(' RIESGOS DE GESTION'!#REF!="Baja",' RIESGOS DE GESTION'!#REF!="Mayor"),CONCATENATE("R",' RIESGOS DE GESTION'!#REF!),"")</f>
        <v>#REF!</v>
      </c>
      <c r="AE30" s="587"/>
      <c r="AF30" s="587" t="e">
        <f>IF(AND(' RIESGOS DE GESTION'!#REF!="Baja",' RIESGOS DE GESTION'!#REF!="Mayor"),CONCATENATE("R",' RIESGOS DE GESTION'!#REF!),"")</f>
        <v>#REF!</v>
      </c>
      <c r="AG30" s="589"/>
      <c r="AH30" s="601" t="e">
        <f>IF(AND(' RIESGOS DE GESTION'!#REF!="Baja",' RIESGOS DE GESTION'!#REF!="Catastrófico"),CONCATENATE("R",' RIESGOS DE GESTION'!#REF!),"")</f>
        <v>#REF!</v>
      </c>
      <c r="AI30" s="602"/>
      <c r="AJ30" s="602" t="e">
        <f>IF(AND(' RIESGOS DE GESTION'!#REF!="Baja",' RIESGOS DE GESTION'!#REF!="Catastrófico"),CONCATENATE("R",' RIESGOS DE GESTION'!#REF!),"")</f>
        <v>#REF!</v>
      </c>
      <c r="AK30" s="602"/>
      <c r="AL30" s="602" t="e">
        <f>IF(AND(' RIESGOS DE GESTION'!#REF!="Baja",' RIESGOS DE GESTION'!#REF!="Catastrófico"),CONCATENATE("R",' RIESGOS DE GESTION'!#REF!),"")</f>
        <v>#REF!</v>
      </c>
      <c r="AM30" s="603"/>
      <c r="AN30" s="71"/>
      <c r="AO30" s="566" t="s">
        <v>570</v>
      </c>
      <c r="AP30" s="567"/>
      <c r="AQ30" s="567"/>
      <c r="AR30" s="567"/>
      <c r="AS30" s="567"/>
      <c r="AT30" s="568"/>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row>
    <row r="31" spans="1:80">
      <c r="A31" s="71"/>
      <c r="B31" s="537"/>
      <c r="C31" s="537"/>
      <c r="D31" s="538"/>
      <c r="E31" s="578"/>
      <c r="F31" s="579"/>
      <c r="G31" s="579"/>
      <c r="H31" s="579"/>
      <c r="I31" s="579"/>
      <c r="J31" s="615"/>
      <c r="K31" s="613"/>
      <c r="L31" s="613"/>
      <c r="M31" s="613"/>
      <c r="N31" s="613"/>
      <c r="O31" s="614"/>
      <c r="P31" s="605"/>
      <c r="Q31" s="605"/>
      <c r="R31" s="605"/>
      <c r="S31" s="605"/>
      <c r="T31" s="605"/>
      <c r="U31" s="606"/>
      <c r="V31" s="604"/>
      <c r="W31" s="605"/>
      <c r="X31" s="605"/>
      <c r="Y31" s="605"/>
      <c r="Z31" s="605"/>
      <c r="AA31" s="606"/>
      <c r="AB31" s="588"/>
      <c r="AC31" s="584"/>
      <c r="AD31" s="584"/>
      <c r="AE31" s="584"/>
      <c r="AF31" s="584"/>
      <c r="AG31" s="585"/>
      <c r="AH31" s="595"/>
      <c r="AI31" s="596"/>
      <c r="AJ31" s="596"/>
      <c r="AK31" s="596"/>
      <c r="AL31" s="596"/>
      <c r="AM31" s="597"/>
      <c r="AN31" s="71"/>
      <c r="AO31" s="569"/>
      <c r="AP31" s="570"/>
      <c r="AQ31" s="570"/>
      <c r="AR31" s="570"/>
      <c r="AS31" s="570"/>
      <c r="AT31" s="5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row>
    <row r="32" spans="1:80">
      <c r="A32" s="71"/>
      <c r="B32" s="537"/>
      <c r="C32" s="537"/>
      <c r="D32" s="538"/>
      <c r="E32" s="578"/>
      <c r="F32" s="579"/>
      <c r="G32" s="579"/>
      <c r="H32" s="579"/>
      <c r="I32" s="579"/>
      <c r="J32" s="615" t="e">
        <f>IF(AND(' RIESGOS DE GESTION'!#REF!="Baja",' RIESGOS DE GESTION'!#REF!="Leve"),CONCATENATE("R",' RIESGOS DE GESTION'!#REF!),"")</f>
        <v>#REF!</v>
      </c>
      <c r="K32" s="613"/>
      <c r="L32" s="613" t="e">
        <f>IF(AND(' RIESGOS DE GESTION'!#REF!="Baja",' RIESGOS DE GESTION'!#REF!="Leve"),CONCATENATE("R",' RIESGOS DE GESTION'!#REF!),"")</f>
        <v>#REF!</v>
      </c>
      <c r="M32" s="613"/>
      <c r="N32" s="613" t="e">
        <f>IF(AND(' RIESGOS DE GESTION'!#REF!="Baja",' RIESGOS DE GESTION'!#REF!="Leve"),CONCATENATE("R",' RIESGOS DE GESTION'!#REF!),"")</f>
        <v>#REF!</v>
      </c>
      <c r="O32" s="614"/>
      <c r="P32" s="605" t="e">
        <f>IF(AND(' RIESGOS DE GESTION'!#REF!="Baja",' RIESGOS DE GESTION'!#REF!="Menor"),CONCATENATE("R",' RIESGOS DE GESTION'!#REF!),"")</f>
        <v>#REF!</v>
      </c>
      <c r="Q32" s="605"/>
      <c r="R32" s="605" t="e">
        <f>IF(AND(' RIESGOS DE GESTION'!#REF!="Baja",' RIESGOS DE GESTION'!#REF!="Menor"),CONCATENATE("R",' RIESGOS DE GESTION'!#REF!),"")</f>
        <v>#REF!</v>
      </c>
      <c r="S32" s="605"/>
      <c r="T32" s="605" t="e">
        <f>IF(AND(' RIESGOS DE GESTION'!#REF!="Baja",' RIESGOS DE GESTION'!#REF!="Menor"),CONCATENATE("R",' RIESGOS DE GESTION'!#REF!),"")</f>
        <v>#REF!</v>
      </c>
      <c r="U32" s="606"/>
      <c r="V32" s="604" t="e">
        <f>IF(AND(' RIESGOS DE GESTION'!#REF!="Baja",' RIESGOS DE GESTION'!#REF!="Moderado"),CONCATENATE("R",' RIESGOS DE GESTION'!#REF!),"")</f>
        <v>#REF!</v>
      </c>
      <c r="W32" s="605"/>
      <c r="X32" s="605" t="e">
        <f>IF(AND(' RIESGOS DE GESTION'!#REF!="Baja",' RIESGOS DE GESTION'!#REF!="Moderado"),CONCATENATE("R",' RIESGOS DE GESTION'!#REF!),"")</f>
        <v>#REF!</v>
      </c>
      <c r="Y32" s="605"/>
      <c r="Z32" s="605" t="e">
        <f>IF(AND(' RIESGOS DE GESTION'!#REF!="Baja",' RIESGOS DE GESTION'!#REF!="Moderado"),CONCATENATE("R",' RIESGOS DE GESTION'!#REF!),"")</f>
        <v>#REF!</v>
      </c>
      <c r="AA32" s="606"/>
      <c r="AB32" s="588" t="e">
        <f>IF(AND(' RIESGOS DE GESTION'!#REF!="Baja",' RIESGOS DE GESTION'!#REF!="Mayor"),CONCATENATE("R",' RIESGOS DE GESTION'!#REF!),"")</f>
        <v>#REF!</v>
      </c>
      <c r="AC32" s="584"/>
      <c r="AD32" s="584" t="e">
        <f>IF(AND(' RIESGOS DE GESTION'!#REF!="Baja",' RIESGOS DE GESTION'!#REF!="Mayor"),CONCATENATE("R",' RIESGOS DE GESTION'!#REF!),"")</f>
        <v>#REF!</v>
      </c>
      <c r="AE32" s="584"/>
      <c r="AF32" s="584" t="e">
        <f>IF(AND(' RIESGOS DE GESTION'!#REF!="Baja",' RIESGOS DE GESTION'!#REF!="Mayor"),CONCATENATE("R",' RIESGOS DE GESTION'!#REF!),"")</f>
        <v>#REF!</v>
      </c>
      <c r="AG32" s="585"/>
      <c r="AH32" s="595" t="e">
        <f>IF(AND(' RIESGOS DE GESTION'!#REF!="Baja",' RIESGOS DE GESTION'!#REF!="Catastrófico"),CONCATENATE("R",' RIESGOS DE GESTION'!#REF!),"")</f>
        <v>#REF!</v>
      </c>
      <c r="AI32" s="596"/>
      <c r="AJ32" s="596" t="e">
        <f>IF(AND(' RIESGOS DE GESTION'!#REF!="Baja",' RIESGOS DE GESTION'!#REF!="Catastrófico"),CONCATENATE("R",' RIESGOS DE GESTION'!#REF!),"")</f>
        <v>#REF!</v>
      </c>
      <c r="AK32" s="596"/>
      <c r="AL32" s="596" t="e">
        <f>IF(AND(' RIESGOS DE GESTION'!#REF!="Baja",' RIESGOS DE GESTION'!#REF!="Catastrófico"),CONCATENATE("R",' RIESGOS DE GESTION'!#REF!),"")</f>
        <v>#REF!</v>
      </c>
      <c r="AM32" s="597"/>
      <c r="AN32" s="71"/>
      <c r="AO32" s="569"/>
      <c r="AP32" s="570"/>
      <c r="AQ32" s="570"/>
      <c r="AR32" s="570"/>
      <c r="AS32" s="570"/>
      <c r="AT32" s="5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row>
    <row r="33" spans="1:80">
      <c r="A33" s="71"/>
      <c r="B33" s="537"/>
      <c r="C33" s="537"/>
      <c r="D33" s="538"/>
      <c r="E33" s="578"/>
      <c r="F33" s="579"/>
      <c r="G33" s="579"/>
      <c r="H33" s="579"/>
      <c r="I33" s="579"/>
      <c r="J33" s="615"/>
      <c r="K33" s="613"/>
      <c r="L33" s="613"/>
      <c r="M33" s="613"/>
      <c r="N33" s="613"/>
      <c r="O33" s="614"/>
      <c r="P33" s="605"/>
      <c r="Q33" s="605"/>
      <c r="R33" s="605"/>
      <c r="S33" s="605"/>
      <c r="T33" s="605"/>
      <c r="U33" s="606"/>
      <c r="V33" s="604"/>
      <c r="W33" s="605"/>
      <c r="X33" s="605"/>
      <c r="Y33" s="605"/>
      <c r="Z33" s="605"/>
      <c r="AA33" s="606"/>
      <c r="AB33" s="588"/>
      <c r="AC33" s="584"/>
      <c r="AD33" s="584"/>
      <c r="AE33" s="584"/>
      <c r="AF33" s="584"/>
      <c r="AG33" s="585"/>
      <c r="AH33" s="595"/>
      <c r="AI33" s="596"/>
      <c r="AJ33" s="596"/>
      <c r="AK33" s="596"/>
      <c r="AL33" s="596"/>
      <c r="AM33" s="597"/>
      <c r="AN33" s="71"/>
      <c r="AO33" s="569"/>
      <c r="AP33" s="570"/>
      <c r="AQ33" s="570"/>
      <c r="AR33" s="570"/>
      <c r="AS33" s="570"/>
      <c r="AT33" s="5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row>
    <row r="34" spans="1:80">
      <c r="A34" s="71"/>
      <c r="B34" s="537"/>
      <c r="C34" s="537"/>
      <c r="D34" s="538"/>
      <c r="E34" s="578"/>
      <c r="F34" s="579"/>
      <c r="G34" s="579"/>
      <c r="H34" s="579"/>
      <c r="I34" s="579"/>
      <c r="J34" s="615" t="e">
        <f>IF(AND(' RIESGOS DE GESTION'!#REF!="Baja",' RIESGOS DE GESTION'!#REF!="Leve"),CONCATENATE("R",' RIESGOS DE GESTION'!#REF!),"")</f>
        <v>#REF!</v>
      </c>
      <c r="K34" s="613"/>
      <c r="L34" s="613" t="e">
        <f>IF(AND(' RIESGOS DE GESTION'!#REF!="Baja",' RIESGOS DE GESTION'!#REF!="Leve"),CONCATENATE("R",' RIESGOS DE GESTION'!#REF!),"")</f>
        <v>#REF!</v>
      </c>
      <c r="M34" s="613"/>
      <c r="N34" s="613" t="e">
        <f>IF(AND(' RIESGOS DE GESTION'!#REF!="Baja",' RIESGOS DE GESTION'!#REF!="Leve"),CONCATENATE("R",' RIESGOS DE GESTION'!#REF!),"")</f>
        <v>#REF!</v>
      </c>
      <c r="O34" s="614"/>
      <c r="P34" s="605" t="e">
        <f>IF(AND(' RIESGOS DE GESTION'!#REF!="Baja",' RIESGOS DE GESTION'!#REF!="Menor"),CONCATENATE("R",' RIESGOS DE GESTION'!#REF!),"")</f>
        <v>#REF!</v>
      </c>
      <c r="Q34" s="605"/>
      <c r="R34" s="605" t="e">
        <f>IF(AND(' RIESGOS DE GESTION'!#REF!="Baja",' RIESGOS DE GESTION'!#REF!="Menor"),CONCATENATE("R",' RIESGOS DE GESTION'!#REF!),"")</f>
        <v>#REF!</v>
      </c>
      <c r="S34" s="605"/>
      <c r="T34" s="605" t="e">
        <f>IF(AND(' RIESGOS DE GESTION'!#REF!="Baja",' RIESGOS DE GESTION'!#REF!="Menor"),CONCATENATE("R",' RIESGOS DE GESTION'!#REF!),"")</f>
        <v>#REF!</v>
      </c>
      <c r="U34" s="606"/>
      <c r="V34" s="604" t="e">
        <f>IF(AND(' RIESGOS DE GESTION'!#REF!="Baja",' RIESGOS DE GESTION'!#REF!="Moderado"),CONCATENATE("R",' RIESGOS DE GESTION'!#REF!),"")</f>
        <v>#REF!</v>
      </c>
      <c r="W34" s="605"/>
      <c r="X34" s="605" t="e">
        <f>IF(AND(' RIESGOS DE GESTION'!#REF!="Baja",' RIESGOS DE GESTION'!#REF!="Moderado"),CONCATENATE("R",' RIESGOS DE GESTION'!#REF!),"")</f>
        <v>#REF!</v>
      </c>
      <c r="Y34" s="605"/>
      <c r="Z34" s="605" t="e">
        <f>IF(AND(' RIESGOS DE GESTION'!#REF!="Baja",' RIESGOS DE GESTION'!#REF!="Moderado"),CONCATENATE("R",' RIESGOS DE GESTION'!#REF!),"")</f>
        <v>#REF!</v>
      </c>
      <c r="AA34" s="606"/>
      <c r="AB34" s="588" t="e">
        <f>IF(AND(' RIESGOS DE GESTION'!#REF!="Baja",' RIESGOS DE GESTION'!#REF!="Mayor"),CONCATENATE("R",' RIESGOS DE GESTION'!#REF!),"")</f>
        <v>#REF!</v>
      </c>
      <c r="AC34" s="584"/>
      <c r="AD34" s="584" t="e">
        <f>IF(AND(' RIESGOS DE GESTION'!#REF!="Baja",' RIESGOS DE GESTION'!#REF!="Mayor"),CONCATENATE("R",' RIESGOS DE GESTION'!#REF!),"")</f>
        <v>#REF!</v>
      </c>
      <c r="AE34" s="584"/>
      <c r="AF34" s="584" t="e">
        <f>IF(AND(' RIESGOS DE GESTION'!#REF!="Baja",' RIESGOS DE GESTION'!#REF!="Mayor"),CONCATENATE("R",' RIESGOS DE GESTION'!#REF!),"")</f>
        <v>#REF!</v>
      </c>
      <c r="AG34" s="585"/>
      <c r="AH34" s="595" t="e">
        <f>IF(AND(' RIESGOS DE GESTION'!#REF!="Baja",' RIESGOS DE GESTION'!#REF!="Catastrófico"),CONCATENATE("R",' RIESGOS DE GESTION'!#REF!),"")</f>
        <v>#REF!</v>
      </c>
      <c r="AI34" s="596"/>
      <c r="AJ34" s="596" t="e">
        <f>IF(AND(' RIESGOS DE GESTION'!#REF!="Baja",' RIESGOS DE GESTION'!#REF!="Catastrófico"),CONCATENATE("R",' RIESGOS DE GESTION'!#REF!),"")</f>
        <v>#REF!</v>
      </c>
      <c r="AK34" s="596"/>
      <c r="AL34" s="596" t="e">
        <f>IF(AND(' RIESGOS DE GESTION'!#REF!="Baja",' RIESGOS DE GESTION'!#REF!="Catastrófico"),CONCATENATE("R",' RIESGOS DE GESTION'!#REF!),"")</f>
        <v>#REF!</v>
      </c>
      <c r="AM34" s="597"/>
      <c r="AN34" s="71"/>
      <c r="AO34" s="569"/>
      <c r="AP34" s="570"/>
      <c r="AQ34" s="570"/>
      <c r="AR34" s="570"/>
      <c r="AS34" s="570"/>
      <c r="AT34" s="5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row>
    <row r="35" spans="1:80">
      <c r="A35" s="71"/>
      <c r="B35" s="537"/>
      <c r="C35" s="537"/>
      <c r="D35" s="538"/>
      <c r="E35" s="578"/>
      <c r="F35" s="579"/>
      <c r="G35" s="579"/>
      <c r="H35" s="579"/>
      <c r="I35" s="579"/>
      <c r="J35" s="615"/>
      <c r="K35" s="613"/>
      <c r="L35" s="613"/>
      <c r="M35" s="613"/>
      <c r="N35" s="613"/>
      <c r="O35" s="614"/>
      <c r="P35" s="605"/>
      <c r="Q35" s="605"/>
      <c r="R35" s="605"/>
      <c r="S35" s="605"/>
      <c r="T35" s="605"/>
      <c r="U35" s="606"/>
      <c r="V35" s="604"/>
      <c r="W35" s="605"/>
      <c r="X35" s="605"/>
      <c r="Y35" s="605"/>
      <c r="Z35" s="605"/>
      <c r="AA35" s="606"/>
      <c r="AB35" s="588"/>
      <c r="AC35" s="584"/>
      <c r="AD35" s="584"/>
      <c r="AE35" s="584"/>
      <c r="AF35" s="584"/>
      <c r="AG35" s="585"/>
      <c r="AH35" s="595"/>
      <c r="AI35" s="596"/>
      <c r="AJ35" s="596"/>
      <c r="AK35" s="596"/>
      <c r="AL35" s="596"/>
      <c r="AM35" s="597"/>
      <c r="AN35" s="71"/>
      <c r="AO35" s="569"/>
      <c r="AP35" s="570"/>
      <c r="AQ35" s="570"/>
      <c r="AR35" s="570"/>
      <c r="AS35" s="570"/>
      <c r="AT35" s="5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row>
    <row r="36" spans="1:80">
      <c r="A36" s="71"/>
      <c r="B36" s="537"/>
      <c r="C36" s="537"/>
      <c r="D36" s="538"/>
      <c r="E36" s="578"/>
      <c r="F36" s="579"/>
      <c r="G36" s="579"/>
      <c r="H36" s="579"/>
      <c r="I36" s="579"/>
      <c r="J36" s="615" t="e">
        <f>IF(AND(' RIESGOS DE GESTION'!#REF!="Baja",' RIESGOS DE GESTION'!#REF!="Leve"),CONCATENATE("R",' RIESGOS DE GESTION'!#REF!),"")</f>
        <v>#REF!</v>
      </c>
      <c r="K36" s="613"/>
      <c r="L36" s="613" t="e">
        <f>IF(AND(' RIESGOS DE GESTION'!#REF!="Baja",' RIESGOS DE GESTION'!#REF!="Leve"),CONCATENATE("R",' RIESGOS DE GESTION'!#REF!),"")</f>
        <v>#REF!</v>
      </c>
      <c r="M36" s="613"/>
      <c r="N36" s="613" t="e">
        <f>IF(AND(' RIESGOS DE GESTION'!#REF!="Baja",' RIESGOS DE GESTION'!#REF!="Leve"),CONCATENATE("R",' RIESGOS DE GESTION'!#REF!),"")</f>
        <v>#REF!</v>
      </c>
      <c r="O36" s="614"/>
      <c r="P36" s="605" t="e">
        <f>IF(AND(' RIESGOS DE GESTION'!#REF!="Baja",' RIESGOS DE GESTION'!#REF!="Menor"),CONCATENATE("R",' RIESGOS DE GESTION'!#REF!),"")</f>
        <v>#REF!</v>
      </c>
      <c r="Q36" s="605"/>
      <c r="R36" s="605" t="e">
        <f>IF(AND(' RIESGOS DE GESTION'!#REF!="Baja",' RIESGOS DE GESTION'!#REF!="Menor"),CONCATENATE("R",' RIESGOS DE GESTION'!#REF!),"")</f>
        <v>#REF!</v>
      </c>
      <c r="S36" s="605"/>
      <c r="T36" s="605" t="e">
        <f>IF(AND(' RIESGOS DE GESTION'!#REF!="Baja",' RIESGOS DE GESTION'!#REF!="Menor"),CONCATENATE("R",' RIESGOS DE GESTION'!#REF!),"")</f>
        <v>#REF!</v>
      </c>
      <c r="U36" s="606"/>
      <c r="V36" s="604" t="e">
        <f>IF(AND(' RIESGOS DE GESTION'!#REF!="Baja",' RIESGOS DE GESTION'!#REF!="Moderado"),CONCATENATE("R",' RIESGOS DE GESTION'!#REF!),"")</f>
        <v>#REF!</v>
      </c>
      <c r="W36" s="605"/>
      <c r="X36" s="605" t="e">
        <f>IF(AND(' RIESGOS DE GESTION'!#REF!="Baja",' RIESGOS DE GESTION'!#REF!="Moderado"),CONCATENATE("R",' RIESGOS DE GESTION'!#REF!),"")</f>
        <v>#REF!</v>
      </c>
      <c r="Y36" s="605"/>
      <c r="Z36" s="605" t="e">
        <f>IF(AND(' RIESGOS DE GESTION'!#REF!="Baja",' RIESGOS DE GESTION'!#REF!="Moderado"),CONCATENATE("R",' RIESGOS DE GESTION'!#REF!),"")</f>
        <v>#REF!</v>
      </c>
      <c r="AA36" s="606"/>
      <c r="AB36" s="588" t="e">
        <f>IF(AND(' RIESGOS DE GESTION'!#REF!="Baja",' RIESGOS DE GESTION'!#REF!="Mayor"),CONCATENATE("R",' RIESGOS DE GESTION'!#REF!),"")</f>
        <v>#REF!</v>
      </c>
      <c r="AC36" s="584"/>
      <c r="AD36" s="584" t="e">
        <f>IF(AND(' RIESGOS DE GESTION'!#REF!="Baja",' RIESGOS DE GESTION'!#REF!="Mayor"),CONCATENATE("R",' RIESGOS DE GESTION'!#REF!),"")</f>
        <v>#REF!</v>
      </c>
      <c r="AE36" s="584"/>
      <c r="AF36" s="584" t="e">
        <f>IF(AND(' RIESGOS DE GESTION'!#REF!="Baja",' RIESGOS DE GESTION'!#REF!="Mayor"),CONCATENATE("R",' RIESGOS DE GESTION'!#REF!),"")</f>
        <v>#REF!</v>
      </c>
      <c r="AG36" s="585"/>
      <c r="AH36" s="595" t="e">
        <f>IF(AND(' RIESGOS DE GESTION'!#REF!="Baja",' RIESGOS DE GESTION'!#REF!="Catastrófico"),CONCATENATE("R",' RIESGOS DE GESTION'!#REF!),"")</f>
        <v>#REF!</v>
      </c>
      <c r="AI36" s="596"/>
      <c r="AJ36" s="596" t="e">
        <f>IF(AND(' RIESGOS DE GESTION'!#REF!="Baja",' RIESGOS DE GESTION'!#REF!="Catastrófico"),CONCATENATE("R",' RIESGOS DE GESTION'!#REF!),"")</f>
        <v>#REF!</v>
      </c>
      <c r="AK36" s="596"/>
      <c r="AL36" s="596" t="e">
        <f>IF(AND(' RIESGOS DE GESTION'!#REF!="Baja",' RIESGOS DE GESTION'!#REF!="Catastrófico"),CONCATENATE("R",' RIESGOS DE GESTION'!#REF!),"")</f>
        <v>#REF!</v>
      </c>
      <c r="AM36" s="597"/>
      <c r="AN36" s="71"/>
      <c r="AO36" s="569"/>
      <c r="AP36" s="570"/>
      <c r="AQ36" s="570"/>
      <c r="AR36" s="570"/>
      <c r="AS36" s="570"/>
      <c r="AT36" s="5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row>
    <row r="37" spans="1:80" ht="15.75" thickBot="1">
      <c r="A37" s="71"/>
      <c r="B37" s="537"/>
      <c r="C37" s="537"/>
      <c r="D37" s="538"/>
      <c r="E37" s="581"/>
      <c r="F37" s="582"/>
      <c r="G37" s="582"/>
      <c r="H37" s="582"/>
      <c r="I37" s="582"/>
      <c r="J37" s="616"/>
      <c r="K37" s="617"/>
      <c r="L37" s="617"/>
      <c r="M37" s="617"/>
      <c r="N37" s="617"/>
      <c r="O37" s="618"/>
      <c r="P37" s="608"/>
      <c r="Q37" s="608"/>
      <c r="R37" s="608"/>
      <c r="S37" s="608"/>
      <c r="T37" s="608"/>
      <c r="U37" s="609"/>
      <c r="V37" s="607"/>
      <c r="W37" s="608"/>
      <c r="X37" s="608"/>
      <c r="Y37" s="608"/>
      <c r="Z37" s="608"/>
      <c r="AA37" s="609"/>
      <c r="AB37" s="592"/>
      <c r="AC37" s="593"/>
      <c r="AD37" s="593"/>
      <c r="AE37" s="593"/>
      <c r="AF37" s="593"/>
      <c r="AG37" s="594"/>
      <c r="AH37" s="598"/>
      <c r="AI37" s="599"/>
      <c r="AJ37" s="599"/>
      <c r="AK37" s="599"/>
      <c r="AL37" s="599"/>
      <c r="AM37" s="600"/>
      <c r="AN37" s="71"/>
      <c r="AO37" s="572"/>
      <c r="AP37" s="573"/>
      <c r="AQ37" s="573"/>
      <c r="AR37" s="573"/>
      <c r="AS37" s="573"/>
      <c r="AT37" s="574"/>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row>
    <row r="38" spans="1:80">
      <c r="A38" s="71"/>
      <c r="B38" s="537"/>
      <c r="C38" s="537"/>
      <c r="D38" s="538"/>
      <c r="E38" s="575" t="s">
        <v>571</v>
      </c>
      <c r="F38" s="576"/>
      <c r="G38" s="576"/>
      <c r="H38" s="576"/>
      <c r="I38" s="577"/>
      <c r="J38" s="619" t="e">
        <f>IF(AND(' RIESGOS DE GESTION'!#REF!="Muy Baja",' RIESGOS DE GESTION'!#REF!="Leve"),CONCATENATE("R",' RIESGOS DE GESTION'!#REF!),"")</f>
        <v>#REF!</v>
      </c>
      <c r="K38" s="620"/>
      <c r="L38" s="620" t="e">
        <f>IF(AND(' RIESGOS DE GESTION'!#REF!="Muy Baja",' RIESGOS DE GESTION'!#REF!="Leve"),CONCATENATE("R",' RIESGOS DE GESTION'!#REF!),"")</f>
        <v>#REF!</v>
      </c>
      <c r="M38" s="620"/>
      <c r="N38" s="620" t="e">
        <f>IF(AND(' RIESGOS DE GESTION'!#REF!="Muy Baja",' RIESGOS DE GESTION'!#REF!="Leve"),CONCATENATE("R",' RIESGOS DE GESTION'!#REF!),"")</f>
        <v>#REF!</v>
      </c>
      <c r="O38" s="621"/>
      <c r="P38" s="619" t="e">
        <f>IF(AND(' RIESGOS DE GESTION'!#REF!="Muy Baja",' RIESGOS DE GESTION'!#REF!="Menor"),CONCATENATE("R",' RIESGOS DE GESTION'!#REF!),"")</f>
        <v>#REF!</v>
      </c>
      <c r="Q38" s="620"/>
      <c r="R38" s="620" t="e">
        <f>IF(AND(' RIESGOS DE GESTION'!#REF!="Muy Baja",' RIESGOS DE GESTION'!#REF!="Menor"),CONCATENATE("R",' RIESGOS DE GESTION'!#REF!),"")</f>
        <v>#REF!</v>
      </c>
      <c r="S38" s="620"/>
      <c r="T38" s="620" t="e">
        <f>IF(AND(' RIESGOS DE GESTION'!#REF!="Muy Baja",' RIESGOS DE GESTION'!#REF!="Menor"),CONCATENATE("R",' RIESGOS DE GESTION'!#REF!),"")</f>
        <v>#REF!</v>
      </c>
      <c r="U38" s="621"/>
      <c r="V38" s="610" t="e">
        <f>IF(AND(' RIESGOS DE GESTION'!#REF!="Muy Baja",' RIESGOS DE GESTION'!#REF!="Moderado"),CONCATENATE("R",' RIESGOS DE GESTION'!#REF!),"")</f>
        <v>#REF!</v>
      </c>
      <c r="W38" s="611"/>
      <c r="X38" s="611" t="e">
        <f>IF(AND(' RIESGOS DE GESTION'!#REF!="Muy Baja",' RIESGOS DE GESTION'!#REF!="Moderado"),CONCATENATE("R",' RIESGOS DE GESTION'!#REF!),"")</f>
        <v>#REF!</v>
      </c>
      <c r="Y38" s="611"/>
      <c r="Z38" s="611" t="e">
        <f>IF(AND(' RIESGOS DE GESTION'!#REF!="Muy Baja",' RIESGOS DE GESTION'!#REF!="Moderado"),CONCATENATE("R",' RIESGOS DE GESTION'!#REF!),"")</f>
        <v>#REF!</v>
      </c>
      <c r="AA38" s="612"/>
      <c r="AB38" s="586" t="e">
        <f>IF(AND(' RIESGOS DE GESTION'!#REF!="Muy Baja",' RIESGOS DE GESTION'!#REF!="Mayor"),CONCATENATE("R",' RIESGOS DE GESTION'!#REF!),"")</f>
        <v>#REF!</v>
      </c>
      <c r="AC38" s="587"/>
      <c r="AD38" s="587" t="e">
        <f>IF(AND(' RIESGOS DE GESTION'!#REF!="Muy Baja",' RIESGOS DE GESTION'!#REF!="Mayor"),CONCATENATE("R",' RIESGOS DE GESTION'!#REF!),"")</f>
        <v>#REF!</v>
      </c>
      <c r="AE38" s="587"/>
      <c r="AF38" s="587" t="e">
        <f>IF(AND(' RIESGOS DE GESTION'!#REF!="Muy Baja",' RIESGOS DE GESTION'!#REF!="Mayor"),CONCATENATE("R",' RIESGOS DE GESTION'!#REF!),"")</f>
        <v>#REF!</v>
      </c>
      <c r="AG38" s="589"/>
      <c r="AH38" s="601" t="e">
        <f>IF(AND(' RIESGOS DE GESTION'!#REF!="Muy Baja",' RIESGOS DE GESTION'!#REF!="Catastrófico"),CONCATENATE("R",' RIESGOS DE GESTION'!#REF!),"")</f>
        <v>#REF!</v>
      </c>
      <c r="AI38" s="602"/>
      <c r="AJ38" s="602" t="e">
        <f>IF(AND(' RIESGOS DE GESTION'!#REF!="Muy Baja",' RIESGOS DE GESTION'!#REF!="Catastrófico"),CONCATENATE("R",' RIESGOS DE GESTION'!#REF!),"")</f>
        <v>#REF!</v>
      </c>
      <c r="AK38" s="602"/>
      <c r="AL38" s="602" t="e">
        <f>IF(AND(' RIESGOS DE GESTION'!#REF!="Muy Baja",' RIESGOS DE GESTION'!#REF!="Catastrófico"),CONCATENATE("R",' RIESGOS DE GESTION'!#REF!),"")</f>
        <v>#REF!</v>
      </c>
      <c r="AM38" s="603"/>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row>
    <row r="39" spans="1:80">
      <c r="A39" s="71"/>
      <c r="B39" s="537"/>
      <c r="C39" s="537"/>
      <c r="D39" s="538"/>
      <c r="E39" s="578"/>
      <c r="F39" s="579"/>
      <c r="G39" s="579"/>
      <c r="H39" s="579"/>
      <c r="I39" s="580"/>
      <c r="J39" s="615"/>
      <c r="K39" s="613"/>
      <c r="L39" s="613"/>
      <c r="M39" s="613"/>
      <c r="N39" s="613"/>
      <c r="O39" s="614"/>
      <c r="P39" s="615"/>
      <c r="Q39" s="613"/>
      <c r="R39" s="613"/>
      <c r="S39" s="613"/>
      <c r="T39" s="613"/>
      <c r="U39" s="614"/>
      <c r="V39" s="604"/>
      <c r="W39" s="605"/>
      <c r="X39" s="605"/>
      <c r="Y39" s="605"/>
      <c r="Z39" s="605"/>
      <c r="AA39" s="606"/>
      <c r="AB39" s="588"/>
      <c r="AC39" s="584"/>
      <c r="AD39" s="584"/>
      <c r="AE39" s="584"/>
      <c r="AF39" s="584"/>
      <c r="AG39" s="585"/>
      <c r="AH39" s="595"/>
      <c r="AI39" s="596"/>
      <c r="AJ39" s="596"/>
      <c r="AK39" s="596"/>
      <c r="AL39" s="596"/>
      <c r="AM39" s="597"/>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row>
    <row r="40" spans="1:80">
      <c r="A40" s="71"/>
      <c r="B40" s="537"/>
      <c r="C40" s="537"/>
      <c r="D40" s="538"/>
      <c r="E40" s="578"/>
      <c r="F40" s="579"/>
      <c r="G40" s="579"/>
      <c r="H40" s="579"/>
      <c r="I40" s="580"/>
      <c r="J40" s="615" t="e">
        <f>IF(AND(' RIESGOS DE GESTION'!#REF!="Muy Baja",' RIESGOS DE GESTION'!#REF!="Leve"),CONCATENATE("R",' RIESGOS DE GESTION'!#REF!),"")</f>
        <v>#REF!</v>
      </c>
      <c r="K40" s="613"/>
      <c r="L40" s="613" t="e">
        <f>IF(AND(' RIESGOS DE GESTION'!#REF!="Muy Baja",' RIESGOS DE GESTION'!#REF!="Leve"),CONCATENATE("R",' RIESGOS DE GESTION'!#REF!),"")</f>
        <v>#REF!</v>
      </c>
      <c r="M40" s="613"/>
      <c r="N40" s="613" t="e">
        <f>IF(AND(' RIESGOS DE GESTION'!#REF!="Muy Baja",' RIESGOS DE GESTION'!#REF!="Leve"),CONCATENATE("R",' RIESGOS DE GESTION'!#REF!),"")</f>
        <v>#REF!</v>
      </c>
      <c r="O40" s="614"/>
      <c r="P40" s="615" t="e">
        <f>IF(AND(' RIESGOS DE GESTION'!#REF!="Muy Baja",' RIESGOS DE GESTION'!#REF!="Menor"),CONCATENATE("R",' RIESGOS DE GESTION'!#REF!),"")</f>
        <v>#REF!</v>
      </c>
      <c r="Q40" s="613"/>
      <c r="R40" s="613" t="e">
        <f>IF(AND(' RIESGOS DE GESTION'!#REF!="Muy Baja",' RIESGOS DE GESTION'!#REF!="Menor"),CONCATENATE("R",' RIESGOS DE GESTION'!#REF!),"")</f>
        <v>#REF!</v>
      </c>
      <c r="S40" s="613"/>
      <c r="T40" s="613" t="e">
        <f>IF(AND(' RIESGOS DE GESTION'!#REF!="Muy Baja",' RIESGOS DE GESTION'!#REF!="Menor"),CONCATENATE("R",' RIESGOS DE GESTION'!#REF!),"")</f>
        <v>#REF!</v>
      </c>
      <c r="U40" s="614"/>
      <c r="V40" s="604" t="e">
        <f>IF(AND(' RIESGOS DE GESTION'!#REF!="Muy Baja",' RIESGOS DE GESTION'!#REF!="Moderado"),CONCATENATE("R",' RIESGOS DE GESTION'!#REF!),"")</f>
        <v>#REF!</v>
      </c>
      <c r="W40" s="605"/>
      <c r="X40" s="605" t="e">
        <f>IF(AND(' RIESGOS DE GESTION'!#REF!="Muy Baja",' RIESGOS DE GESTION'!#REF!="Moderado"),CONCATENATE("R",' RIESGOS DE GESTION'!#REF!),"")</f>
        <v>#REF!</v>
      </c>
      <c r="Y40" s="605"/>
      <c r="Z40" s="605" t="e">
        <f>IF(AND(' RIESGOS DE GESTION'!#REF!="Muy Baja",' RIESGOS DE GESTION'!#REF!="Moderado"),CONCATENATE("R",' RIESGOS DE GESTION'!#REF!),"")</f>
        <v>#REF!</v>
      </c>
      <c r="AA40" s="606"/>
      <c r="AB40" s="588" t="e">
        <f>IF(AND(' RIESGOS DE GESTION'!#REF!="Muy Baja",' RIESGOS DE GESTION'!#REF!="Mayor"),CONCATENATE("R",' RIESGOS DE GESTION'!#REF!),"")</f>
        <v>#REF!</v>
      </c>
      <c r="AC40" s="584"/>
      <c r="AD40" s="584" t="e">
        <f>IF(AND(' RIESGOS DE GESTION'!#REF!="Muy Baja",' RIESGOS DE GESTION'!#REF!="Mayor"),CONCATENATE("R",' RIESGOS DE GESTION'!#REF!),"")</f>
        <v>#REF!</v>
      </c>
      <c r="AE40" s="584"/>
      <c r="AF40" s="584" t="e">
        <f>IF(AND(' RIESGOS DE GESTION'!#REF!="Muy Baja",' RIESGOS DE GESTION'!#REF!="Mayor"),CONCATENATE("R",' RIESGOS DE GESTION'!#REF!),"")</f>
        <v>#REF!</v>
      </c>
      <c r="AG40" s="585"/>
      <c r="AH40" s="595" t="e">
        <f>IF(AND(' RIESGOS DE GESTION'!#REF!="Muy Baja",' RIESGOS DE GESTION'!#REF!="Catastrófico"),CONCATENATE("R",' RIESGOS DE GESTION'!#REF!),"")</f>
        <v>#REF!</v>
      </c>
      <c r="AI40" s="596"/>
      <c r="AJ40" s="596" t="e">
        <f>IF(AND(' RIESGOS DE GESTION'!#REF!="Muy Baja",' RIESGOS DE GESTION'!#REF!="Catastrófico"),CONCATENATE("R",' RIESGOS DE GESTION'!#REF!),"")</f>
        <v>#REF!</v>
      </c>
      <c r="AK40" s="596"/>
      <c r="AL40" s="596" t="e">
        <f>IF(AND(' RIESGOS DE GESTION'!#REF!="Muy Baja",' RIESGOS DE GESTION'!#REF!="Catastrófico"),CONCATENATE("R",' RIESGOS DE GESTION'!#REF!),"")</f>
        <v>#REF!</v>
      </c>
      <c r="AM40" s="597"/>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row>
    <row r="41" spans="1:80">
      <c r="A41" s="71"/>
      <c r="B41" s="537"/>
      <c r="C41" s="537"/>
      <c r="D41" s="538"/>
      <c r="E41" s="578"/>
      <c r="F41" s="579"/>
      <c r="G41" s="579"/>
      <c r="H41" s="579"/>
      <c r="I41" s="580"/>
      <c r="J41" s="615"/>
      <c r="K41" s="613"/>
      <c r="L41" s="613"/>
      <c r="M41" s="613"/>
      <c r="N41" s="613"/>
      <c r="O41" s="614"/>
      <c r="P41" s="615"/>
      <c r="Q41" s="613"/>
      <c r="R41" s="613"/>
      <c r="S41" s="613"/>
      <c r="T41" s="613"/>
      <c r="U41" s="614"/>
      <c r="V41" s="604"/>
      <c r="W41" s="605"/>
      <c r="X41" s="605"/>
      <c r="Y41" s="605"/>
      <c r="Z41" s="605"/>
      <c r="AA41" s="606"/>
      <c r="AB41" s="588"/>
      <c r="AC41" s="584"/>
      <c r="AD41" s="584"/>
      <c r="AE41" s="584"/>
      <c r="AF41" s="584"/>
      <c r="AG41" s="585"/>
      <c r="AH41" s="595"/>
      <c r="AI41" s="596"/>
      <c r="AJ41" s="596"/>
      <c r="AK41" s="596"/>
      <c r="AL41" s="596"/>
      <c r="AM41" s="597"/>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row>
    <row r="42" spans="1:80">
      <c r="A42" s="71"/>
      <c r="B42" s="537"/>
      <c r="C42" s="537"/>
      <c r="D42" s="538"/>
      <c r="E42" s="578"/>
      <c r="F42" s="579"/>
      <c r="G42" s="579"/>
      <c r="H42" s="579"/>
      <c r="I42" s="580"/>
      <c r="J42" s="615" t="e">
        <f>IF(AND(' RIESGOS DE GESTION'!#REF!="Muy Baja",' RIESGOS DE GESTION'!#REF!="Leve"),CONCATENATE("R",' RIESGOS DE GESTION'!#REF!),"")</f>
        <v>#REF!</v>
      </c>
      <c r="K42" s="613"/>
      <c r="L42" s="613" t="e">
        <f>IF(AND(' RIESGOS DE GESTION'!#REF!="Muy Baja",' RIESGOS DE GESTION'!#REF!="Leve"),CONCATENATE("R",' RIESGOS DE GESTION'!#REF!),"")</f>
        <v>#REF!</v>
      </c>
      <c r="M42" s="613"/>
      <c r="N42" s="613" t="e">
        <f>IF(AND(' RIESGOS DE GESTION'!#REF!="Muy Baja",' RIESGOS DE GESTION'!#REF!="Leve"),CONCATENATE("R",' RIESGOS DE GESTION'!#REF!),"")</f>
        <v>#REF!</v>
      </c>
      <c r="O42" s="614"/>
      <c r="P42" s="615" t="e">
        <f>IF(AND(' RIESGOS DE GESTION'!#REF!="Muy Baja",' RIESGOS DE GESTION'!#REF!="Menor"),CONCATENATE("R",' RIESGOS DE GESTION'!#REF!),"")</f>
        <v>#REF!</v>
      </c>
      <c r="Q42" s="613"/>
      <c r="R42" s="613" t="e">
        <f>IF(AND(' RIESGOS DE GESTION'!#REF!="Muy Baja",' RIESGOS DE GESTION'!#REF!="Menor"),CONCATENATE("R",' RIESGOS DE GESTION'!#REF!),"")</f>
        <v>#REF!</v>
      </c>
      <c r="S42" s="613"/>
      <c r="T42" s="613" t="e">
        <f>IF(AND(' RIESGOS DE GESTION'!#REF!="Muy Baja",' RIESGOS DE GESTION'!#REF!="Menor"),CONCATENATE("R",' RIESGOS DE GESTION'!#REF!),"")</f>
        <v>#REF!</v>
      </c>
      <c r="U42" s="614"/>
      <c r="V42" s="604" t="e">
        <f>IF(AND(' RIESGOS DE GESTION'!#REF!="Muy Baja",' RIESGOS DE GESTION'!#REF!="Moderado"),CONCATENATE("R",' RIESGOS DE GESTION'!#REF!),"")</f>
        <v>#REF!</v>
      </c>
      <c r="W42" s="605"/>
      <c r="X42" s="605" t="e">
        <f>IF(AND(' RIESGOS DE GESTION'!#REF!="Muy Baja",' RIESGOS DE GESTION'!#REF!="Moderado"),CONCATENATE("R",' RIESGOS DE GESTION'!#REF!),"")</f>
        <v>#REF!</v>
      </c>
      <c r="Y42" s="605"/>
      <c r="Z42" s="605" t="e">
        <f>IF(AND(' RIESGOS DE GESTION'!#REF!="Muy Baja",' RIESGOS DE GESTION'!#REF!="Moderado"),CONCATENATE("R",' RIESGOS DE GESTION'!#REF!),"")</f>
        <v>#REF!</v>
      </c>
      <c r="AA42" s="606"/>
      <c r="AB42" s="588" t="e">
        <f>IF(AND(' RIESGOS DE GESTION'!#REF!="Muy Baja",' RIESGOS DE GESTION'!#REF!="Mayor"),CONCATENATE("R",' RIESGOS DE GESTION'!#REF!),"")</f>
        <v>#REF!</v>
      </c>
      <c r="AC42" s="584"/>
      <c r="AD42" s="584" t="e">
        <f>IF(AND(' RIESGOS DE GESTION'!#REF!="Muy Baja",' RIESGOS DE GESTION'!#REF!="Mayor"),CONCATENATE("R",' RIESGOS DE GESTION'!#REF!),"")</f>
        <v>#REF!</v>
      </c>
      <c r="AE42" s="584"/>
      <c r="AF42" s="584" t="e">
        <f>IF(AND(' RIESGOS DE GESTION'!#REF!="Muy Baja",' RIESGOS DE GESTION'!#REF!="Mayor"),CONCATENATE("R",' RIESGOS DE GESTION'!#REF!),"")</f>
        <v>#REF!</v>
      </c>
      <c r="AG42" s="585"/>
      <c r="AH42" s="595" t="e">
        <f>IF(AND(' RIESGOS DE GESTION'!#REF!="Muy Baja",' RIESGOS DE GESTION'!#REF!="Catastrófico"),CONCATENATE("R",' RIESGOS DE GESTION'!#REF!),"")</f>
        <v>#REF!</v>
      </c>
      <c r="AI42" s="596"/>
      <c r="AJ42" s="596" t="e">
        <f>IF(AND(' RIESGOS DE GESTION'!#REF!="Muy Baja",' RIESGOS DE GESTION'!#REF!="Catastrófico"),CONCATENATE("R",' RIESGOS DE GESTION'!#REF!),"")</f>
        <v>#REF!</v>
      </c>
      <c r="AK42" s="596"/>
      <c r="AL42" s="596" t="e">
        <f>IF(AND(' RIESGOS DE GESTION'!#REF!="Muy Baja",' RIESGOS DE GESTION'!#REF!="Catastrófico"),CONCATENATE("R",' RIESGOS DE GESTION'!#REF!),"")</f>
        <v>#REF!</v>
      </c>
      <c r="AM42" s="597"/>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row>
    <row r="43" spans="1:80">
      <c r="A43" s="71"/>
      <c r="B43" s="537"/>
      <c r="C43" s="537"/>
      <c r="D43" s="538"/>
      <c r="E43" s="578"/>
      <c r="F43" s="579"/>
      <c r="G43" s="579"/>
      <c r="H43" s="579"/>
      <c r="I43" s="580"/>
      <c r="J43" s="615"/>
      <c r="K43" s="613"/>
      <c r="L43" s="613"/>
      <c r="M43" s="613"/>
      <c r="N43" s="613"/>
      <c r="O43" s="614"/>
      <c r="P43" s="615"/>
      <c r="Q43" s="613"/>
      <c r="R43" s="613"/>
      <c r="S43" s="613"/>
      <c r="T43" s="613"/>
      <c r="U43" s="614"/>
      <c r="V43" s="604"/>
      <c r="W43" s="605"/>
      <c r="X43" s="605"/>
      <c r="Y43" s="605"/>
      <c r="Z43" s="605"/>
      <c r="AA43" s="606"/>
      <c r="AB43" s="588"/>
      <c r="AC43" s="584"/>
      <c r="AD43" s="584"/>
      <c r="AE43" s="584"/>
      <c r="AF43" s="584"/>
      <c r="AG43" s="585"/>
      <c r="AH43" s="595"/>
      <c r="AI43" s="596"/>
      <c r="AJ43" s="596"/>
      <c r="AK43" s="596"/>
      <c r="AL43" s="596"/>
      <c r="AM43" s="597"/>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row>
    <row r="44" spans="1:80">
      <c r="A44" s="71"/>
      <c r="B44" s="537"/>
      <c r="C44" s="537"/>
      <c r="D44" s="538"/>
      <c r="E44" s="578"/>
      <c r="F44" s="579"/>
      <c r="G44" s="579"/>
      <c r="H44" s="579"/>
      <c r="I44" s="580"/>
      <c r="J44" s="615" t="e">
        <f>IF(AND(' RIESGOS DE GESTION'!#REF!="Muy Baja",' RIESGOS DE GESTION'!#REF!="Leve"),CONCATENATE("R",' RIESGOS DE GESTION'!#REF!),"")</f>
        <v>#REF!</v>
      </c>
      <c r="K44" s="613"/>
      <c r="L44" s="613" t="e">
        <f>IF(AND(' RIESGOS DE GESTION'!#REF!="Muy Baja",' RIESGOS DE GESTION'!#REF!="Leve"),CONCATENATE("R",' RIESGOS DE GESTION'!#REF!),"")</f>
        <v>#REF!</v>
      </c>
      <c r="M44" s="613"/>
      <c r="N44" s="613" t="e">
        <f>IF(AND(' RIESGOS DE GESTION'!#REF!="Muy Baja",' RIESGOS DE GESTION'!#REF!="Leve"),CONCATENATE("R",' RIESGOS DE GESTION'!#REF!),"")</f>
        <v>#REF!</v>
      </c>
      <c r="O44" s="614"/>
      <c r="P44" s="615" t="e">
        <f>IF(AND(' RIESGOS DE GESTION'!#REF!="Muy Baja",' RIESGOS DE GESTION'!#REF!="Menor"),CONCATENATE("R",' RIESGOS DE GESTION'!#REF!),"")</f>
        <v>#REF!</v>
      </c>
      <c r="Q44" s="613"/>
      <c r="R44" s="613" t="e">
        <f>IF(AND(' RIESGOS DE GESTION'!#REF!="Muy Baja",' RIESGOS DE GESTION'!#REF!="Menor"),CONCATENATE("R",' RIESGOS DE GESTION'!#REF!),"")</f>
        <v>#REF!</v>
      </c>
      <c r="S44" s="613"/>
      <c r="T44" s="613" t="e">
        <f>IF(AND(' RIESGOS DE GESTION'!#REF!="Muy Baja",' RIESGOS DE GESTION'!#REF!="Menor"),CONCATENATE("R",' RIESGOS DE GESTION'!#REF!),"")</f>
        <v>#REF!</v>
      </c>
      <c r="U44" s="614"/>
      <c r="V44" s="604" t="e">
        <f>IF(AND(' RIESGOS DE GESTION'!#REF!="Muy Baja",' RIESGOS DE GESTION'!#REF!="Moderado"),CONCATENATE("R",' RIESGOS DE GESTION'!#REF!),"")</f>
        <v>#REF!</v>
      </c>
      <c r="W44" s="605"/>
      <c r="X44" s="605" t="e">
        <f>IF(AND(' RIESGOS DE GESTION'!#REF!="Muy Baja",' RIESGOS DE GESTION'!#REF!="Moderado"),CONCATENATE("R",' RIESGOS DE GESTION'!#REF!),"")</f>
        <v>#REF!</v>
      </c>
      <c r="Y44" s="605"/>
      <c r="Z44" s="605" t="e">
        <f>IF(AND(' RIESGOS DE GESTION'!#REF!="Muy Baja",' RIESGOS DE GESTION'!#REF!="Moderado"),CONCATENATE("R",' RIESGOS DE GESTION'!#REF!),"")</f>
        <v>#REF!</v>
      </c>
      <c r="AA44" s="606"/>
      <c r="AB44" s="588" t="e">
        <f>IF(AND(' RIESGOS DE GESTION'!#REF!="Muy Baja",' RIESGOS DE GESTION'!#REF!="Mayor"),CONCATENATE("R",' RIESGOS DE GESTION'!#REF!),"")</f>
        <v>#REF!</v>
      </c>
      <c r="AC44" s="584"/>
      <c r="AD44" s="584" t="e">
        <f>IF(AND(' RIESGOS DE GESTION'!#REF!="Muy Baja",' RIESGOS DE GESTION'!#REF!="Mayor"),CONCATENATE("R",' RIESGOS DE GESTION'!#REF!),"")</f>
        <v>#REF!</v>
      </c>
      <c r="AE44" s="584"/>
      <c r="AF44" s="584" t="e">
        <f>IF(AND(' RIESGOS DE GESTION'!#REF!="Muy Baja",' RIESGOS DE GESTION'!#REF!="Mayor"),CONCATENATE("R",' RIESGOS DE GESTION'!#REF!),"")</f>
        <v>#REF!</v>
      </c>
      <c r="AG44" s="585"/>
      <c r="AH44" s="595" t="e">
        <f>IF(AND(' RIESGOS DE GESTION'!#REF!="Muy Baja",' RIESGOS DE GESTION'!#REF!="Catastrófico"),CONCATENATE("R",' RIESGOS DE GESTION'!#REF!),"")</f>
        <v>#REF!</v>
      </c>
      <c r="AI44" s="596"/>
      <c r="AJ44" s="596" t="e">
        <f>IF(AND(' RIESGOS DE GESTION'!#REF!="Muy Baja",' RIESGOS DE GESTION'!#REF!="Catastrófico"),CONCATENATE("R",' RIESGOS DE GESTION'!#REF!),"")</f>
        <v>#REF!</v>
      </c>
      <c r="AK44" s="596"/>
      <c r="AL44" s="596" t="e">
        <f>IF(AND(' RIESGOS DE GESTION'!#REF!="Muy Baja",' RIESGOS DE GESTION'!#REF!="Catastrófico"),CONCATENATE("R",' RIESGOS DE GESTION'!#REF!),"")</f>
        <v>#REF!</v>
      </c>
      <c r="AM44" s="597"/>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row>
    <row r="45" spans="1:80" ht="15.75" thickBot="1">
      <c r="A45" s="71"/>
      <c r="B45" s="537"/>
      <c r="C45" s="537"/>
      <c r="D45" s="538"/>
      <c r="E45" s="581"/>
      <c r="F45" s="582"/>
      <c r="G45" s="582"/>
      <c r="H45" s="582"/>
      <c r="I45" s="583"/>
      <c r="J45" s="616"/>
      <c r="K45" s="617"/>
      <c r="L45" s="617"/>
      <c r="M45" s="617"/>
      <c r="N45" s="617"/>
      <c r="O45" s="618"/>
      <c r="P45" s="616"/>
      <c r="Q45" s="617"/>
      <c r="R45" s="617"/>
      <c r="S45" s="617"/>
      <c r="T45" s="617"/>
      <c r="U45" s="618"/>
      <c r="V45" s="607"/>
      <c r="W45" s="608"/>
      <c r="X45" s="608"/>
      <c r="Y45" s="608"/>
      <c r="Z45" s="608"/>
      <c r="AA45" s="609"/>
      <c r="AB45" s="592"/>
      <c r="AC45" s="593"/>
      <c r="AD45" s="593"/>
      <c r="AE45" s="593"/>
      <c r="AF45" s="593"/>
      <c r="AG45" s="594"/>
      <c r="AH45" s="598"/>
      <c r="AI45" s="599"/>
      <c r="AJ45" s="599"/>
      <c r="AK45" s="599"/>
      <c r="AL45" s="599"/>
      <c r="AM45" s="600"/>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row>
    <row r="46" spans="1:80">
      <c r="A46" s="71"/>
      <c r="B46" s="71"/>
      <c r="C46" s="71"/>
      <c r="D46" s="71"/>
      <c r="E46" s="71"/>
      <c r="F46" s="71"/>
      <c r="G46" s="71"/>
      <c r="H46" s="71"/>
      <c r="I46" s="71"/>
      <c r="J46" s="575" t="s">
        <v>572</v>
      </c>
      <c r="K46" s="576"/>
      <c r="L46" s="576"/>
      <c r="M46" s="576"/>
      <c r="N46" s="576"/>
      <c r="O46" s="577"/>
      <c r="P46" s="575" t="s">
        <v>573</v>
      </c>
      <c r="Q46" s="576"/>
      <c r="R46" s="576"/>
      <c r="S46" s="576"/>
      <c r="T46" s="576"/>
      <c r="U46" s="577"/>
      <c r="V46" s="575" t="s">
        <v>574</v>
      </c>
      <c r="W46" s="576"/>
      <c r="X46" s="576"/>
      <c r="Y46" s="576"/>
      <c r="Z46" s="576"/>
      <c r="AA46" s="577"/>
      <c r="AB46" s="575" t="s">
        <v>575</v>
      </c>
      <c r="AC46" s="591"/>
      <c r="AD46" s="576"/>
      <c r="AE46" s="576"/>
      <c r="AF46" s="576"/>
      <c r="AG46" s="577"/>
      <c r="AH46" s="575" t="s">
        <v>576</v>
      </c>
      <c r="AI46" s="576"/>
      <c r="AJ46" s="576"/>
      <c r="AK46" s="576"/>
      <c r="AL46" s="576"/>
      <c r="AM46" s="577"/>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c r="A47" s="71"/>
      <c r="B47" s="71"/>
      <c r="C47" s="71"/>
      <c r="D47" s="71"/>
      <c r="E47" s="71"/>
      <c r="F47" s="71"/>
      <c r="G47" s="71"/>
      <c r="H47" s="71"/>
      <c r="I47" s="71"/>
      <c r="J47" s="578"/>
      <c r="K47" s="579"/>
      <c r="L47" s="579"/>
      <c r="M47" s="579"/>
      <c r="N47" s="579"/>
      <c r="O47" s="580"/>
      <c r="P47" s="578"/>
      <c r="Q47" s="579"/>
      <c r="R47" s="579"/>
      <c r="S47" s="579"/>
      <c r="T47" s="579"/>
      <c r="U47" s="580"/>
      <c r="V47" s="578"/>
      <c r="W47" s="579"/>
      <c r="X47" s="579"/>
      <c r="Y47" s="579"/>
      <c r="Z47" s="579"/>
      <c r="AA47" s="580"/>
      <c r="AB47" s="578"/>
      <c r="AC47" s="579"/>
      <c r="AD47" s="579"/>
      <c r="AE47" s="579"/>
      <c r="AF47" s="579"/>
      <c r="AG47" s="580"/>
      <c r="AH47" s="578"/>
      <c r="AI47" s="579"/>
      <c r="AJ47" s="579"/>
      <c r="AK47" s="579"/>
      <c r="AL47" s="579"/>
      <c r="AM47" s="580"/>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c r="A48" s="71"/>
      <c r="B48" s="71"/>
      <c r="C48" s="71"/>
      <c r="D48" s="71"/>
      <c r="E48" s="71"/>
      <c r="F48" s="71"/>
      <c r="G48" s="71"/>
      <c r="H48" s="71"/>
      <c r="I48" s="71"/>
      <c r="J48" s="578"/>
      <c r="K48" s="579"/>
      <c r="L48" s="579"/>
      <c r="M48" s="579"/>
      <c r="N48" s="579"/>
      <c r="O48" s="580"/>
      <c r="P48" s="578"/>
      <c r="Q48" s="579"/>
      <c r="R48" s="579"/>
      <c r="S48" s="579"/>
      <c r="T48" s="579"/>
      <c r="U48" s="580"/>
      <c r="V48" s="578"/>
      <c r="W48" s="579"/>
      <c r="X48" s="579"/>
      <c r="Y48" s="579"/>
      <c r="Z48" s="579"/>
      <c r="AA48" s="580"/>
      <c r="AB48" s="578"/>
      <c r="AC48" s="579"/>
      <c r="AD48" s="579"/>
      <c r="AE48" s="579"/>
      <c r="AF48" s="579"/>
      <c r="AG48" s="580"/>
      <c r="AH48" s="578"/>
      <c r="AI48" s="579"/>
      <c r="AJ48" s="579"/>
      <c r="AK48" s="579"/>
      <c r="AL48" s="579"/>
      <c r="AM48" s="580"/>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c r="A49" s="71"/>
      <c r="B49" s="71"/>
      <c r="C49" s="71"/>
      <c r="D49" s="71"/>
      <c r="E49" s="71"/>
      <c r="F49" s="71"/>
      <c r="G49" s="71"/>
      <c r="H49" s="71"/>
      <c r="I49" s="71"/>
      <c r="J49" s="578"/>
      <c r="K49" s="579"/>
      <c r="L49" s="579"/>
      <c r="M49" s="579"/>
      <c r="N49" s="579"/>
      <c r="O49" s="580"/>
      <c r="P49" s="578"/>
      <c r="Q49" s="579"/>
      <c r="R49" s="579"/>
      <c r="S49" s="579"/>
      <c r="T49" s="579"/>
      <c r="U49" s="580"/>
      <c r="V49" s="578"/>
      <c r="W49" s="579"/>
      <c r="X49" s="579"/>
      <c r="Y49" s="579"/>
      <c r="Z49" s="579"/>
      <c r="AA49" s="580"/>
      <c r="AB49" s="578"/>
      <c r="AC49" s="579"/>
      <c r="AD49" s="579"/>
      <c r="AE49" s="579"/>
      <c r="AF49" s="579"/>
      <c r="AG49" s="580"/>
      <c r="AH49" s="578"/>
      <c r="AI49" s="579"/>
      <c r="AJ49" s="579"/>
      <c r="AK49" s="579"/>
      <c r="AL49" s="579"/>
      <c r="AM49" s="580"/>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c r="A50" s="71"/>
      <c r="B50" s="71"/>
      <c r="C50" s="71"/>
      <c r="D50" s="71"/>
      <c r="E50" s="71"/>
      <c r="F50" s="71"/>
      <c r="G50" s="71"/>
      <c r="H50" s="71"/>
      <c r="I50" s="71"/>
      <c r="J50" s="578"/>
      <c r="K50" s="579"/>
      <c r="L50" s="579"/>
      <c r="M50" s="579"/>
      <c r="N50" s="579"/>
      <c r="O50" s="580"/>
      <c r="P50" s="578"/>
      <c r="Q50" s="579"/>
      <c r="R50" s="579"/>
      <c r="S50" s="579"/>
      <c r="T50" s="579"/>
      <c r="U50" s="580"/>
      <c r="V50" s="578"/>
      <c r="W50" s="579"/>
      <c r="X50" s="579"/>
      <c r="Y50" s="579"/>
      <c r="Z50" s="579"/>
      <c r="AA50" s="580"/>
      <c r="AB50" s="578"/>
      <c r="AC50" s="579"/>
      <c r="AD50" s="579"/>
      <c r="AE50" s="579"/>
      <c r="AF50" s="579"/>
      <c r="AG50" s="580"/>
      <c r="AH50" s="578"/>
      <c r="AI50" s="579"/>
      <c r="AJ50" s="579"/>
      <c r="AK50" s="579"/>
      <c r="AL50" s="579"/>
      <c r="AM50" s="580"/>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75" thickBot="1">
      <c r="A51" s="71"/>
      <c r="B51" s="71"/>
      <c r="C51" s="71"/>
      <c r="D51" s="71"/>
      <c r="E51" s="71"/>
      <c r="F51" s="71"/>
      <c r="G51" s="71"/>
      <c r="H51" s="71"/>
      <c r="I51" s="71"/>
      <c r="J51" s="581"/>
      <c r="K51" s="582"/>
      <c r="L51" s="582"/>
      <c r="M51" s="582"/>
      <c r="N51" s="582"/>
      <c r="O51" s="583"/>
      <c r="P51" s="581"/>
      <c r="Q51" s="582"/>
      <c r="R51" s="582"/>
      <c r="S51" s="582"/>
      <c r="T51" s="582"/>
      <c r="U51" s="583"/>
      <c r="V51" s="581"/>
      <c r="W51" s="582"/>
      <c r="X51" s="582"/>
      <c r="Y51" s="582"/>
      <c r="Z51" s="582"/>
      <c r="AA51" s="583"/>
      <c r="AB51" s="581"/>
      <c r="AC51" s="582"/>
      <c r="AD51" s="582"/>
      <c r="AE51" s="582"/>
      <c r="AF51" s="582"/>
      <c r="AG51" s="583"/>
      <c r="AH51" s="581"/>
      <c r="AI51" s="582"/>
      <c r="AJ51" s="582"/>
      <c r="AK51" s="582"/>
      <c r="AL51" s="582"/>
      <c r="AM51" s="583"/>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c r="A53" s="71"/>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c r="A54" s="71"/>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row>
    <row r="63" spans="1:80">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row>
    <row r="64" spans="1:80">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row>
    <row r="65" spans="1:80">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row>
    <row r="66" spans="1:80">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row>
    <row r="67" spans="1:80">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row>
    <row r="68" spans="1:80">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row>
    <row r="69" spans="1:80">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row>
    <row r="70" spans="1:80">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row>
    <row r="71" spans="1:80">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row>
    <row r="72" spans="1:80">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row>
    <row r="73" spans="1:80">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row>
    <row r="74" spans="1:80">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row>
    <row r="75" spans="1:80">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row>
    <row r="76" spans="1:80">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row>
    <row r="77" spans="1:80">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row>
    <row r="78" spans="1:80">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row>
    <row r="79" spans="1:80">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row>
    <row r="80" spans="1:80">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row>
    <row r="81" spans="1:63">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row>
    <row r="82" spans="1:63">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row>
    <row r="83" spans="1:63">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row>
    <row r="84" spans="1:63">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row>
    <row r="85" spans="1:63">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row>
    <row r="86" spans="1:63">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row>
    <row r="87" spans="1:63">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row>
    <row r="88" spans="1:63">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row>
    <row r="89" spans="1:63">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row>
    <row r="90" spans="1:63">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row>
    <row r="91" spans="1:63">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row>
    <row r="92" spans="1:63">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row>
    <row r="93" spans="1:63">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row>
    <row r="94" spans="1:63">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row>
    <row r="95" spans="1:63">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row>
    <row r="96" spans="1:63">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row>
    <row r="97" spans="1:63">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row>
    <row r="98" spans="1:63">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row>
    <row r="99" spans="1:63">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row>
    <row r="100" spans="1:63">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row>
    <row r="101" spans="1:63">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row>
    <row r="102" spans="1:63">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row>
    <row r="103" spans="1:63">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row>
    <row r="104" spans="1:63">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row>
    <row r="105" spans="1:63">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row>
    <row r="106" spans="1:63">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row>
    <row r="107" spans="1:63">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row>
    <row r="108" spans="1:63">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row>
    <row r="109" spans="1:63">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row>
    <row r="110" spans="1:63">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row>
    <row r="111" spans="1:63">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row>
    <row r="112" spans="1:63">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row>
    <row r="113" spans="1:63">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row>
    <row r="114" spans="1:63">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row>
    <row r="115" spans="1:63">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row>
    <row r="116" spans="1:63">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row>
    <row r="117" spans="1:63">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row>
    <row r="118" spans="1:63">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row>
    <row r="119" spans="1:63">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row>
    <row r="120" spans="1:63">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row>
    <row r="121" spans="1:63">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row>
    <row r="122" spans="1:63">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row>
    <row r="123" spans="1:63">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row>
    <row r="124" spans="1:63">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row>
    <row r="125" spans="1:63">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row>
    <row r="126" spans="1:63">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row>
    <row r="127" spans="1:63">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row>
    <row r="128" spans="1:63">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row>
    <row r="129" spans="2:63">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row>
    <row r="130" spans="2:63">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row>
    <row r="131" spans="2:63">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row>
    <row r="132" spans="2:63">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row>
    <row r="133" spans="2:63">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row>
    <row r="134" spans="2:63">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row>
    <row r="135" spans="2:63">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row>
    <row r="136" spans="2:63">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row>
    <row r="137" spans="2:63">
      <c r="B137" s="71"/>
      <c r="C137" s="71"/>
      <c r="D137" s="71"/>
      <c r="E137" s="71"/>
      <c r="F137" s="71"/>
      <c r="G137" s="71"/>
      <c r="H137" s="71"/>
      <c r="I137" s="71"/>
    </row>
    <row r="138" spans="2:63">
      <c r="B138" s="71"/>
      <c r="C138" s="71"/>
      <c r="D138" s="71"/>
      <c r="E138" s="71"/>
      <c r="F138" s="71"/>
      <c r="G138" s="71"/>
      <c r="H138" s="71"/>
      <c r="I138" s="71"/>
    </row>
    <row r="139" spans="2:63">
      <c r="B139" s="71"/>
      <c r="C139" s="71"/>
      <c r="D139" s="71"/>
      <c r="E139" s="71"/>
      <c r="F139" s="71"/>
      <c r="G139" s="71"/>
      <c r="H139" s="71"/>
      <c r="I139" s="71"/>
    </row>
    <row r="140" spans="2:63">
      <c r="B140" s="71"/>
      <c r="C140" s="71"/>
      <c r="D140" s="71"/>
      <c r="E140" s="71"/>
      <c r="F140" s="71"/>
      <c r="G140" s="71"/>
      <c r="H140" s="71"/>
      <c r="I140" s="71"/>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row>
    <row r="2" spans="1:91" ht="18" customHeight="1">
      <c r="A2" s="71"/>
      <c r="B2" s="648" t="s">
        <v>577</v>
      </c>
      <c r="C2" s="649"/>
      <c r="D2" s="649"/>
      <c r="E2" s="649"/>
      <c r="F2" s="649"/>
      <c r="G2" s="649"/>
      <c r="H2" s="649"/>
      <c r="I2" s="649"/>
      <c r="J2" s="590" t="s">
        <v>15</v>
      </c>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row>
    <row r="3" spans="1:91" ht="18.75" customHeight="1">
      <c r="A3" s="71"/>
      <c r="B3" s="649"/>
      <c r="C3" s="649"/>
      <c r="D3" s="649"/>
      <c r="E3" s="649"/>
      <c r="F3" s="649"/>
      <c r="G3" s="649"/>
      <c r="H3" s="649"/>
      <c r="I3" s="649"/>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row>
    <row r="4" spans="1:91" ht="15" customHeight="1">
      <c r="A4" s="71"/>
      <c r="B4" s="649"/>
      <c r="C4" s="649"/>
      <c r="D4" s="649"/>
      <c r="E4" s="649"/>
      <c r="F4" s="649"/>
      <c r="G4" s="649"/>
      <c r="H4" s="649"/>
      <c r="I4" s="649"/>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0"/>
      <c r="AM4" s="590"/>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row>
    <row r="5" spans="1:91" ht="15.75" thickBo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row>
    <row r="6" spans="1:91" ht="15" customHeight="1">
      <c r="A6" s="71"/>
      <c r="B6" s="537" t="s">
        <v>296</v>
      </c>
      <c r="C6" s="537"/>
      <c r="D6" s="538"/>
      <c r="E6" s="632" t="s">
        <v>563</v>
      </c>
      <c r="F6" s="633"/>
      <c r="G6" s="633"/>
      <c r="H6" s="633"/>
      <c r="I6" s="650"/>
      <c r="J6" s="34" t="e">
        <f>IF(AND(' RIESGOS DE GESTION'!#REF!="Muy Alta",' RIESGOS DE GESTION'!#REF!="Leve"),CONCATENATE("R1C",' RIESGOS DE GESTION'!#REF!),"")</f>
        <v>#REF!</v>
      </c>
      <c r="K6" s="35" t="e">
        <f>IF(AND(' RIESGOS DE GESTION'!#REF!="Muy Alta",' RIESGOS DE GESTION'!#REF!="Leve"),CONCATENATE("R1C",' RIESGOS DE GESTION'!#REF!),"")</f>
        <v>#REF!</v>
      </c>
      <c r="L6" s="35" t="e">
        <f>IF(AND(' RIESGOS DE GESTION'!#REF!="Muy Alta",' RIESGOS DE GESTION'!#REF!="Leve"),CONCATENATE("R1C",' RIESGOS DE GESTION'!#REF!),"")</f>
        <v>#REF!</v>
      </c>
      <c r="M6" s="35" t="e">
        <f>IF(AND(' RIESGOS DE GESTION'!#REF!="Muy Alta",' RIESGOS DE GESTION'!#REF!="Leve"),CONCATENATE("R1C",' RIESGOS DE GESTION'!#REF!),"")</f>
        <v>#REF!</v>
      </c>
      <c r="N6" s="35" t="e">
        <f>IF(AND(' RIESGOS DE GESTION'!#REF!="Muy Alta",' RIESGOS DE GESTION'!#REF!="Leve"),CONCATENATE("R1C",' RIESGOS DE GESTION'!#REF!),"")</f>
        <v>#REF!</v>
      </c>
      <c r="O6" s="36" t="e">
        <f>IF(AND(' RIESGOS DE GESTION'!#REF!="Muy Alta",' RIESGOS DE GESTION'!#REF!="Leve"),CONCATENATE("R1C",' RIESGOS DE GESTION'!#REF!),"")</f>
        <v>#REF!</v>
      </c>
      <c r="P6" s="34" t="e">
        <f>IF(AND(' RIESGOS DE GESTION'!#REF!="Muy Alta",' RIESGOS DE GESTION'!#REF!="Menor"),CONCATENATE("R1C",' RIESGOS DE GESTION'!#REF!),"")</f>
        <v>#REF!</v>
      </c>
      <c r="Q6" s="35" t="e">
        <f>IF(AND(' RIESGOS DE GESTION'!#REF!="Muy Alta",' RIESGOS DE GESTION'!#REF!="Menor"),CONCATENATE("R1C",' RIESGOS DE GESTION'!#REF!),"")</f>
        <v>#REF!</v>
      </c>
      <c r="R6" s="35" t="e">
        <f>IF(AND(' RIESGOS DE GESTION'!#REF!="Muy Alta",' RIESGOS DE GESTION'!#REF!="Menor"),CONCATENATE("R1C",' RIESGOS DE GESTION'!#REF!),"")</f>
        <v>#REF!</v>
      </c>
      <c r="S6" s="35" t="e">
        <f>IF(AND(' RIESGOS DE GESTION'!#REF!="Muy Alta",' RIESGOS DE GESTION'!#REF!="Menor"),CONCATENATE("R1C",' RIESGOS DE GESTION'!#REF!),"")</f>
        <v>#REF!</v>
      </c>
      <c r="T6" s="35" t="e">
        <f>IF(AND(' RIESGOS DE GESTION'!#REF!="Muy Alta",' RIESGOS DE GESTION'!#REF!="Menor"),CONCATENATE("R1C",' RIESGOS DE GESTION'!#REF!),"")</f>
        <v>#REF!</v>
      </c>
      <c r="U6" s="36" t="e">
        <f>IF(AND(' RIESGOS DE GESTION'!#REF!="Muy Alta",' RIESGOS DE GESTION'!#REF!="Menor"),CONCATENATE("R1C",' RIESGOS DE GESTION'!#REF!),"")</f>
        <v>#REF!</v>
      </c>
      <c r="V6" s="34" t="e">
        <f>IF(AND(' RIESGOS DE GESTION'!#REF!="Muy Alta",' RIESGOS DE GESTION'!#REF!="Moderado"),CONCATENATE("R1C",' RIESGOS DE GESTION'!#REF!),"")</f>
        <v>#REF!</v>
      </c>
      <c r="W6" s="35" t="e">
        <f>IF(AND(' RIESGOS DE GESTION'!#REF!="Muy Alta",' RIESGOS DE GESTION'!#REF!="Moderado"),CONCATENATE("R1C",' RIESGOS DE GESTION'!#REF!),"")</f>
        <v>#REF!</v>
      </c>
      <c r="X6" s="35" t="e">
        <f>IF(AND(' RIESGOS DE GESTION'!#REF!="Muy Alta",' RIESGOS DE GESTION'!#REF!="Moderado"),CONCATENATE("R1C",' RIESGOS DE GESTION'!#REF!),"")</f>
        <v>#REF!</v>
      </c>
      <c r="Y6" s="35" t="e">
        <f>IF(AND(' RIESGOS DE GESTION'!#REF!="Muy Alta",' RIESGOS DE GESTION'!#REF!="Moderado"),CONCATENATE("R1C",' RIESGOS DE GESTION'!#REF!),"")</f>
        <v>#REF!</v>
      </c>
      <c r="Z6" s="35" t="e">
        <f>IF(AND(' RIESGOS DE GESTION'!#REF!="Muy Alta",' RIESGOS DE GESTION'!#REF!="Moderado"),CONCATENATE("R1C",' RIESGOS DE GESTION'!#REF!),"")</f>
        <v>#REF!</v>
      </c>
      <c r="AA6" s="36" t="e">
        <f>IF(AND(' RIESGOS DE GESTION'!#REF!="Muy Alta",' RIESGOS DE GESTION'!#REF!="Moderado"),CONCATENATE("R1C",' RIESGOS DE GESTION'!#REF!),"")</f>
        <v>#REF!</v>
      </c>
      <c r="AB6" s="34" t="e">
        <f>IF(AND(' RIESGOS DE GESTION'!#REF!="Muy Alta",' RIESGOS DE GESTION'!#REF!="Mayor"),CONCATENATE("R1C",' RIESGOS DE GESTION'!#REF!),"")</f>
        <v>#REF!</v>
      </c>
      <c r="AC6" s="35" t="e">
        <f>IF(AND(' RIESGOS DE GESTION'!#REF!="Muy Alta",' RIESGOS DE GESTION'!#REF!="Mayor"),CONCATENATE("R1C",' RIESGOS DE GESTION'!#REF!),"")</f>
        <v>#REF!</v>
      </c>
      <c r="AD6" s="35" t="e">
        <f>IF(AND(' RIESGOS DE GESTION'!#REF!="Muy Alta",' RIESGOS DE GESTION'!#REF!="Mayor"),CONCATENATE("R1C",' RIESGOS DE GESTION'!#REF!),"")</f>
        <v>#REF!</v>
      </c>
      <c r="AE6" s="35" t="e">
        <f>IF(AND(' RIESGOS DE GESTION'!#REF!="Muy Alta",' RIESGOS DE GESTION'!#REF!="Mayor"),CONCATENATE("R1C",' RIESGOS DE GESTION'!#REF!),"")</f>
        <v>#REF!</v>
      </c>
      <c r="AF6" s="35" t="e">
        <f>IF(AND(' RIESGOS DE GESTION'!#REF!="Muy Alta",' RIESGOS DE GESTION'!#REF!="Mayor"),CONCATENATE("R1C",' RIESGOS DE GESTION'!#REF!),"")</f>
        <v>#REF!</v>
      </c>
      <c r="AG6" s="36" t="e">
        <f>IF(AND(' RIESGOS DE GESTION'!#REF!="Muy Alta",' RIESGOS DE GESTION'!#REF!="Mayor"),CONCATENATE("R1C",' RIESGOS DE GESTION'!#REF!),"")</f>
        <v>#REF!</v>
      </c>
      <c r="AH6" s="37" t="e">
        <f>IF(AND(' RIESGOS DE GESTION'!#REF!="Muy Alta",' RIESGOS DE GESTION'!#REF!="Catastrófico"),CONCATENATE("R1C",' RIESGOS DE GESTION'!#REF!),"")</f>
        <v>#REF!</v>
      </c>
      <c r="AI6" s="38" t="e">
        <f>IF(AND(' RIESGOS DE GESTION'!#REF!="Muy Alta",' RIESGOS DE GESTION'!#REF!="Catastrófico"),CONCATENATE("R1C",' RIESGOS DE GESTION'!#REF!),"")</f>
        <v>#REF!</v>
      </c>
      <c r="AJ6" s="38" t="e">
        <f>IF(AND(' RIESGOS DE GESTION'!#REF!="Muy Alta",' RIESGOS DE GESTION'!#REF!="Catastrófico"),CONCATENATE("R1C",' RIESGOS DE GESTION'!#REF!),"")</f>
        <v>#REF!</v>
      </c>
      <c r="AK6" s="38" t="e">
        <f>IF(AND(' RIESGOS DE GESTION'!#REF!="Muy Alta",' RIESGOS DE GESTION'!#REF!="Catastrófico"),CONCATENATE("R1C",' RIESGOS DE GESTION'!#REF!),"")</f>
        <v>#REF!</v>
      </c>
      <c r="AL6" s="38" t="e">
        <f>IF(AND(' RIESGOS DE GESTION'!#REF!="Muy Alta",' RIESGOS DE GESTION'!#REF!="Catastrófico"),CONCATENATE("R1C",' RIESGOS DE GESTION'!#REF!),"")</f>
        <v>#REF!</v>
      </c>
      <c r="AM6" s="39" t="e">
        <f>IF(AND(' RIESGOS DE GESTION'!#REF!="Muy Alta",' RIESGOS DE GESTION'!#REF!="Catastrófico"),CONCATENATE("R1C",' RIESGOS DE GESTION'!#REF!),"")</f>
        <v>#REF!</v>
      </c>
      <c r="AN6" s="71"/>
      <c r="AO6" s="639" t="s">
        <v>564</v>
      </c>
      <c r="AP6" s="640"/>
      <c r="AQ6" s="640"/>
      <c r="AR6" s="640"/>
      <c r="AS6" s="640"/>
      <c r="AT6" s="64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row>
    <row r="7" spans="1:91" ht="15" customHeight="1">
      <c r="A7" s="71"/>
      <c r="B7" s="537"/>
      <c r="C7" s="537"/>
      <c r="D7" s="538"/>
      <c r="E7" s="636"/>
      <c r="F7" s="635"/>
      <c r="G7" s="635"/>
      <c r="H7" s="635"/>
      <c r="I7" s="651"/>
      <c r="J7" s="40" t="e">
        <f>IF(AND(' RIESGOS DE GESTION'!#REF!="Muy Alta",' RIESGOS DE GESTION'!#REF!="Leve"),CONCATENATE("R2C",' RIESGOS DE GESTION'!#REF!),"")</f>
        <v>#REF!</v>
      </c>
      <c r="K7" s="41" t="e">
        <f>IF(AND(' RIESGOS DE GESTION'!#REF!="Muy Alta",' RIESGOS DE GESTION'!#REF!="Leve"),CONCATENATE("R2C",' RIESGOS DE GESTION'!#REF!),"")</f>
        <v>#REF!</v>
      </c>
      <c r="L7" s="41" t="e">
        <f>IF(AND(' RIESGOS DE GESTION'!#REF!="Muy Alta",' RIESGOS DE GESTION'!#REF!="Leve"),CONCATENATE("R2C",' RIESGOS DE GESTION'!#REF!),"")</f>
        <v>#REF!</v>
      </c>
      <c r="M7" s="41" t="e">
        <f>IF(AND(' RIESGOS DE GESTION'!#REF!="Muy Alta",' RIESGOS DE GESTION'!#REF!="Leve"),CONCATENATE("R2C",' RIESGOS DE GESTION'!#REF!),"")</f>
        <v>#REF!</v>
      </c>
      <c r="N7" s="41" t="e">
        <f>IF(AND(' RIESGOS DE GESTION'!#REF!="Muy Alta",' RIESGOS DE GESTION'!#REF!="Leve"),CONCATENATE("R2C",' RIESGOS DE GESTION'!#REF!),"")</f>
        <v>#REF!</v>
      </c>
      <c r="O7" s="42" t="e">
        <f>IF(AND(' RIESGOS DE GESTION'!#REF!="Muy Alta",' RIESGOS DE GESTION'!#REF!="Leve"),CONCATENATE("R2C",' RIESGOS DE GESTION'!#REF!),"")</f>
        <v>#REF!</v>
      </c>
      <c r="P7" s="40" t="e">
        <f>IF(AND(' RIESGOS DE GESTION'!#REF!="Muy Alta",' RIESGOS DE GESTION'!#REF!="Menor"),CONCATENATE("R2C",' RIESGOS DE GESTION'!#REF!),"")</f>
        <v>#REF!</v>
      </c>
      <c r="Q7" s="41" t="e">
        <f>IF(AND(' RIESGOS DE GESTION'!#REF!="Muy Alta",' RIESGOS DE GESTION'!#REF!="Menor"),CONCATENATE("R2C",' RIESGOS DE GESTION'!#REF!),"")</f>
        <v>#REF!</v>
      </c>
      <c r="R7" s="41" t="e">
        <f>IF(AND(' RIESGOS DE GESTION'!#REF!="Muy Alta",' RIESGOS DE GESTION'!#REF!="Menor"),CONCATENATE("R2C",' RIESGOS DE GESTION'!#REF!),"")</f>
        <v>#REF!</v>
      </c>
      <c r="S7" s="41" t="e">
        <f>IF(AND(' RIESGOS DE GESTION'!#REF!="Muy Alta",' RIESGOS DE GESTION'!#REF!="Menor"),CONCATENATE("R2C",' RIESGOS DE GESTION'!#REF!),"")</f>
        <v>#REF!</v>
      </c>
      <c r="T7" s="41" t="e">
        <f>IF(AND(' RIESGOS DE GESTION'!#REF!="Muy Alta",' RIESGOS DE GESTION'!#REF!="Menor"),CONCATENATE("R2C",' RIESGOS DE GESTION'!#REF!),"")</f>
        <v>#REF!</v>
      </c>
      <c r="U7" s="42" t="e">
        <f>IF(AND(' RIESGOS DE GESTION'!#REF!="Muy Alta",' RIESGOS DE GESTION'!#REF!="Menor"),CONCATENATE("R2C",' RIESGOS DE GESTION'!#REF!),"")</f>
        <v>#REF!</v>
      </c>
      <c r="V7" s="40" t="e">
        <f>IF(AND(' RIESGOS DE GESTION'!#REF!="Muy Alta",' RIESGOS DE GESTION'!#REF!="Moderado"),CONCATENATE("R2C",' RIESGOS DE GESTION'!#REF!),"")</f>
        <v>#REF!</v>
      </c>
      <c r="W7" s="41" t="e">
        <f>IF(AND(' RIESGOS DE GESTION'!#REF!="Muy Alta",' RIESGOS DE GESTION'!#REF!="Moderado"),CONCATENATE("R2C",' RIESGOS DE GESTION'!#REF!),"")</f>
        <v>#REF!</v>
      </c>
      <c r="X7" s="41" t="e">
        <f>IF(AND(' RIESGOS DE GESTION'!#REF!="Muy Alta",' RIESGOS DE GESTION'!#REF!="Moderado"),CONCATENATE("R2C",' RIESGOS DE GESTION'!#REF!),"")</f>
        <v>#REF!</v>
      </c>
      <c r="Y7" s="41" t="e">
        <f>IF(AND(' RIESGOS DE GESTION'!#REF!="Muy Alta",' RIESGOS DE GESTION'!#REF!="Moderado"),CONCATENATE("R2C",' RIESGOS DE GESTION'!#REF!),"")</f>
        <v>#REF!</v>
      </c>
      <c r="Z7" s="41" t="e">
        <f>IF(AND(' RIESGOS DE GESTION'!#REF!="Muy Alta",' RIESGOS DE GESTION'!#REF!="Moderado"),CONCATENATE("R2C",' RIESGOS DE GESTION'!#REF!),"")</f>
        <v>#REF!</v>
      </c>
      <c r="AA7" s="42" t="e">
        <f>IF(AND(' RIESGOS DE GESTION'!#REF!="Muy Alta",' RIESGOS DE GESTION'!#REF!="Moderado"),CONCATENATE("R2C",' RIESGOS DE GESTION'!#REF!),"")</f>
        <v>#REF!</v>
      </c>
      <c r="AB7" s="40" t="e">
        <f>IF(AND(' RIESGOS DE GESTION'!#REF!="Muy Alta",' RIESGOS DE GESTION'!#REF!="Mayor"),CONCATENATE("R2C",' RIESGOS DE GESTION'!#REF!),"")</f>
        <v>#REF!</v>
      </c>
      <c r="AC7" s="41" t="e">
        <f>IF(AND(' RIESGOS DE GESTION'!#REF!="Muy Alta",' RIESGOS DE GESTION'!#REF!="Mayor"),CONCATENATE("R2C",' RIESGOS DE GESTION'!#REF!),"")</f>
        <v>#REF!</v>
      </c>
      <c r="AD7" s="41" t="e">
        <f>IF(AND(' RIESGOS DE GESTION'!#REF!="Muy Alta",' RIESGOS DE GESTION'!#REF!="Mayor"),CONCATENATE("R2C",' RIESGOS DE GESTION'!#REF!),"")</f>
        <v>#REF!</v>
      </c>
      <c r="AE7" s="41" t="e">
        <f>IF(AND(' RIESGOS DE GESTION'!#REF!="Muy Alta",' RIESGOS DE GESTION'!#REF!="Mayor"),CONCATENATE("R2C",' RIESGOS DE GESTION'!#REF!),"")</f>
        <v>#REF!</v>
      </c>
      <c r="AF7" s="41" t="e">
        <f>IF(AND(' RIESGOS DE GESTION'!#REF!="Muy Alta",' RIESGOS DE GESTION'!#REF!="Mayor"),CONCATENATE("R2C",' RIESGOS DE GESTION'!#REF!),"")</f>
        <v>#REF!</v>
      </c>
      <c r="AG7" s="42" t="e">
        <f>IF(AND(' RIESGOS DE GESTION'!#REF!="Muy Alta",' RIESGOS DE GESTION'!#REF!="Mayor"),CONCATENATE("R2C",' RIESGOS DE GESTION'!#REF!),"")</f>
        <v>#REF!</v>
      </c>
      <c r="AH7" s="43" t="e">
        <f>IF(AND(' RIESGOS DE GESTION'!#REF!="Muy Alta",' RIESGOS DE GESTION'!#REF!="Catastrófico"),CONCATENATE("R2C",' RIESGOS DE GESTION'!#REF!),"")</f>
        <v>#REF!</v>
      </c>
      <c r="AI7" s="44" t="e">
        <f>IF(AND(' RIESGOS DE GESTION'!#REF!="Muy Alta",' RIESGOS DE GESTION'!#REF!="Catastrófico"),CONCATENATE("R2C",' RIESGOS DE GESTION'!#REF!),"")</f>
        <v>#REF!</v>
      </c>
      <c r="AJ7" s="44" t="e">
        <f>IF(AND(' RIESGOS DE GESTION'!#REF!="Muy Alta",' RIESGOS DE GESTION'!#REF!="Catastrófico"),CONCATENATE("R2C",' RIESGOS DE GESTION'!#REF!),"")</f>
        <v>#REF!</v>
      </c>
      <c r="AK7" s="44" t="e">
        <f>IF(AND(' RIESGOS DE GESTION'!#REF!="Muy Alta",' RIESGOS DE GESTION'!#REF!="Catastrófico"),CONCATENATE("R2C",' RIESGOS DE GESTION'!#REF!),"")</f>
        <v>#REF!</v>
      </c>
      <c r="AL7" s="44" t="e">
        <f>IF(AND(' RIESGOS DE GESTION'!#REF!="Muy Alta",' RIESGOS DE GESTION'!#REF!="Catastrófico"),CONCATENATE("R2C",' RIESGOS DE GESTION'!#REF!),"")</f>
        <v>#REF!</v>
      </c>
      <c r="AM7" s="45" t="e">
        <f>IF(AND(' RIESGOS DE GESTION'!#REF!="Muy Alta",' RIESGOS DE GESTION'!#REF!="Catastrófico"),CONCATENATE("R2C",' RIESGOS DE GESTION'!#REF!),"")</f>
        <v>#REF!</v>
      </c>
      <c r="AN7" s="71"/>
      <c r="AO7" s="642"/>
      <c r="AP7" s="643"/>
      <c r="AQ7" s="643"/>
      <c r="AR7" s="643"/>
      <c r="AS7" s="643"/>
      <c r="AT7" s="644"/>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row>
    <row r="8" spans="1:91" ht="15" customHeight="1">
      <c r="A8" s="71"/>
      <c r="B8" s="537"/>
      <c r="C8" s="537"/>
      <c r="D8" s="538"/>
      <c r="E8" s="636"/>
      <c r="F8" s="635"/>
      <c r="G8" s="635"/>
      <c r="H8" s="635"/>
      <c r="I8" s="651"/>
      <c r="J8" s="40" t="e">
        <f>IF(AND(' RIESGOS DE GESTION'!#REF!="Muy Alta",' RIESGOS DE GESTION'!#REF!="Leve"),CONCATENATE("R3C",' RIESGOS DE GESTION'!#REF!),"")</f>
        <v>#REF!</v>
      </c>
      <c r="K8" s="41" t="e">
        <f>IF(AND(' RIESGOS DE GESTION'!#REF!="Muy Alta",' RIESGOS DE GESTION'!#REF!="Leve"),CONCATENATE("R3C",' RIESGOS DE GESTION'!#REF!),"")</f>
        <v>#REF!</v>
      </c>
      <c r="L8" s="41" t="e">
        <f>IF(AND(' RIESGOS DE GESTION'!#REF!="Muy Alta",' RIESGOS DE GESTION'!#REF!="Leve"),CONCATENATE("R3C",' RIESGOS DE GESTION'!#REF!),"")</f>
        <v>#REF!</v>
      </c>
      <c r="M8" s="41" t="e">
        <f>IF(AND(' RIESGOS DE GESTION'!#REF!="Muy Alta",' RIESGOS DE GESTION'!#REF!="Leve"),CONCATENATE("R3C",' RIESGOS DE GESTION'!#REF!),"")</f>
        <v>#REF!</v>
      </c>
      <c r="N8" s="41" t="e">
        <f>IF(AND(' RIESGOS DE GESTION'!#REF!="Muy Alta",' RIESGOS DE GESTION'!#REF!="Leve"),CONCATENATE("R3C",' RIESGOS DE GESTION'!#REF!),"")</f>
        <v>#REF!</v>
      </c>
      <c r="O8" s="42" t="e">
        <f>IF(AND(' RIESGOS DE GESTION'!#REF!="Muy Alta",' RIESGOS DE GESTION'!#REF!="Leve"),CONCATENATE("R3C",' RIESGOS DE GESTION'!#REF!),"")</f>
        <v>#REF!</v>
      </c>
      <c r="P8" s="40" t="e">
        <f>IF(AND(' RIESGOS DE GESTION'!#REF!="Muy Alta",' RIESGOS DE GESTION'!#REF!="Menor"),CONCATENATE("R3C",' RIESGOS DE GESTION'!#REF!),"")</f>
        <v>#REF!</v>
      </c>
      <c r="Q8" s="41" t="e">
        <f>IF(AND(' RIESGOS DE GESTION'!#REF!="Muy Alta",' RIESGOS DE GESTION'!#REF!="Menor"),CONCATENATE("R3C",' RIESGOS DE GESTION'!#REF!),"")</f>
        <v>#REF!</v>
      </c>
      <c r="R8" s="41" t="e">
        <f>IF(AND(' RIESGOS DE GESTION'!#REF!="Muy Alta",' RIESGOS DE GESTION'!#REF!="Menor"),CONCATENATE("R3C",' RIESGOS DE GESTION'!#REF!),"")</f>
        <v>#REF!</v>
      </c>
      <c r="S8" s="41" t="e">
        <f>IF(AND(' RIESGOS DE GESTION'!#REF!="Muy Alta",' RIESGOS DE GESTION'!#REF!="Menor"),CONCATENATE("R3C",' RIESGOS DE GESTION'!#REF!),"")</f>
        <v>#REF!</v>
      </c>
      <c r="T8" s="41" t="e">
        <f>IF(AND(' RIESGOS DE GESTION'!#REF!="Muy Alta",' RIESGOS DE GESTION'!#REF!="Menor"),CONCATENATE("R3C",' RIESGOS DE GESTION'!#REF!),"")</f>
        <v>#REF!</v>
      </c>
      <c r="U8" s="42" t="e">
        <f>IF(AND(' RIESGOS DE GESTION'!#REF!="Muy Alta",' RIESGOS DE GESTION'!#REF!="Menor"),CONCATENATE("R3C",' RIESGOS DE GESTION'!#REF!),"")</f>
        <v>#REF!</v>
      </c>
      <c r="V8" s="40" t="e">
        <f>IF(AND(' RIESGOS DE GESTION'!#REF!="Muy Alta",' RIESGOS DE GESTION'!#REF!="Moderado"),CONCATENATE("R3C",' RIESGOS DE GESTION'!#REF!),"")</f>
        <v>#REF!</v>
      </c>
      <c r="W8" s="41" t="e">
        <f>IF(AND(' RIESGOS DE GESTION'!#REF!="Muy Alta",' RIESGOS DE GESTION'!#REF!="Moderado"),CONCATENATE("R3C",' RIESGOS DE GESTION'!#REF!),"")</f>
        <v>#REF!</v>
      </c>
      <c r="X8" s="41" t="e">
        <f>IF(AND(' RIESGOS DE GESTION'!#REF!="Muy Alta",' RIESGOS DE GESTION'!#REF!="Moderado"),CONCATENATE("R3C",' RIESGOS DE GESTION'!#REF!),"")</f>
        <v>#REF!</v>
      </c>
      <c r="Y8" s="41" t="e">
        <f>IF(AND(' RIESGOS DE GESTION'!#REF!="Muy Alta",' RIESGOS DE GESTION'!#REF!="Moderado"),CONCATENATE("R3C",' RIESGOS DE GESTION'!#REF!),"")</f>
        <v>#REF!</v>
      </c>
      <c r="Z8" s="41" t="e">
        <f>IF(AND(' RIESGOS DE GESTION'!#REF!="Muy Alta",' RIESGOS DE GESTION'!#REF!="Moderado"),CONCATENATE("R3C",' RIESGOS DE GESTION'!#REF!),"")</f>
        <v>#REF!</v>
      </c>
      <c r="AA8" s="42" t="e">
        <f>IF(AND(' RIESGOS DE GESTION'!#REF!="Muy Alta",' RIESGOS DE GESTION'!#REF!="Moderado"),CONCATENATE("R3C",' RIESGOS DE GESTION'!#REF!),"")</f>
        <v>#REF!</v>
      </c>
      <c r="AB8" s="40" t="e">
        <f>IF(AND(' RIESGOS DE GESTION'!#REF!="Muy Alta",' RIESGOS DE GESTION'!#REF!="Mayor"),CONCATENATE("R3C",' RIESGOS DE GESTION'!#REF!),"")</f>
        <v>#REF!</v>
      </c>
      <c r="AC8" s="41" t="e">
        <f>IF(AND(' RIESGOS DE GESTION'!#REF!="Muy Alta",' RIESGOS DE GESTION'!#REF!="Mayor"),CONCATENATE("R3C",' RIESGOS DE GESTION'!#REF!),"")</f>
        <v>#REF!</v>
      </c>
      <c r="AD8" s="41" t="e">
        <f>IF(AND(' RIESGOS DE GESTION'!#REF!="Muy Alta",' RIESGOS DE GESTION'!#REF!="Mayor"),CONCATENATE("R3C",' RIESGOS DE GESTION'!#REF!),"")</f>
        <v>#REF!</v>
      </c>
      <c r="AE8" s="41" t="e">
        <f>IF(AND(' RIESGOS DE GESTION'!#REF!="Muy Alta",' RIESGOS DE GESTION'!#REF!="Mayor"),CONCATENATE("R3C",' RIESGOS DE GESTION'!#REF!),"")</f>
        <v>#REF!</v>
      </c>
      <c r="AF8" s="41" t="e">
        <f>IF(AND(' RIESGOS DE GESTION'!#REF!="Muy Alta",' RIESGOS DE GESTION'!#REF!="Mayor"),CONCATENATE("R3C",' RIESGOS DE GESTION'!#REF!),"")</f>
        <v>#REF!</v>
      </c>
      <c r="AG8" s="42" t="e">
        <f>IF(AND(' RIESGOS DE GESTION'!#REF!="Muy Alta",' RIESGOS DE GESTION'!#REF!="Mayor"),CONCATENATE("R3C",' RIESGOS DE GESTION'!#REF!),"")</f>
        <v>#REF!</v>
      </c>
      <c r="AH8" s="43" t="e">
        <f>IF(AND(' RIESGOS DE GESTION'!#REF!="Muy Alta",' RIESGOS DE GESTION'!#REF!="Catastrófico"),CONCATENATE("R3C",' RIESGOS DE GESTION'!#REF!),"")</f>
        <v>#REF!</v>
      </c>
      <c r="AI8" s="44" t="e">
        <f>IF(AND(' RIESGOS DE GESTION'!#REF!="Muy Alta",' RIESGOS DE GESTION'!#REF!="Catastrófico"),CONCATENATE("R3C",' RIESGOS DE GESTION'!#REF!),"")</f>
        <v>#REF!</v>
      </c>
      <c r="AJ8" s="44" t="e">
        <f>IF(AND(' RIESGOS DE GESTION'!#REF!="Muy Alta",' RIESGOS DE GESTION'!#REF!="Catastrófico"),CONCATENATE("R3C",' RIESGOS DE GESTION'!#REF!),"")</f>
        <v>#REF!</v>
      </c>
      <c r="AK8" s="44" t="e">
        <f>IF(AND(' RIESGOS DE GESTION'!#REF!="Muy Alta",' RIESGOS DE GESTION'!#REF!="Catastrófico"),CONCATENATE("R3C",' RIESGOS DE GESTION'!#REF!),"")</f>
        <v>#REF!</v>
      </c>
      <c r="AL8" s="44" t="e">
        <f>IF(AND(' RIESGOS DE GESTION'!#REF!="Muy Alta",' RIESGOS DE GESTION'!#REF!="Catastrófico"),CONCATENATE("R3C",' RIESGOS DE GESTION'!#REF!),"")</f>
        <v>#REF!</v>
      </c>
      <c r="AM8" s="45" t="e">
        <f>IF(AND(' RIESGOS DE GESTION'!#REF!="Muy Alta",' RIESGOS DE GESTION'!#REF!="Catastrófico"),CONCATENATE("R3C",' RIESGOS DE GESTION'!#REF!),"")</f>
        <v>#REF!</v>
      </c>
      <c r="AN8" s="71"/>
      <c r="AO8" s="642"/>
      <c r="AP8" s="643"/>
      <c r="AQ8" s="643"/>
      <c r="AR8" s="643"/>
      <c r="AS8" s="643"/>
      <c r="AT8" s="644"/>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row>
    <row r="9" spans="1:91" ht="15" customHeight="1">
      <c r="A9" s="71"/>
      <c r="B9" s="537"/>
      <c r="C9" s="537"/>
      <c r="D9" s="538"/>
      <c r="E9" s="636"/>
      <c r="F9" s="635"/>
      <c r="G9" s="635"/>
      <c r="H9" s="635"/>
      <c r="I9" s="651"/>
      <c r="J9" s="40" t="e">
        <f>IF(AND(' RIESGOS DE GESTION'!#REF!="Muy Alta",' RIESGOS DE GESTION'!#REF!="Leve"),CONCATENATE("R4C",' RIESGOS DE GESTION'!#REF!),"")</f>
        <v>#REF!</v>
      </c>
      <c r="K9" s="41" t="e">
        <f>IF(AND(' RIESGOS DE GESTION'!#REF!="Muy Alta",' RIESGOS DE GESTION'!#REF!="Leve"),CONCATENATE("R4C",' RIESGOS DE GESTION'!#REF!),"")</f>
        <v>#REF!</v>
      </c>
      <c r="L9" s="41" t="e">
        <f>IF(AND(' RIESGOS DE GESTION'!#REF!="Muy Alta",' RIESGOS DE GESTION'!#REF!="Leve"),CONCATENATE("R4C",' RIESGOS DE GESTION'!#REF!),"")</f>
        <v>#REF!</v>
      </c>
      <c r="M9" s="41" t="e">
        <f>IF(AND(' RIESGOS DE GESTION'!#REF!="Muy Alta",' RIESGOS DE GESTION'!#REF!="Leve"),CONCATENATE("R4C",' RIESGOS DE GESTION'!#REF!),"")</f>
        <v>#REF!</v>
      </c>
      <c r="N9" s="41" t="e">
        <f>IF(AND(' RIESGOS DE GESTION'!#REF!="Muy Alta",' RIESGOS DE GESTION'!#REF!="Leve"),CONCATENATE("R4C",' RIESGOS DE GESTION'!#REF!),"")</f>
        <v>#REF!</v>
      </c>
      <c r="O9" s="42" t="e">
        <f>IF(AND(' RIESGOS DE GESTION'!#REF!="Muy Alta",' RIESGOS DE GESTION'!#REF!="Leve"),CONCATENATE("R4C",' RIESGOS DE GESTION'!#REF!),"")</f>
        <v>#REF!</v>
      </c>
      <c r="P9" s="40" t="e">
        <f>IF(AND(' RIESGOS DE GESTION'!#REF!="Muy Alta",' RIESGOS DE GESTION'!#REF!="Menor"),CONCATENATE("R4C",' RIESGOS DE GESTION'!#REF!),"")</f>
        <v>#REF!</v>
      </c>
      <c r="Q9" s="41" t="e">
        <f>IF(AND(' RIESGOS DE GESTION'!#REF!="Muy Alta",' RIESGOS DE GESTION'!#REF!="Menor"),CONCATENATE("R4C",' RIESGOS DE GESTION'!#REF!),"")</f>
        <v>#REF!</v>
      </c>
      <c r="R9" s="41" t="e">
        <f>IF(AND(' RIESGOS DE GESTION'!#REF!="Muy Alta",' RIESGOS DE GESTION'!#REF!="Menor"),CONCATENATE("R4C",' RIESGOS DE GESTION'!#REF!),"")</f>
        <v>#REF!</v>
      </c>
      <c r="S9" s="41" t="e">
        <f>IF(AND(' RIESGOS DE GESTION'!#REF!="Muy Alta",' RIESGOS DE GESTION'!#REF!="Menor"),CONCATENATE("R4C",' RIESGOS DE GESTION'!#REF!),"")</f>
        <v>#REF!</v>
      </c>
      <c r="T9" s="41" t="e">
        <f>IF(AND(' RIESGOS DE GESTION'!#REF!="Muy Alta",' RIESGOS DE GESTION'!#REF!="Menor"),CONCATENATE("R4C",' RIESGOS DE GESTION'!#REF!),"")</f>
        <v>#REF!</v>
      </c>
      <c r="U9" s="42" t="e">
        <f>IF(AND(' RIESGOS DE GESTION'!#REF!="Muy Alta",' RIESGOS DE GESTION'!#REF!="Menor"),CONCATENATE("R4C",' RIESGOS DE GESTION'!#REF!),"")</f>
        <v>#REF!</v>
      </c>
      <c r="V9" s="40" t="e">
        <f>IF(AND(' RIESGOS DE GESTION'!#REF!="Muy Alta",' RIESGOS DE GESTION'!#REF!="Moderado"),CONCATENATE("R4C",' RIESGOS DE GESTION'!#REF!),"")</f>
        <v>#REF!</v>
      </c>
      <c r="W9" s="41" t="e">
        <f>IF(AND(' RIESGOS DE GESTION'!#REF!="Muy Alta",' RIESGOS DE GESTION'!#REF!="Moderado"),CONCATENATE("R4C",' RIESGOS DE GESTION'!#REF!),"")</f>
        <v>#REF!</v>
      </c>
      <c r="X9" s="41" t="e">
        <f>IF(AND(' RIESGOS DE GESTION'!#REF!="Muy Alta",' RIESGOS DE GESTION'!#REF!="Moderado"),CONCATENATE("R4C",' RIESGOS DE GESTION'!#REF!),"")</f>
        <v>#REF!</v>
      </c>
      <c r="Y9" s="41" t="e">
        <f>IF(AND(' RIESGOS DE GESTION'!#REF!="Muy Alta",' RIESGOS DE GESTION'!#REF!="Moderado"),CONCATENATE("R4C",' RIESGOS DE GESTION'!#REF!),"")</f>
        <v>#REF!</v>
      </c>
      <c r="Z9" s="41" t="e">
        <f>IF(AND(' RIESGOS DE GESTION'!#REF!="Muy Alta",' RIESGOS DE GESTION'!#REF!="Moderado"),CONCATENATE("R4C",' RIESGOS DE GESTION'!#REF!),"")</f>
        <v>#REF!</v>
      </c>
      <c r="AA9" s="42" t="e">
        <f>IF(AND(' RIESGOS DE GESTION'!#REF!="Muy Alta",' RIESGOS DE GESTION'!#REF!="Moderado"),CONCATENATE("R4C",' RIESGOS DE GESTION'!#REF!),"")</f>
        <v>#REF!</v>
      </c>
      <c r="AB9" s="40" t="e">
        <f>IF(AND(' RIESGOS DE GESTION'!#REF!="Muy Alta",' RIESGOS DE GESTION'!#REF!="Mayor"),CONCATENATE("R4C",' RIESGOS DE GESTION'!#REF!),"")</f>
        <v>#REF!</v>
      </c>
      <c r="AC9" s="41" t="e">
        <f>IF(AND(' RIESGOS DE GESTION'!#REF!="Muy Alta",' RIESGOS DE GESTION'!#REF!="Mayor"),CONCATENATE("R4C",' RIESGOS DE GESTION'!#REF!),"")</f>
        <v>#REF!</v>
      </c>
      <c r="AD9" s="41" t="e">
        <f>IF(AND(' RIESGOS DE GESTION'!#REF!="Muy Alta",' RIESGOS DE GESTION'!#REF!="Mayor"),CONCATENATE("R4C",' RIESGOS DE GESTION'!#REF!),"")</f>
        <v>#REF!</v>
      </c>
      <c r="AE9" s="41" t="e">
        <f>IF(AND(' RIESGOS DE GESTION'!#REF!="Muy Alta",' RIESGOS DE GESTION'!#REF!="Mayor"),CONCATENATE("R4C",' RIESGOS DE GESTION'!#REF!),"")</f>
        <v>#REF!</v>
      </c>
      <c r="AF9" s="41" t="e">
        <f>IF(AND(' RIESGOS DE GESTION'!#REF!="Muy Alta",' RIESGOS DE GESTION'!#REF!="Mayor"),CONCATENATE("R4C",' RIESGOS DE GESTION'!#REF!),"")</f>
        <v>#REF!</v>
      </c>
      <c r="AG9" s="42" t="e">
        <f>IF(AND(' RIESGOS DE GESTION'!#REF!="Muy Alta",' RIESGOS DE GESTION'!#REF!="Mayor"),CONCATENATE("R4C",' RIESGOS DE GESTION'!#REF!),"")</f>
        <v>#REF!</v>
      </c>
      <c r="AH9" s="43" t="e">
        <f>IF(AND(' RIESGOS DE GESTION'!#REF!="Muy Alta",' RIESGOS DE GESTION'!#REF!="Catastrófico"),CONCATENATE("R4C",' RIESGOS DE GESTION'!#REF!),"")</f>
        <v>#REF!</v>
      </c>
      <c r="AI9" s="44" t="e">
        <f>IF(AND(' RIESGOS DE GESTION'!#REF!="Muy Alta",' RIESGOS DE GESTION'!#REF!="Catastrófico"),CONCATENATE("R4C",' RIESGOS DE GESTION'!#REF!),"")</f>
        <v>#REF!</v>
      </c>
      <c r="AJ9" s="44" t="e">
        <f>IF(AND(' RIESGOS DE GESTION'!#REF!="Muy Alta",' RIESGOS DE GESTION'!#REF!="Catastrófico"),CONCATENATE("R4C",' RIESGOS DE GESTION'!#REF!),"")</f>
        <v>#REF!</v>
      </c>
      <c r="AK9" s="44" t="e">
        <f>IF(AND(' RIESGOS DE GESTION'!#REF!="Muy Alta",' RIESGOS DE GESTION'!#REF!="Catastrófico"),CONCATENATE("R4C",' RIESGOS DE GESTION'!#REF!),"")</f>
        <v>#REF!</v>
      </c>
      <c r="AL9" s="44" t="e">
        <f>IF(AND(' RIESGOS DE GESTION'!#REF!="Muy Alta",' RIESGOS DE GESTION'!#REF!="Catastrófico"),CONCATENATE("R4C",' RIESGOS DE GESTION'!#REF!),"")</f>
        <v>#REF!</v>
      </c>
      <c r="AM9" s="45" t="e">
        <f>IF(AND(' RIESGOS DE GESTION'!#REF!="Muy Alta",' RIESGOS DE GESTION'!#REF!="Catastrófico"),CONCATENATE("R4C",' RIESGOS DE GESTION'!#REF!),"")</f>
        <v>#REF!</v>
      </c>
      <c r="AN9" s="71"/>
      <c r="AO9" s="642"/>
      <c r="AP9" s="643"/>
      <c r="AQ9" s="643"/>
      <c r="AR9" s="643"/>
      <c r="AS9" s="643"/>
      <c r="AT9" s="644"/>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row>
    <row r="10" spans="1:91" ht="15" customHeight="1">
      <c r="A10" s="71"/>
      <c r="B10" s="537"/>
      <c r="C10" s="537"/>
      <c r="D10" s="538"/>
      <c r="E10" s="636"/>
      <c r="F10" s="635"/>
      <c r="G10" s="635"/>
      <c r="H10" s="635"/>
      <c r="I10" s="651"/>
      <c r="J10" s="40" t="e">
        <f>IF(AND(' RIESGOS DE GESTION'!#REF!="Muy Alta",' RIESGOS DE GESTION'!#REF!="Leve"),CONCATENATE("R5C",' RIESGOS DE GESTION'!#REF!),"")</f>
        <v>#REF!</v>
      </c>
      <c r="K10" s="41" t="e">
        <f>IF(AND(' RIESGOS DE GESTION'!#REF!="Muy Alta",' RIESGOS DE GESTION'!#REF!="Leve"),CONCATENATE("R5C",' RIESGOS DE GESTION'!#REF!),"")</f>
        <v>#REF!</v>
      </c>
      <c r="L10" s="41" t="e">
        <f>IF(AND(' RIESGOS DE GESTION'!#REF!="Muy Alta",' RIESGOS DE GESTION'!#REF!="Leve"),CONCATENATE("R5C",' RIESGOS DE GESTION'!#REF!),"")</f>
        <v>#REF!</v>
      </c>
      <c r="M10" s="41" t="e">
        <f>IF(AND(' RIESGOS DE GESTION'!#REF!="Muy Alta",' RIESGOS DE GESTION'!#REF!="Leve"),CONCATENATE("R5C",' RIESGOS DE GESTION'!#REF!),"")</f>
        <v>#REF!</v>
      </c>
      <c r="N10" s="41" t="e">
        <f>IF(AND(' RIESGOS DE GESTION'!#REF!="Muy Alta",' RIESGOS DE GESTION'!#REF!="Leve"),CONCATENATE("R5C",' RIESGOS DE GESTION'!#REF!),"")</f>
        <v>#REF!</v>
      </c>
      <c r="O10" s="42" t="e">
        <f>IF(AND(' RIESGOS DE GESTION'!#REF!="Muy Alta",' RIESGOS DE GESTION'!#REF!="Leve"),CONCATENATE("R5C",' RIESGOS DE GESTION'!#REF!),"")</f>
        <v>#REF!</v>
      </c>
      <c r="P10" s="40" t="e">
        <f>IF(AND(' RIESGOS DE GESTION'!#REF!="Muy Alta",' RIESGOS DE GESTION'!#REF!="Menor"),CONCATENATE("R5C",' RIESGOS DE GESTION'!#REF!),"")</f>
        <v>#REF!</v>
      </c>
      <c r="Q10" s="41" t="e">
        <f>IF(AND(' RIESGOS DE GESTION'!#REF!="Muy Alta",' RIESGOS DE GESTION'!#REF!="Menor"),CONCATENATE("R5C",' RIESGOS DE GESTION'!#REF!),"")</f>
        <v>#REF!</v>
      </c>
      <c r="R10" s="41" t="e">
        <f>IF(AND(' RIESGOS DE GESTION'!#REF!="Muy Alta",' RIESGOS DE GESTION'!#REF!="Menor"),CONCATENATE("R5C",' RIESGOS DE GESTION'!#REF!),"")</f>
        <v>#REF!</v>
      </c>
      <c r="S10" s="41" t="e">
        <f>IF(AND(' RIESGOS DE GESTION'!#REF!="Muy Alta",' RIESGOS DE GESTION'!#REF!="Menor"),CONCATENATE("R5C",' RIESGOS DE GESTION'!#REF!),"")</f>
        <v>#REF!</v>
      </c>
      <c r="T10" s="41" t="e">
        <f>IF(AND(' RIESGOS DE GESTION'!#REF!="Muy Alta",' RIESGOS DE GESTION'!#REF!="Menor"),CONCATENATE("R5C",' RIESGOS DE GESTION'!#REF!),"")</f>
        <v>#REF!</v>
      </c>
      <c r="U10" s="42" t="e">
        <f>IF(AND(' RIESGOS DE GESTION'!#REF!="Muy Alta",' RIESGOS DE GESTION'!#REF!="Menor"),CONCATENATE("R5C",' RIESGOS DE GESTION'!#REF!),"")</f>
        <v>#REF!</v>
      </c>
      <c r="V10" s="40" t="e">
        <f>IF(AND(' RIESGOS DE GESTION'!#REF!="Muy Alta",' RIESGOS DE GESTION'!#REF!="Moderado"),CONCATENATE("R5C",' RIESGOS DE GESTION'!#REF!),"")</f>
        <v>#REF!</v>
      </c>
      <c r="W10" s="41" t="e">
        <f>IF(AND(' RIESGOS DE GESTION'!#REF!="Muy Alta",' RIESGOS DE GESTION'!#REF!="Moderado"),CONCATENATE("R5C",' RIESGOS DE GESTION'!#REF!),"")</f>
        <v>#REF!</v>
      </c>
      <c r="X10" s="41" t="e">
        <f>IF(AND(' RIESGOS DE GESTION'!#REF!="Muy Alta",' RIESGOS DE GESTION'!#REF!="Moderado"),CONCATENATE("R5C",' RIESGOS DE GESTION'!#REF!),"")</f>
        <v>#REF!</v>
      </c>
      <c r="Y10" s="41" t="e">
        <f>IF(AND(' RIESGOS DE GESTION'!#REF!="Muy Alta",' RIESGOS DE GESTION'!#REF!="Moderado"),CONCATENATE("R5C",' RIESGOS DE GESTION'!#REF!),"")</f>
        <v>#REF!</v>
      </c>
      <c r="Z10" s="41" t="e">
        <f>IF(AND(' RIESGOS DE GESTION'!#REF!="Muy Alta",' RIESGOS DE GESTION'!#REF!="Moderado"),CONCATENATE("R5C",' RIESGOS DE GESTION'!#REF!),"")</f>
        <v>#REF!</v>
      </c>
      <c r="AA10" s="42" t="e">
        <f>IF(AND(' RIESGOS DE GESTION'!#REF!="Muy Alta",' RIESGOS DE GESTION'!#REF!="Moderado"),CONCATENATE("R5C",' RIESGOS DE GESTION'!#REF!),"")</f>
        <v>#REF!</v>
      </c>
      <c r="AB10" s="40" t="e">
        <f>IF(AND(' RIESGOS DE GESTION'!#REF!="Muy Alta",' RIESGOS DE GESTION'!#REF!="Mayor"),CONCATENATE("R5C",' RIESGOS DE GESTION'!#REF!),"")</f>
        <v>#REF!</v>
      </c>
      <c r="AC10" s="41" t="e">
        <f>IF(AND(' RIESGOS DE GESTION'!#REF!="Muy Alta",' RIESGOS DE GESTION'!#REF!="Mayor"),CONCATENATE("R5C",' RIESGOS DE GESTION'!#REF!),"")</f>
        <v>#REF!</v>
      </c>
      <c r="AD10" s="41" t="e">
        <f>IF(AND(' RIESGOS DE GESTION'!#REF!="Muy Alta",' RIESGOS DE GESTION'!#REF!="Mayor"),CONCATENATE("R5C",' RIESGOS DE GESTION'!#REF!),"")</f>
        <v>#REF!</v>
      </c>
      <c r="AE10" s="41" t="e">
        <f>IF(AND(' RIESGOS DE GESTION'!#REF!="Muy Alta",' RIESGOS DE GESTION'!#REF!="Mayor"),CONCATENATE("R5C",' RIESGOS DE GESTION'!#REF!),"")</f>
        <v>#REF!</v>
      </c>
      <c r="AF10" s="41" t="e">
        <f>IF(AND(' RIESGOS DE GESTION'!#REF!="Muy Alta",' RIESGOS DE GESTION'!#REF!="Mayor"),CONCATENATE("R5C",' RIESGOS DE GESTION'!#REF!),"")</f>
        <v>#REF!</v>
      </c>
      <c r="AG10" s="42" t="e">
        <f>IF(AND(' RIESGOS DE GESTION'!#REF!="Muy Alta",' RIESGOS DE GESTION'!#REF!="Mayor"),CONCATENATE("R5C",' RIESGOS DE GESTION'!#REF!),"")</f>
        <v>#REF!</v>
      </c>
      <c r="AH10" s="43" t="e">
        <f>IF(AND(' RIESGOS DE GESTION'!#REF!="Muy Alta",' RIESGOS DE GESTION'!#REF!="Catastrófico"),CONCATENATE("R5C",' RIESGOS DE GESTION'!#REF!),"")</f>
        <v>#REF!</v>
      </c>
      <c r="AI10" s="44" t="e">
        <f>IF(AND(' RIESGOS DE GESTION'!#REF!="Muy Alta",' RIESGOS DE GESTION'!#REF!="Catastrófico"),CONCATENATE("R5C",' RIESGOS DE GESTION'!#REF!),"")</f>
        <v>#REF!</v>
      </c>
      <c r="AJ10" s="44" t="e">
        <f>IF(AND(' RIESGOS DE GESTION'!#REF!="Muy Alta",' RIESGOS DE GESTION'!#REF!="Catastrófico"),CONCATENATE("R5C",' RIESGOS DE GESTION'!#REF!),"")</f>
        <v>#REF!</v>
      </c>
      <c r="AK10" s="44" t="e">
        <f>IF(AND(' RIESGOS DE GESTION'!#REF!="Muy Alta",' RIESGOS DE GESTION'!#REF!="Catastrófico"),CONCATENATE("R5C",' RIESGOS DE GESTION'!#REF!),"")</f>
        <v>#REF!</v>
      </c>
      <c r="AL10" s="44" t="e">
        <f>IF(AND(' RIESGOS DE GESTION'!#REF!="Muy Alta",' RIESGOS DE GESTION'!#REF!="Catastrófico"),CONCATENATE("R5C",' RIESGOS DE GESTION'!#REF!),"")</f>
        <v>#REF!</v>
      </c>
      <c r="AM10" s="45" t="e">
        <f>IF(AND(' RIESGOS DE GESTION'!#REF!="Muy Alta",' RIESGOS DE GESTION'!#REF!="Catastrófico"),CONCATENATE("R5C",' RIESGOS DE GESTION'!#REF!),"")</f>
        <v>#REF!</v>
      </c>
      <c r="AN10" s="71"/>
      <c r="AO10" s="642"/>
      <c r="AP10" s="643"/>
      <c r="AQ10" s="643"/>
      <c r="AR10" s="643"/>
      <c r="AS10" s="643"/>
      <c r="AT10" s="644"/>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row>
    <row r="11" spans="1:91" ht="15" customHeight="1">
      <c r="A11" s="71"/>
      <c r="B11" s="537"/>
      <c r="C11" s="537"/>
      <c r="D11" s="538"/>
      <c r="E11" s="636"/>
      <c r="F11" s="635"/>
      <c r="G11" s="635"/>
      <c r="H11" s="635"/>
      <c r="I11" s="651"/>
      <c r="J11" s="40" t="e">
        <f>IF(AND(' RIESGOS DE GESTION'!#REF!="Muy Alta",' RIESGOS DE GESTION'!#REF!="Leve"),CONCATENATE("R6C",' RIESGOS DE GESTION'!#REF!),"")</f>
        <v>#REF!</v>
      </c>
      <c r="K11" s="41" t="e">
        <f>IF(AND(' RIESGOS DE GESTION'!#REF!="Muy Alta",' RIESGOS DE GESTION'!#REF!="Leve"),CONCATENATE("R6C",' RIESGOS DE GESTION'!#REF!),"")</f>
        <v>#REF!</v>
      </c>
      <c r="L11" s="41" t="e">
        <f>IF(AND(' RIESGOS DE GESTION'!#REF!="Muy Alta",' RIESGOS DE GESTION'!#REF!="Leve"),CONCATENATE("R6C",' RIESGOS DE GESTION'!#REF!),"")</f>
        <v>#REF!</v>
      </c>
      <c r="M11" s="41" t="e">
        <f>IF(AND(' RIESGOS DE GESTION'!#REF!="Muy Alta",' RIESGOS DE GESTION'!#REF!="Leve"),CONCATENATE("R6C",' RIESGOS DE GESTION'!#REF!),"")</f>
        <v>#REF!</v>
      </c>
      <c r="N11" s="41" t="e">
        <f>IF(AND(' RIESGOS DE GESTION'!#REF!="Muy Alta",' RIESGOS DE GESTION'!#REF!="Leve"),CONCATENATE("R6C",' RIESGOS DE GESTION'!#REF!),"")</f>
        <v>#REF!</v>
      </c>
      <c r="O11" s="42" t="e">
        <f>IF(AND(' RIESGOS DE GESTION'!#REF!="Muy Alta",' RIESGOS DE GESTION'!#REF!="Leve"),CONCATENATE("R6C",' RIESGOS DE GESTION'!#REF!),"")</f>
        <v>#REF!</v>
      </c>
      <c r="P11" s="40" t="e">
        <f>IF(AND(' RIESGOS DE GESTION'!#REF!="Muy Alta",' RIESGOS DE GESTION'!#REF!="Menor"),CONCATENATE("R6C",' RIESGOS DE GESTION'!#REF!),"")</f>
        <v>#REF!</v>
      </c>
      <c r="Q11" s="41" t="e">
        <f>IF(AND(' RIESGOS DE GESTION'!#REF!="Muy Alta",' RIESGOS DE GESTION'!#REF!="Menor"),CONCATENATE("R6C",' RIESGOS DE GESTION'!#REF!),"")</f>
        <v>#REF!</v>
      </c>
      <c r="R11" s="41" t="e">
        <f>IF(AND(' RIESGOS DE GESTION'!#REF!="Muy Alta",' RIESGOS DE GESTION'!#REF!="Menor"),CONCATENATE("R6C",' RIESGOS DE GESTION'!#REF!),"")</f>
        <v>#REF!</v>
      </c>
      <c r="S11" s="41" t="e">
        <f>IF(AND(' RIESGOS DE GESTION'!#REF!="Muy Alta",' RIESGOS DE GESTION'!#REF!="Menor"),CONCATENATE("R6C",' RIESGOS DE GESTION'!#REF!),"")</f>
        <v>#REF!</v>
      </c>
      <c r="T11" s="41" t="e">
        <f>IF(AND(' RIESGOS DE GESTION'!#REF!="Muy Alta",' RIESGOS DE GESTION'!#REF!="Menor"),CONCATENATE("R6C",' RIESGOS DE GESTION'!#REF!),"")</f>
        <v>#REF!</v>
      </c>
      <c r="U11" s="42" t="e">
        <f>IF(AND(' RIESGOS DE GESTION'!#REF!="Muy Alta",' RIESGOS DE GESTION'!#REF!="Menor"),CONCATENATE("R6C",' RIESGOS DE GESTION'!#REF!),"")</f>
        <v>#REF!</v>
      </c>
      <c r="V11" s="40" t="e">
        <f>IF(AND(' RIESGOS DE GESTION'!#REF!="Muy Alta",' RIESGOS DE GESTION'!#REF!="Moderado"),CONCATENATE("R6C",' RIESGOS DE GESTION'!#REF!),"")</f>
        <v>#REF!</v>
      </c>
      <c r="W11" s="41" t="e">
        <f>IF(AND(' RIESGOS DE GESTION'!#REF!="Muy Alta",' RIESGOS DE GESTION'!#REF!="Moderado"),CONCATENATE("R6C",' RIESGOS DE GESTION'!#REF!),"")</f>
        <v>#REF!</v>
      </c>
      <c r="X11" s="41" t="e">
        <f>IF(AND(' RIESGOS DE GESTION'!#REF!="Muy Alta",' RIESGOS DE GESTION'!#REF!="Moderado"),CONCATENATE("R6C",' RIESGOS DE GESTION'!#REF!),"")</f>
        <v>#REF!</v>
      </c>
      <c r="Y11" s="41" t="e">
        <f>IF(AND(' RIESGOS DE GESTION'!#REF!="Muy Alta",' RIESGOS DE GESTION'!#REF!="Moderado"),CONCATENATE("R6C",' RIESGOS DE GESTION'!#REF!),"")</f>
        <v>#REF!</v>
      </c>
      <c r="Z11" s="41" t="e">
        <f>IF(AND(' RIESGOS DE GESTION'!#REF!="Muy Alta",' RIESGOS DE GESTION'!#REF!="Moderado"),CONCATENATE("R6C",' RIESGOS DE GESTION'!#REF!),"")</f>
        <v>#REF!</v>
      </c>
      <c r="AA11" s="42" t="e">
        <f>IF(AND(' RIESGOS DE GESTION'!#REF!="Muy Alta",' RIESGOS DE GESTION'!#REF!="Moderado"),CONCATENATE("R6C",' RIESGOS DE GESTION'!#REF!),"")</f>
        <v>#REF!</v>
      </c>
      <c r="AB11" s="40" t="e">
        <f>IF(AND(' RIESGOS DE GESTION'!#REF!="Muy Alta",' RIESGOS DE GESTION'!#REF!="Mayor"),CONCATENATE("R6C",' RIESGOS DE GESTION'!#REF!),"")</f>
        <v>#REF!</v>
      </c>
      <c r="AC11" s="41" t="e">
        <f>IF(AND(' RIESGOS DE GESTION'!#REF!="Muy Alta",' RIESGOS DE GESTION'!#REF!="Mayor"),CONCATENATE("R6C",' RIESGOS DE GESTION'!#REF!),"")</f>
        <v>#REF!</v>
      </c>
      <c r="AD11" s="41" t="e">
        <f>IF(AND(' RIESGOS DE GESTION'!#REF!="Muy Alta",' RIESGOS DE GESTION'!#REF!="Mayor"),CONCATENATE("R6C",' RIESGOS DE GESTION'!#REF!),"")</f>
        <v>#REF!</v>
      </c>
      <c r="AE11" s="41" t="e">
        <f>IF(AND(' RIESGOS DE GESTION'!#REF!="Muy Alta",' RIESGOS DE GESTION'!#REF!="Mayor"),CONCATENATE("R6C",' RIESGOS DE GESTION'!#REF!),"")</f>
        <v>#REF!</v>
      </c>
      <c r="AF11" s="41" t="e">
        <f>IF(AND(' RIESGOS DE GESTION'!#REF!="Muy Alta",' RIESGOS DE GESTION'!#REF!="Mayor"),CONCATENATE("R6C",' RIESGOS DE GESTION'!#REF!),"")</f>
        <v>#REF!</v>
      </c>
      <c r="AG11" s="42" t="e">
        <f>IF(AND(' RIESGOS DE GESTION'!#REF!="Muy Alta",' RIESGOS DE GESTION'!#REF!="Mayor"),CONCATENATE("R6C",' RIESGOS DE GESTION'!#REF!),"")</f>
        <v>#REF!</v>
      </c>
      <c r="AH11" s="43" t="e">
        <f>IF(AND(' RIESGOS DE GESTION'!#REF!="Muy Alta",' RIESGOS DE GESTION'!#REF!="Catastrófico"),CONCATENATE("R6C",' RIESGOS DE GESTION'!#REF!),"")</f>
        <v>#REF!</v>
      </c>
      <c r="AI11" s="44" t="e">
        <f>IF(AND(' RIESGOS DE GESTION'!#REF!="Muy Alta",' RIESGOS DE GESTION'!#REF!="Catastrófico"),CONCATENATE("R6C",' RIESGOS DE GESTION'!#REF!),"")</f>
        <v>#REF!</v>
      </c>
      <c r="AJ11" s="44" t="e">
        <f>IF(AND(' RIESGOS DE GESTION'!#REF!="Muy Alta",' RIESGOS DE GESTION'!#REF!="Catastrófico"),CONCATENATE("R6C",' RIESGOS DE GESTION'!#REF!),"")</f>
        <v>#REF!</v>
      </c>
      <c r="AK11" s="44" t="e">
        <f>IF(AND(' RIESGOS DE GESTION'!#REF!="Muy Alta",' RIESGOS DE GESTION'!#REF!="Catastrófico"),CONCATENATE("R6C",' RIESGOS DE GESTION'!#REF!),"")</f>
        <v>#REF!</v>
      </c>
      <c r="AL11" s="44" t="e">
        <f>IF(AND(' RIESGOS DE GESTION'!#REF!="Muy Alta",' RIESGOS DE GESTION'!#REF!="Catastrófico"),CONCATENATE("R6C",' RIESGOS DE GESTION'!#REF!),"")</f>
        <v>#REF!</v>
      </c>
      <c r="AM11" s="45" t="e">
        <f>IF(AND(' RIESGOS DE GESTION'!#REF!="Muy Alta",' RIESGOS DE GESTION'!#REF!="Catastrófico"),CONCATENATE("R6C",' RIESGOS DE GESTION'!#REF!),"")</f>
        <v>#REF!</v>
      </c>
      <c r="AN11" s="71"/>
      <c r="AO11" s="642"/>
      <c r="AP11" s="643"/>
      <c r="AQ11" s="643"/>
      <c r="AR11" s="643"/>
      <c r="AS11" s="643"/>
      <c r="AT11" s="644"/>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row>
    <row r="12" spans="1:91" ht="15" customHeight="1">
      <c r="A12" s="71"/>
      <c r="B12" s="537"/>
      <c r="C12" s="537"/>
      <c r="D12" s="538"/>
      <c r="E12" s="636"/>
      <c r="F12" s="635"/>
      <c r="G12" s="635"/>
      <c r="H12" s="635"/>
      <c r="I12" s="651"/>
      <c r="J12" s="40" t="e">
        <f>IF(AND(' RIESGOS DE GESTION'!#REF!="Muy Alta",' RIESGOS DE GESTION'!#REF!="Leve"),CONCATENATE("R7C",' RIESGOS DE GESTION'!#REF!),"")</f>
        <v>#REF!</v>
      </c>
      <c r="K12" s="41" t="e">
        <f>IF(AND(' RIESGOS DE GESTION'!#REF!="Muy Alta",' RIESGOS DE GESTION'!#REF!="Leve"),CONCATENATE("R7C",' RIESGOS DE GESTION'!#REF!),"")</f>
        <v>#REF!</v>
      </c>
      <c r="L12" s="41" t="e">
        <f>IF(AND(' RIESGOS DE GESTION'!#REF!="Muy Alta",' RIESGOS DE GESTION'!#REF!="Leve"),CONCATENATE("R7C",' RIESGOS DE GESTION'!#REF!),"")</f>
        <v>#REF!</v>
      </c>
      <c r="M12" s="41" t="e">
        <f>IF(AND(' RIESGOS DE GESTION'!#REF!="Muy Alta",' RIESGOS DE GESTION'!#REF!="Leve"),CONCATENATE("R7C",' RIESGOS DE GESTION'!#REF!),"")</f>
        <v>#REF!</v>
      </c>
      <c r="N12" s="41" t="e">
        <f>IF(AND(' RIESGOS DE GESTION'!#REF!="Muy Alta",' RIESGOS DE GESTION'!#REF!="Leve"),CONCATENATE("R7C",' RIESGOS DE GESTION'!#REF!),"")</f>
        <v>#REF!</v>
      </c>
      <c r="O12" s="42" t="e">
        <f>IF(AND(' RIESGOS DE GESTION'!#REF!="Muy Alta",' RIESGOS DE GESTION'!#REF!="Leve"),CONCATENATE("R7C",' RIESGOS DE GESTION'!#REF!),"")</f>
        <v>#REF!</v>
      </c>
      <c r="P12" s="40" t="e">
        <f>IF(AND(' RIESGOS DE GESTION'!#REF!="Muy Alta",' RIESGOS DE GESTION'!#REF!="Menor"),CONCATENATE("R7C",' RIESGOS DE GESTION'!#REF!),"")</f>
        <v>#REF!</v>
      </c>
      <c r="Q12" s="41" t="e">
        <f>IF(AND(' RIESGOS DE GESTION'!#REF!="Muy Alta",' RIESGOS DE GESTION'!#REF!="Menor"),CONCATENATE("R7C",' RIESGOS DE GESTION'!#REF!),"")</f>
        <v>#REF!</v>
      </c>
      <c r="R12" s="41" t="e">
        <f>IF(AND(' RIESGOS DE GESTION'!#REF!="Muy Alta",' RIESGOS DE GESTION'!#REF!="Menor"),CONCATENATE("R7C",' RIESGOS DE GESTION'!#REF!),"")</f>
        <v>#REF!</v>
      </c>
      <c r="S12" s="41" t="e">
        <f>IF(AND(' RIESGOS DE GESTION'!#REF!="Muy Alta",' RIESGOS DE GESTION'!#REF!="Menor"),CONCATENATE("R7C",' RIESGOS DE GESTION'!#REF!),"")</f>
        <v>#REF!</v>
      </c>
      <c r="T12" s="41" t="e">
        <f>IF(AND(' RIESGOS DE GESTION'!#REF!="Muy Alta",' RIESGOS DE GESTION'!#REF!="Menor"),CONCATENATE("R7C",' RIESGOS DE GESTION'!#REF!),"")</f>
        <v>#REF!</v>
      </c>
      <c r="U12" s="42" t="e">
        <f>IF(AND(' RIESGOS DE GESTION'!#REF!="Muy Alta",' RIESGOS DE GESTION'!#REF!="Menor"),CONCATENATE("R7C",' RIESGOS DE GESTION'!#REF!),"")</f>
        <v>#REF!</v>
      </c>
      <c r="V12" s="40" t="e">
        <f>IF(AND(' RIESGOS DE GESTION'!#REF!="Muy Alta",' RIESGOS DE GESTION'!#REF!="Moderado"),CONCATENATE("R7C",' RIESGOS DE GESTION'!#REF!),"")</f>
        <v>#REF!</v>
      </c>
      <c r="W12" s="41" t="e">
        <f>IF(AND(' RIESGOS DE GESTION'!#REF!="Muy Alta",' RIESGOS DE GESTION'!#REF!="Moderado"),CONCATENATE("R7C",' RIESGOS DE GESTION'!#REF!),"")</f>
        <v>#REF!</v>
      </c>
      <c r="X12" s="41" t="e">
        <f>IF(AND(' RIESGOS DE GESTION'!#REF!="Muy Alta",' RIESGOS DE GESTION'!#REF!="Moderado"),CONCATENATE("R7C",' RIESGOS DE GESTION'!#REF!),"")</f>
        <v>#REF!</v>
      </c>
      <c r="Y12" s="41" t="e">
        <f>IF(AND(' RIESGOS DE GESTION'!#REF!="Muy Alta",' RIESGOS DE GESTION'!#REF!="Moderado"),CONCATENATE("R7C",' RIESGOS DE GESTION'!#REF!),"")</f>
        <v>#REF!</v>
      </c>
      <c r="Z12" s="41" t="e">
        <f>IF(AND(' RIESGOS DE GESTION'!#REF!="Muy Alta",' RIESGOS DE GESTION'!#REF!="Moderado"),CONCATENATE("R7C",' RIESGOS DE GESTION'!#REF!),"")</f>
        <v>#REF!</v>
      </c>
      <c r="AA12" s="42" t="e">
        <f>IF(AND(' RIESGOS DE GESTION'!#REF!="Muy Alta",' RIESGOS DE GESTION'!#REF!="Moderado"),CONCATENATE("R7C",' RIESGOS DE GESTION'!#REF!),"")</f>
        <v>#REF!</v>
      </c>
      <c r="AB12" s="40" t="e">
        <f>IF(AND(' RIESGOS DE GESTION'!#REF!="Muy Alta",' RIESGOS DE GESTION'!#REF!="Mayor"),CONCATENATE("R7C",' RIESGOS DE GESTION'!#REF!),"")</f>
        <v>#REF!</v>
      </c>
      <c r="AC12" s="41" t="e">
        <f>IF(AND(' RIESGOS DE GESTION'!#REF!="Muy Alta",' RIESGOS DE GESTION'!#REF!="Mayor"),CONCATENATE("R7C",' RIESGOS DE GESTION'!#REF!),"")</f>
        <v>#REF!</v>
      </c>
      <c r="AD12" s="41" t="e">
        <f>IF(AND(' RIESGOS DE GESTION'!#REF!="Muy Alta",' RIESGOS DE GESTION'!#REF!="Mayor"),CONCATENATE("R7C",' RIESGOS DE GESTION'!#REF!),"")</f>
        <v>#REF!</v>
      </c>
      <c r="AE12" s="41" t="e">
        <f>IF(AND(' RIESGOS DE GESTION'!#REF!="Muy Alta",' RIESGOS DE GESTION'!#REF!="Mayor"),CONCATENATE("R7C",' RIESGOS DE GESTION'!#REF!),"")</f>
        <v>#REF!</v>
      </c>
      <c r="AF12" s="41" t="e">
        <f>IF(AND(' RIESGOS DE GESTION'!#REF!="Muy Alta",' RIESGOS DE GESTION'!#REF!="Mayor"),CONCATENATE("R7C",' RIESGOS DE GESTION'!#REF!),"")</f>
        <v>#REF!</v>
      </c>
      <c r="AG12" s="42" t="e">
        <f>IF(AND(' RIESGOS DE GESTION'!#REF!="Muy Alta",' RIESGOS DE GESTION'!#REF!="Mayor"),CONCATENATE("R7C",' RIESGOS DE GESTION'!#REF!),"")</f>
        <v>#REF!</v>
      </c>
      <c r="AH12" s="43" t="e">
        <f>IF(AND(' RIESGOS DE GESTION'!#REF!="Muy Alta",' RIESGOS DE GESTION'!#REF!="Catastrófico"),CONCATENATE("R7C",' RIESGOS DE GESTION'!#REF!),"")</f>
        <v>#REF!</v>
      </c>
      <c r="AI12" s="44" t="e">
        <f>IF(AND(' RIESGOS DE GESTION'!#REF!="Muy Alta",' RIESGOS DE GESTION'!#REF!="Catastrófico"),CONCATENATE("R7C",' RIESGOS DE GESTION'!#REF!),"")</f>
        <v>#REF!</v>
      </c>
      <c r="AJ12" s="44" t="e">
        <f>IF(AND(' RIESGOS DE GESTION'!#REF!="Muy Alta",' RIESGOS DE GESTION'!#REF!="Catastrófico"),CONCATENATE("R7C",' RIESGOS DE GESTION'!#REF!),"")</f>
        <v>#REF!</v>
      </c>
      <c r="AK12" s="44" t="e">
        <f>IF(AND(' RIESGOS DE GESTION'!#REF!="Muy Alta",' RIESGOS DE GESTION'!#REF!="Catastrófico"),CONCATENATE("R7C",' RIESGOS DE GESTION'!#REF!),"")</f>
        <v>#REF!</v>
      </c>
      <c r="AL12" s="44" t="e">
        <f>IF(AND(' RIESGOS DE GESTION'!#REF!="Muy Alta",' RIESGOS DE GESTION'!#REF!="Catastrófico"),CONCATENATE("R7C",' RIESGOS DE GESTION'!#REF!),"")</f>
        <v>#REF!</v>
      </c>
      <c r="AM12" s="45" t="e">
        <f>IF(AND(' RIESGOS DE GESTION'!#REF!="Muy Alta",' RIESGOS DE GESTION'!#REF!="Catastrófico"),CONCATENATE("R7C",' RIESGOS DE GESTION'!#REF!),"")</f>
        <v>#REF!</v>
      </c>
      <c r="AN12" s="71"/>
      <c r="AO12" s="642"/>
      <c r="AP12" s="643"/>
      <c r="AQ12" s="643"/>
      <c r="AR12" s="643"/>
      <c r="AS12" s="643"/>
      <c r="AT12" s="644"/>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row>
    <row r="13" spans="1:91" ht="15" customHeight="1">
      <c r="A13" s="71"/>
      <c r="B13" s="537"/>
      <c r="C13" s="537"/>
      <c r="D13" s="538"/>
      <c r="E13" s="636"/>
      <c r="F13" s="635"/>
      <c r="G13" s="635"/>
      <c r="H13" s="635"/>
      <c r="I13" s="651"/>
      <c r="J13" s="40" t="e">
        <f>IF(AND(' RIESGOS DE GESTION'!#REF!="Muy Alta",' RIESGOS DE GESTION'!#REF!="Leve"),CONCATENATE("R8C",' RIESGOS DE GESTION'!#REF!),"")</f>
        <v>#REF!</v>
      </c>
      <c r="K13" s="41" t="e">
        <f>IF(AND(' RIESGOS DE GESTION'!#REF!="Muy Alta",' RIESGOS DE GESTION'!#REF!="Leve"),CONCATENATE("R8C",' RIESGOS DE GESTION'!#REF!),"")</f>
        <v>#REF!</v>
      </c>
      <c r="L13" s="41" t="e">
        <f>IF(AND(' RIESGOS DE GESTION'!#REF!="Muy Alta",' RIESGOS DE GESTION'!#REF!="Leve"),CONCATENATE("R8C",' RIESGOS DE GESTION'!#REF!),"")</f>
        <v>#REF!</v>
      </c>
      <c r="M13" s="41" t="e">
        <f>IF(AND(' RIESGOS DE GESTION'!#REF!="Muy Alta",' RIESGOS DE GESTION'!#REF!="Leve"),CONCATENATE("R8C",' RIESGOS DE GESTION'!#REF!),"")</f>
        <v>#REF!</v>
      </c>
      <c r="N13" s="41" t="e">
        <f>IF(AND(' RIESGOS DE GESTION'!#REF!="Muy Alta",' RIESGOS DE GESTION'!#REF!="Leve"),CONCATENATE("R8C",' RIESGOS DE GESTION'!#REF!),"")</f>
        <v>#REF!</v>
      </c>
      <c r="O13" s="42" t="e">
        <f>IF(AND(' RIESGOS DE GESTION'!#REF!="Muy Alta",' RIESGOS DE GESTION'!#REF!="Leve"),CONCATENATE("R8C",' RIESGOS DE GESTION'!#REF!),"")</f>
        <v>#REF!</v>
      </c>
      <c r="P13" s="40" t="e">
        <f>IF(AND(' RIESGOS DE GESTION'!#REF!="Muy Alta",' RIESGOS DE GESTION'!#REF!="Menor"),CONCATENATE("R8C",' RIESGOS DE GESTION'!#REF!),"")</f>
        <v>#REF!</v>
      </c>
      <c r="Q13" s="41" t="e">
        <f>IF(AND(' RIESGOS DE GESTION'!#REF!="Muy Alta",' RIESGOS DE GESTION'!#REF!="Menor"),CONCATENATE("R8C",' RIESGOS DE GESTION'!#REF!),"")</f>
        <v>#REF!</v>
      </c>
      <c r="R13" s="41" t="e">
        <f>IF(AND(' RIESGOS DE GESTION'!#REF!="Muy Alta",' RIESGOS DE GESTION'!#REF!="Menor"),CONCATENATE("R8C",' RIESGOS DE GESTION'!#REF!),"")</f>
        <v>#REF!</v>
      </c>
      <c r="S13" s="41" t="e">
        <f>IF(AND(' RIESGOS DE GESTION'!#REF!="Muy Alta",' RIESGOS DE GESTION'!#REF!="Menor"),CONCATENATE("R8C",' RIESGOS DE GESTION'!#REF!),"")</f>
        <v>#REF!</v>
      </c>
      <c r="T13" s="41" t="e">
        <f>IF(AND(' RIESGOS DE GESTION'!#REF!="Muy Alta",' RIESGOS DE GESTION'!#REF!="Menor"),CONCATENATE("R8C",' RIESGOS DE GESTION'!#REF!),"")</f>
        <v>#REF!</v>
      </c>
      <c r="U13" s="42" t="e">
        <f>IF(AND(' RIESGOS DE GESTION'!#REF!="Muy Alta",' RIESGOS DE GESTION'!#REF!="Menor"),CONCATENATE("R8C",' RIESGOS DE GESTION'!#REF!),"")</f>
        <v>#REF!</v>
      </c>
      <c r="V13" s="40" t="e">
        <f>IF(AND(' RIESGOS DE GESTION'!#REF!="Muy Alta",' RIESGOS DE GESTION'!#REF!="Moderado"),CONCATENATE("R8C",' RIESGOS DE GESTION'!#REF!),"")</f>
        <v>#REF!</v>
      </c>
      <c r="W13" s="41" t="e">
        <f>IF(AND(' RIESGOS DE GESTION'!#REF!="Muy Alta",' RIESGOS DE GESTION'!#REF!="Moderado"),CONCATENATE("R8C",' RIESGOS DE GESTION'!#REF!),"")</f>
        <v>#REF!</v>
      </c>
      <c r="X13" s="41" t="e">
        <f>IF(AND(' RIESGOS DE GESTION'!#REF!="Muy Alta",' RIESGOS DE GESTION'!#REF!="Moderado"),CONCATENATE("R8C",' RIESGOS DE GESTION'!#REF!),"")</f>
        <v>#REF!</v>
      </c>
      <c r="Y13" s="41" t="e">
        <f>IF(AND(' RIESGOS DE GESTION'!#REF!="Muy Alta",' RIESGOS DE GESTION'!#REF!="Moderado"),CONCATENATE("R8C",' RIESGOS DE GESTION'!#REF!),"")</f>
        <v>#REF!</v>
      </c>
      <c r="Z13" s="41" t="e">
        <f>IF(AND(' RIESGOS DE GESTION'!#REF!="Muy Alta",' RIESGOS DE GESTION'!#REF!="Moderado"),CONCATENATE("R8C",' RIESGOS DE GESTION'!#REF!),"")</f>
        <v>#REF!</v>
      </c>
      <c r="AA13" s="42" t="e">
        <f>IF(AND(' RIESGOS DE GESTION'!#REF!="Muy Alta",' RIESGOS DE GESTION'!#REF!="Moderado"),CONCATENATE("R8C",' RIESGOS DE GESTION'!#REF!),"")</f>
        <v>#REF!</v>
      </c>
      <c r="AB13" s="40" t="e">
        <f>IF(AND(' RIESGOS DE GESTION'!#REF!="Muy Alta",' RIESGOS DE GESTION'!#REF!="Mayor"),CONCATENATE("R8C",' RIESGOS DE GESTION'!#REF!),"")</f>
        <v>#REF!</v>
      </c>
      <c r="AC13" s="41" t="e">
        <f>IF(AND(' RIESGOS DE GESTION'!#REF!="Muy Alta",' RIESGOS DE GESTION'!#REF!="Mayor"),CONCATENATE("R8C",' RIESGOS DE GESTION'!#REF!),"")</f>
        <v>#REF!</v>
      </c>
      <c r="AD13" s="41" t="e">
        <f>IF(AND(' RIESGOS DE GESTION'!#REF!="Muy Alta",' RIESGOS DE GESTION'!#REF!="Mayor"),CONCATENATE("R8C",' RIESGOS DE GESTION'!#REF!),"")</f>
        <v>#REF!</v>
      </c>
      <c r="AE13" s="41" t="e">
        <f>IF(AND(' RIESGOS DE GESTION'!#REF!="Muy Alta",' RIESGOS DE GESTION'!#REF!="Mayor"),CONCATENATE("R8C",' RIESGOS DE GESTION'!#REF!),"")</f>
        <v>#REF!</v>
      </c>
      <c r="AF13" s="41" t="e">
        <f>IF(AND(' RIESGOS DE GESTION'!#REF!="Muy Alta",' RIESGOS DE GESTION'!#REF!="Mayor"),CONCATENATE("R8C",' RIESGOS DE GESTION'!#REF!),"")</f>
        <v>#REF!</v>
      </c>
      <c r="AG13" s="42" t="e">
        <f>IF(AND(' RIESGOS DE GESTION'!#REF!="Muy Alta",' RIESGOS DE GESTION'!#REF!="Mayor"),CONCATENATE("R8C",' RIESGOS DE GESTION'!#REF!),"")</f>
        <v>#REF!</v>
      </c>
      <c r="AH13" s="43" t="e">
        <f>IF(AND(' RIESGOS DE GESTION'!#REF!="Muy Alta",' RIESGOS DE GESTION'!#REF!="Catastrófico"),CONCATENATE("R8C",' RIESGOS DE GESTION'!#REF!),"")</f>
        <v>#REF!</v>
      </c>
      <c r="AI13" s="44" t="e">
        <f>IF(AND(' RIESGOS DE GESTION'!#REF!="Muy Alta",' RIESGOS DE GESTION'!#REF!="Catastrófico"),CONCATENATE("R8C",' RIESGOS DE GESTION'!#REF!),"")</f>
        <v>#REF!</v>
      </c>
      <c r="AJ13" s="44" t="e">
        <f>IF(AND(' RIESGOS DE GESTION'!#REF!="Muy Alta",' RIESGOS DE GESTION'!#REF!="Catastrófico"),CONCATENATE("R8C",' RIESGOS DE GESTION'!#REF!),"")</f>
        <v>#REF!</v>
      </c>
      <c r="AK13" s="44" t="e">
        <f>IF(AND(' RIESGOS DE GESTION'!#REF!="Muy Alta",' RIESGOS DE GESTION'!#REF!="Catastrófico"),CONCATENATE("R8C",' RIESGOS DE GESTION'!#REF!),"")</f>
        <v>#REF!</v>
      </c>
      <c r="AL13" s="44" t="e">
        <f>IF(AND(' RIESGOS DE GESTION'!#REF!="Muy Alta",' RIESGOS DE GESTION'!#REF!="Catastrófico"),CONCATENATE("R8C",' RIESGOS DE GESTION'!#REF!),"")</f>
        <v>#REF!</v>
      </c>
      <c r="AM13" s="45" t="e">
        <f>IF(AND(' RIESGOS DE GESTION'!#REF!="Muy Alta",' RIESGOS DE GESTION'!#REF!="Catastrófico"),CONCATENATE("R8C",' RIESGOS DE GESTION'!#REF!),"")</f>
        <v>#REF!</v>
      </c>
      <c r="AN13" s="71"/>
      <c r="AO13" s="642"/>
      <c r="AP13" s="643"/>
      <c r="AQ13" s="643"/>
      <c r="AR13" s="643"/>
      <c r="AS13" s="643"/>
      <c r="AT13" s="644"/>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row>
    <row r="14" spans="1:91" ht="15" customHeight="1">
      <c r="A14" s="71"/>
      <c r="B14" s="537"/>
      <c r="C14" s="537"/>
      <c r="D14" s="538"/>
      <c r="E14" s="636"/>
      <c r="F14" s="635"/>
      <c r="G14" s="635"/>
      <c r="H14" s="635"/>
      <c r="I14" s="651"/>
      <c r="J14" s="40" t="e">
        <f>IF(AND(' RIESGOS DE GESTION'!#REF!="Muy Alta",' RIESGOS DE GESTION'!#REF!="Leve"),CONCATENATE("R9C",' RIESGOS DE GESTION'!#REF!),"")</f>
        <v>#REF!</v>
      </c>
      <c r="K14" s="41" t="e">
        <f>IF(AND(' RIESGOS DE GESTION'!#REF!="Muy Alta",' RIESGOS DE GESTION'!#REF!="Leve"),CONCATENATE("R9C",' RIESGOS DE GESTION'!#REF!),"")</f>
        <v>#REF!</v>
      </c>
      <c r="L14" s="41" t="e">
        <f>IF(AND(' RIESGOS DE GESTION'!#REF!="Muy Alta",' RIESGOS DE GESTION'!#REF!="Leve"),CONCATENATE("R9C",' RIESGOS DE GESTION'!#REF!),"")</f>
        <v>#REF!</v>
      </c>
      <c r="M14" s="41" t="e">
        <f>IF(AND(' RIESGOS DE GESTION'!#REF!="Muy Alta",' RIESGOS DE GESTION'!#REF!="Leve"),CONCATENATE("R9C",' RIESGOS DE GESTION'!#REF!),"")</f>
        <v>#REF!</v>
      </c>
      <c r="N14" s="41" t="e">
        <f>IF(AND(' RIESGOS DE GESTION'!#REF!="Muy Alta",' RIESGOS DE GESTION'!#REF!="Leve"),CONCATENATE("R9C",' RIESGOS DE GESTION'!#REF!),"")</f>
        <v>#REF!</v>
      </c>
      <c r="O14" s="42" t="e">
        <f>IF(AND(' RIESGOS DE GESTION'!#REF!="Muy Alta",' RIESGOS DE GESTION'!#REF!="Leve"),CONCATENATE("R9C",' RIESGOS DE GESTION'!#REF!),"")</f>
        <v>#REF!</v>
      </c>
      <c r="P14" s="40" t="e">
        <f>IF(AND(' RIESGOS DE GESTION'!#REF!="Muy Alta",' RIESGOS DE GESTION'!#REF!="Menor"),CONCATENATE("R9C",' RIESGOS DE GESTION'!#REF!),"")</f>
        <v>#REF!</v>
      </c>
      <c r="Q14" s="41" t="e">
        <f>IF(AND(' RIESGOS DE GESTION'!#REF!="Muy Alta",' RIESGOS DE GESTION'!#REF!="Menor"),CONCATENATE("R9C",' RIESGOS DE GESTION'!#REF!),"")</f>
        <v>#REF!</v>
      </c>
      <c r="R14" s="41" t="e">
        <f>IF(AND(' RIESGOS DE GESTION'!#REF!="Muy Alta",' RIESGOS DE GESTION'!#REF!="Menor"),CONCATENATE("R9C",' RIESGOS DE GESTION'!#REF!),"")</f>
        <v>#REF!</v>
      </c>
      <c r="S14" s="41" t="e">
        <f>IF(AND(' RIESGOS DE GESTION'!#REF!="Muy Alta",' RIESGOS DE GESTION'!#REF!="Menor"),CONCATENATE("R9C",' RIESGOS DE GESTION'!#REF!),"")</f>
        <v>#REF!</v>
      </c>
      <c r="T14" s="41" t="e">
        <f>IF(AND(' RIESGOS DE GESTION'!#REF!="Muy Alta",' RIESGOS DE GESTION'!#REF!="Menor"),CONCATENATE("R9C",' RIESGOS DE GESTION'!#REF!),"")</f>
        <v>#REF!</v>
      </c>
      <c r="U14" s="42" t="e">
        <f>IF(AND(' RIESGOS DE GESTION'!#REF!="Muy Alta",' RIESGOS DE GESTION'!#REF!="Menor"),CONCATENATE("R9C",' RIESGOS DE GESTION'!#REF!),"")</f>
        <v>#REF!</v>
      </c>
      <c r="V14" s="40" t="e">
        <f>IF(AND(' RIESGOS DE GESTION'!#REF!="Muy Alta",' RIESGOS DE GESTION'!#REF!="Moderado"),CONCATENATE("R9C",' RIESGOS DE GESTION'!#REF!),"")</f>
        <v>#REF!</v>
      </c>
      <c r="W14" s="41" t="e">
        <f>IF(AND(' RIESGOS DE GESTION'!#REF!="Muy Alta",' RIESGOS DE GESTION'!#REF!="Moderado"),CONCATENATE("R9C",' RIESGOS DE GESTION'!#REF!),"")</f>
        <v>#REF!</v>
      </c>
      <c r="X14" s="41" t="e">
        <f>IF(AND(' RIESGOS DE GESTION'!#REF!="Muy Alta",' RIESGOS DE GESTION'!#REF!="Moderado"),CONCATENATE("R9C",' RIESGOS DE GESTION'!#REF!),"")</f>
        <v>#REF!</v>
      </c>
      <c r="Y14" s="41" t="e">
        <f>IF(AND(' RIESGOS DE GESTION'!#REF!="Muy Alta",' RIESGOS DE GESTION'!#REF!="Moderado"),CONCATENATE("R9C",' RIESGOS DE GESTION'!#REF!),"")</f>
        <v>#REF!</v>
      </c>
      <c r="Z14" s="41" t="e">
        <f>IF(AND(' RIESGOS DE GESTION'!#REF!="Muy Alta",' RIESGOS DE GESTION'!#REF!="Moderado"),CONCATENATE("R9C",' RIESGOS DE GESTION'!#REF!),"")</f>
        <v>#REF!</v>
      </c>
      <c r="AA14" s="42" t="e">
        <f>IF(AND(' RIESGOS DE GESTION'!#REF!="Muy Alta",' RIESGOS DE GESTION'!#REF!="Moderado"),CONCATENATE("R9C",' RIESGOS DE GESTION'!#REF!),"")</f>
        <v>#REF!</v>
      </c>
      <c r="AB14" s="40" t="e">
        <f>IF(AND(' RIESGOS DE GESTION'!#REF!="Muy Alta",' RIESGOS DE GESTION'!#REF!="Mayor"),CONCATENATE("R9C",' RIESGOS DE GESTION'!#REF!),"")</f>
        <v>#REF!</v>
      </c>
      <c r="AC14" s="41" t="e">
        <f>IF(AND(' RIESGOS DE GESTION'!#REF!="Muy Alta",' RIESGOS DE GESTION'!#REF!="Mayor"),CONCATENATE("R9C",' RIESGOS DE GESTION'!#REF!),"")</f>
        <v>#REF!</v>
      </c>
      <c r="AD14" s="41" t="e">
        <f>IF(AND(' RIESGOS DE GESTION'!#REF!="Muy Alta",' RIESGOS DE GESTION'!#REF!="Mayor"),CONCATENATE("R9C",' RIESGOS DE GESTION'!#REF!),"")</f>
        <v>#REF!</v>
      </c>
      <c r="AE14" s="41" t="e">
        <f>IF(AND(' RIESGOS DE GESTION'!#REF!="Muy Alta",' RIESGOS DE GESTION'!#REF!="Mayor"),CONCATENATE("R9C",' RIESGOS DE GESTION'!#REF!),"")</f>
        <v>#REF!</v>
      </c>
      <c r="AF14" s="41" t="e">
        <f>IF(AND(' RIESGOS DE GESTION'!#REF!="Muy Alta",' RIESGOS DE GESTION'!#REF!="Mayor"),CONCATENATE("R9C",' RIESGOS DE GESTION'!#REF!),"")</f>
        <v>#REF!</v>
      </c>
      <c r="AG14" s="42" t="e">
        <f>IF(AND(' RIESGOS DE GESTION'!#REF!="Muy Alta",' RIESGOS DE GESTION'!#REF!="Mayor"),CONCATENATE("R9C",' RIESGOS DE GESTION'!#REF!),"")</f>
        <v>#REF!</v>
      </c>
      <c r="AH14" s="43" t="e">
        <f>IF(AND(' RIESGOS DE GESTION'!#REF!="Muy Alta",' RIESGOS DE GESTION'!#REF!="Catastrófico"),CONCATENATE("R9C",' RIESGOS DE GESTION'!#REF!),"")</f>
        <v>#REF!</v>
      </c>
      <c r="AI14" s="44" t="e">
        <f>IF(AND(' RIESGOS DE GESTION'!#REF!="Muy Alta",' RIESGOS DE GESTION'!#REF!="Catastrófico"),CONCATENATE("R9C",' RIESGOS DE GESTION'!#REF!),"")</f>
        <v>#REF!</v>
      </c>
      <c r="AJ14" s="44" t="e">
        <f>IF(AND(' RIESGOS DE GESTION'!#REF!="Muy Alta",' RIESGOS DE GESTION'!#REF!="Catastrófico"),CONCATENATE("R9C",' RIESGOS DE GESTION'!#REF!),"")</f>
        <v>#REF!</v>
      </c>
      <c r="AK14" s="44" t="e">
        <f>IF(AND(' RIESGOS DE GESTION'!#REF!="Muy Alta",' RIESGOS DE GESTION'!#REF!="Catastrófico"),CONCATENATE("R9C",' RIESGOS DE GESTION'!#REF!),"")</f>
        <v>#REF!</v>
      </c>
      <c r="AL14" s="44" t="e">
        <f>IF(AND(' RIESGOS DE GESTION'!#REF!="Muy Alta",' RIESGOS DE GESTION'!#REF!="Catastrófico"),CONCATENATE("R9C",' RIESGOS DE GESTION'!#REF!),"")</f>
        <v>#REF!</v>
      </c>
      <c r="AM14" s="45" t="e">
        <f>IF(AND(' RIESGOS DE GESTION'!#REF!="Muy Alta",' RIESGOS DE GESTION'!#REF!="Catastrófico"),CONCATENATE("R9C",' RIESGOS DE GESTION'!#REF!),"")</f>
        <v>#REF!</v>
      </c>
      <c r="AN14" s="71"/>
      <c r="AO14" s="642"/>
      <c r="AP14" s="643"/>
      <c r="AQ14" s="643"/>
      <c r="AR14" s="643"/>
      <c r="AS14" s="643"/>
      <c r="AT14" s="644"/>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row>
    <row r="15" spans="1:91" ht="15.75" customHeight="1" thickBot="1">
      <c r="A15" s="71"/>
      <c r="B15" s="537"/>
      <c r="C15" s="537"/>
      <c r="D15" s="538"/>
      <c r="E15" s="637"/>
      <c r="F15" s="638"/>
      <c r="G15" s="638"/>
      <c r="H15" s="638"/>
      <c r="I15" s="652"/>
      <c r="J15" s="46" t="e">
        <f>IF(AND(' RIESGOS DE GESTION'!#REF!="Muy Alta",' RIESGOS DE GESTION'!#REF!="Leve"),CONCATENATE("R10C",' RIESGOS DE GESTION'!#REF!),"")</f>
        <v>#REF!</v>
      </c>
      <c r="K15" s="47" t="e">
        <f>IF(AND(' RIESGOS DE GESTION'!#REF!="Muy Alta",' RIESGOS DE GESTION'!#REF!="Leve"),CONCATENATE("R10C",' RIESGOS DE GESTION'!#REF!),"")</f>
        <v>#REF!</v>
      </c>
      <c r="L15" s="47" t="e">
        <f>IF(AND(' RIESGOS DE GESTION'!#REF!="Muy Alta",' RIESGOS DE GESTION'!#REF!="Leve"),CONCATENATE("R10C",' RIESGOS DE GESTION'!#REF!),"")</f>
        <v>#REF!</v>
      </c>
      <c r="M15" s="47" t="e">
        <f>IF(AND(' RIESGOS DE GESTION'!#REF!="Muy Alta",' RIESGOS DE GESTION'!#REF!="Leve"),CONCATENATE("R10C",' RIESGOS DE GESTION'!#REF!),"")</f>
        <v>#REF!</v>
      </c>
      <c r="N15" s="47" t="e">
        <f>IF(AND(' RIESGOS DE GESTION'!#REF!="Muy Alta",' RIESGOS DE GESTION'!#REF!="Leve"),CONCATENATE("R10C",' RIESGOS DE GESTION'!#REF!),"")</f>
        <v>#REF!</v>
      </c>
      <c r="O15" s="48" t="e">
        <f>IF(AND(' RIESGOS DE GESTION'!#REF!="Muy Alta",' RIESGOS DE GESTION'!#REF!="Leve"),CONCATENATE("R10C",' RIESGOS DE GESTION'!#REF!),"")</f>
        <v>#REF!</v>
      </c>
      <c r="P15" s="40" t="e">
        <f>IF(AND(' RIESGOS DE GESTION'!#REF!="Muy Alta",' RIESGOS DE GESTION'!#REF!="Menor"),CONCATENATE("R10C",' RIESGOS DE GESTION'!#REF!),"")</f>
        <v>#REF!</v>
      </c>
      <c r="Q15" s="41" t="e">
        <f>IF(AND(' RIESGOS DE GESTION'!#REF!="Muy Alta",' RIESGOS DE GESTION'!#REF!="Menor"),CONCATENATE("R10C",' RIESGOS DE GESTION'!#REF!),"")</f>
        <v>#REF!</v>
      </c>
      <c r="R15" s="41" t="e">
        <f>IF(AND(' RIESGOS DE GESTION'!#REF!="Muy Alta",' RIESGOS DE GESTION'!#REF!="Menor"),CONCATENATE("R10C",' RIESGOS DE GESTION'!#REF!),"")</f>
        <v>#REF!</v>
      </c>
      <c r="S15" s="41" t="e">
        <f>IF(AND(' RIESGOS DE GESTION'!#REF!="Muy Alta",' RIESGOS DE GESTION'!#REF!="Menor"),CONCATENATE("R10C",' RIESGOS DE GESTION'!#REF!),"")</f>
        <v>#REF!</v>
      </c>
      <c r="T15" s="41" t="e">
        <f>IF(AND(' RIESGOS DE GESTION'!#REF!="Muy Alta",' RIESGOS DE GESTION'!#REF!="Menor"),CONCATENATE("R10C",' RIESGOS DE GESTION'!#REF!),"")</f>
        <v>#REF!</v>
      </c>
      <c r="U15" s="42" t="e">
        <f>IF(AND(' RIESGOS DE GESTION'!#REF!="Muy Alta",' RIESGOS DE GESTION'!#REF!="Menor"),CONCATENATE("R10C",' RIESGOS DE GESTION'!#REF!),"")</f>
        <v>#REF!</v>
      </c>
      <c r="V15" s="46" t="e">
        <f>IF(AND(' RIESGOS DE GESTION'!#REF!="Muy Alta",' RIESGOS DE GESTION'!#REF!="Moderado"),CONCATENATE("R10C",' RIESGOS DE GESTION'!#REF!),"")</f>
        <v>#REF!</v>
      </c>
      <c r="W15" s="47" t="e">
        <f>IF(AND(' RIESGOS DE GESTION'!#REF!="Muy Alta",' RIESGOS DE GESTION'!#REF!="Moderado"),CONCATENATE("R10C",' RIESGOS DE GESTION'!#REF!),"")</f>
        <v>#REF!</v>
      </c>
      <c r="X15" s="47" t="e">
        <f>IF(AND(' RIESGOS DE GESTION'!#REF!="Muy Alta",' RIESGOS DE GESTION'!#REF!="Moderado"),CONCATENATE("R10C",' RIESGOS DE GESTION'!#REF!),"")</f>
        <v>#REF!</v>
      </c>
      <c r="Y15" s="47" t="e">
        <f>IF(AND(' RIESGOS DE GESTION'!#REF!="Muy Alta",' RIESGOS DE GESTION'!#REF!="Moderado"),CONCATENATE("R10C",' RIESGOS DE GESTION'!#REF!),"")</f>
        <v>#REF!</v>
      </c>
      <c r="Z15" s="47" t="e">
        <f>IF(AND(' RIESGOS DE GESTION'!#REF!="Muy Alta",' RIESGOS DE GESTION'!#REF!="Moderado"),CONCATENATE("R10C",' RIESGOS DE GESTION'!#REF!),"")</f>
        <v>#REF!</v>
      </c>
      <c r="AA15" s="48" t="e">
        <f>IF(AND(' RIESGOS DE GESTION'!#REF!="Muy Alta",' RIESGOS DE GESTION'!#REF!="Moderado"),CONCATENATE("R10C",' RIESGOS DE GESTION'!#REF!),"")</f>
        <v>#REF!</v>
      </c>
      <c r="AB15" s="40" t="e">
        <f>IF(AND(' RIESGOS DE GESTION'!#REF!="Muy Alta",' RIESGOS DE GESTION'!#REF!="Mayor"),CONCATENATE("R10C",' RIESGOS DE GESTION'!#REF!),"")</f>
        <v>#REF!</v>
      </c>
      <c r="AC15" s="41" t="e">
        <f>IF(AND(' RIESGOS DE GESTION'!#REF!="Muy Alta",' RIESGOS DE GESTION'!#REF!="Mayor"),CONCATENATE("R10C",' RIESGOS DE GESTION'!#REF!),"")</f>
        <v>#REF!</v>
      </c>
      <c r="AD15" s="41" t="e">
        <f>IF(AND(' RIESGOS DE GESTION'!#REF!="Muy Alta",' RIESGOS DE GESTION'!#REF!="Mayor"),CONCATENATE("R10C",' RIESGOS DE GESTION'!#REF!),"")</f>
        <v>#REF!</v>
      </c>
      <c r="AE15" s="41" t="e">
        <f>IF(AND(' RIESGOS DE GESTION'!#REF!="Muy Alta",' RIESGOS DE GESTION'!#REF!="Mayor"),CONCATENATE("R10C",' RIESGOS DE GESTION'!#REF!),"")</f>
        <v>#REF!</v>
      </c>
      <c r="AF15" s="41" t="e">
        <f>IF(AND(' RIESGOS DE GESTION'!#REF!="Muy Alta",' RIESGOS DE GESTION'!#REF!="Mayor"),CONCATENATE("R10C",' RIESGOS DE GESTION'!#REF!),"")</f>
        <v>#REF!</v>
      </c>
      <c r="AG15" s="42" t="e">
        <f>IF(AND(' RIESGOS DE GESTION'!#REF!="Muy Alta",' RIESGOS DE GESTION'!#REF!="Mayor"),CONCATENATE("R10C",' RIESGOS DE GESTION'!#REF!),"")</f>
        <v>#REF!</v>
      </c>
      <c r="AH15" s="49" t="e">
        <f>IF(AND(' RIESGOS DE GESTION'!#REF!="Muy Alta",' RIESGOS DE GESTION'!#REF!="Catastrófico"),CONCATENATE("R10C",' RIESGOS DE GESTION'!#REF!),"")</f>
        <v>#REF!</v>
      </c>
      <c r="AI15" s="50" t="e">
        <f>IF(AND(' RIESGOS DE GESTION'!#REF!="Muy Alta",' RIESGOS DE GESTION'!#REF!="Catastrófico"),CONCATENATE("R10C",' RIESGOS DE GESTION'!#REF!),"")</f>
        <v>#REF!</v>
      </c>
      <c r="AJ15" s="50" t="e">
        <f>IF(AND(' RIESGOS DE GESTION'!#REF!="Muy Alta",' RIESGOS DE GESTION'!#REF!="Catastrófico"),CONCATENATE("R10C",' RIESGOS DE GESTION'!#REF!),"")</f>
        <v>#REF!</v>
      </c>
      <c r="AK15" s="50" t="e">
        <f>IF(AND(' RIESGOS DE GESTION'!#REF!="Muy Alta",' RIESGOS DE GESTION'!#REF!="Catastrófico"),CONCATENATE("R10C",' RIESGOS DE GESTION'!#REF!),"")</f>
        <v>#REF!</v>
      </c>
      <c r="AL15" s="50" t="e">
        <f>IF(AND(' RIESGOS DE GESTION'!#REF!="Muy Alta",' RIESGOS DE GESTION'!#REF!="Catastrófico"),CONCATENATE("R10C",' RIESGOS DE GESTION'!#REF!),"")</f>
        <v>#REF!</v>
      </c>
      <c r="AM15" s="51" t="e">
        <f>IF(AND(' RIESGOS DE GESTION'!#REF!="Muy Alta",' RIESGOS DE GESTION'!#REF!="Catastrófico"),CONCATENATE("R10C",' RIESGOS DE GESTION'!#REF!),"")</f>
        <v>#REF!</v>
      </c>
      <c r="AN15" s="71"/>
      <c r="AO15" s="645"/>
      <c r="AP15" s="646"/>
      <c r="AQ15" s="646"/>
      <c r="AR15" s="646"/>
      <c r="AS15" s="646"/>
      <c r="AT15" s="647"/>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row>
    <row r="16" spans="1:91" ht="15" customHeight="1">
      <c r="A16" s="71"/>
      <c r="B16" s="537"/>
      <c r="C16" s="537"/>
      <c r="D16" s="538"/>
      <c r="E16" s="632" t="s">
        <v>565</v>
      </c>
      <c r="F16" s="633"/>
      <c r="G16" s="633"/>
      <c r="H16" s="633"/>
      <c r="I16" s="633"/>
      <c r="J16" s="52" t="e">
        <f>IF(AND(' RIESGOS DE GESTION'!#REF!="Alta",' RIESGOS DE GESTION'!#REF!="Leve"),CONCATENATE("R1C",' RIESGOS DE GESTION'!#REF!),"")</f>
        <v>#REF!</v>
      </c>
      <c r="K16" s="53" t="e">
        <f>IF(AND(' RIESGOS DE GESTION'!#REF!="Alta",' RIESGOS DE GESTION'!#REF!="Leve"),CONCATENATE("R1C",' RIESGOS DE GESTION'!#REF!),"")</f>
        <v>#REF!</v>
      </c>
      <c r="L16" s="53" t="e">
        <f>IF(AND(' RIESGOS DE GESTION'!#REF!="Alta",' RIESGOS DE GESTION'!#REF!="Leve"),CONCATENATE("R1C",' RIESGOS DE GESTION'!#REF!),"")</f>
        <v>#REF!</v>
      </c>
      <c r="M16" s="53" t="e">
        <f>IF(AND(' RIESGOS DE GESTION'!#REF!="Alta",' RIESGOS DE GESTION'!#REF!="Leve"),CONCATENATE("R1C",' RIESGOS DE GESTION'!#REF!),"")</f>
        <v>#REF!</v>
      </c>
      <c r="N16" s="53" t="e">
        <f>IF(AND(' RIESGOS DE GESTION'!#REF!="Alta",' RIESGOS DE GESTION'!#REF!="Leve"),CONCATENATE("R1C",' RIESGOS DE GESTION'!#REF!),"")</f>
        <v>#REF!</v>
      </c>
      <c r="O16" s="54" t="e">
        <f>IF(AND(' RIESGOS DE GESTION'!#REF!="Alta",' RIESGOS DE GESTION'!#REF!="Leve"),CONCATENATE("R1C",' RIESGOS DE GESTION'!#REF!),"")</f>
        <v>#REF!</v>
      </c>
      <c r="P16" s="52" t="e">
        <f>IF(AND(' RIESGOS DE GESTION'!#REF!="Alta",' RIESGOS DE GESTION'!#REF!="Menor"),CONCATENATE("R1C",' RIESGOS DE GESTION'!#REF!),"")</f>
        <v>#REF!</v>
      </c>
      <c r="Q16" s="53" t="e">
        <f>IF(AND(' RIESGOS DE GESTION'!#REF!="Alta",' RIESGOS DE GESTION'!#REF!="Menor"),CONCATENATE("R1C",' RIESGOS DE GESTION'!#REF!),"")</f>
        <v>#REF!</v>
      </c>
      <c r="R16" s="53" t="e">
        <f>IF(AND(' RIESGOS DE GESTION'!#REF!="Alta",' RIESGOS DE GESTION'!#REF!="Menor"),CONCATENATE("R1C",' RIESGOS DE GESTION'!#REF!),"")</f>
        <v>#REF!</v>
      </c>
      <c r="S16" s="53" t="e">
        <f>IF(AND(' RIESGOS DE GESTION'!#REF!="Alta",' RIESGOS DE GESTION'!#REF!="Menor"),CONCATENATE("R1C",' RIESGOS DE GESTION'!#REF!),"")</f>
        <v>#REF!</v>
      </c>
      <c r="T16" s="53" t="e">
        <f>IF(AND(' RIESGOS DE GESTION'!#REF!="Alta",' RIESGOS DE GESTION'!#REF!="Menor"),CONCATENATE("R1C",' RIESGOS DE GESTION'!#REF!),"")</f>
        <v>#REF!</v>
      </c>
      <c r="U16" s="54" t="e">
        <f>IF(AND(' RIESGOS DE GESTION'!#REF!="Alta",' RIESGOS DE GESTION'!#REF!="Menor"),CONCATENATE("R1C",' RIESGOS DE GESTION'!#REF!),"")</f>
        <v>#REF!</v>
      </c>
      <c r="V16" s="34" t="e">
        <f>IF(AND(' RIESGOS DE GESTION'!#REF!="Alta",' RIESGOS DE GESTION'!#REF!="Moderado"),CONCATENATE("R1C",' RIESGOS DE GESTION'!#REF!),"")</f>
        <v>#REF!</v>
      </c>
      <c r="W16" s="35" t="e">
        <f>IF(AND(' RIESGOS DE GESTION'!#REF!="Alta",' RIESGOS DE GESTION'!#REF!="Moderado"),CONCATENATE("R1C",' RIESGOS DE GESTION'!#REF!),"")</f>
        <v>#REF!</v>
      </c>
      <c r="X16" s="35" t="e">
        <f>IF(AND(' RIESGOS DE GESTION'!#REF!="Alta",' RIESGOS DE GESTION'!#REF!="Moderado"),CONCATENATE("R1C",' RIESGOS DE GESTION'!#REF!),"")</f>
        <v>#REF!</v>
      </c>
      <c r="Y16" s="35" t="e">
        <f>IF(AND(' RIESGOS DE GESTION'!#REF!="Alta",' RIESGOS DE GESTION'!#REF!="Moderado"),CONCATENATE("R1C",' RIESGOS DE GESTION'!#REF!),"")</f>
        <v>#REF!</v>
      </c>
      <c r="Z16" s="35" t="e">
        <f>IF(AND(' RIESGOS DE GESTION'!#REF!="Alta",' RIESGOS DE GESTION'!#REF!="Moderado"),CONCATENATE("R1C",' RIESGOS DE GESTION'!#REF!),"")</f>
        <v>#REF!</v>
      </c>
      <c r="AA16" s="36" t="e">
        <f>IF(AND(' RIESGOS DE GESTION'!#REF!="Alta",' RIESGOS DE GESTION'!#REF!="Moderado"),CONCATENATE("R1C",' RIESGOS DE GESTION'!#REF!),"")</f>
        <v>#REF!</v>
      </c>
      <c r="AB16" s="34" t="e">
        <f>IF(AND(' RIESGOS DE GESTION'!#REF!="Alta",' RIESGOS DE GESTION'!#REF!="Mayor"),CONCATENATE("R1C",' RIESGOS DE GESTION'!#REF!),"")</f>
        <v>#REF!</v>
      </c>
      <c r="AC16" s="35" t="e">
        <f>IF(AND(' RIESGOS DE GESTION'!#REF!="Alta",' RIESGOS DE GESTION'!#REF!="Mayor"),CONCATENATE("R1C",' RIESGOS DE GESTION'!#REF!),"")</f>
        <v>#REF!</v>
      </c>
      <c r="AD16" s="35" t="e">
        <f>IF(AND(' RIESGOS DE GESTION'!#REF!="Alta",' RIESGOS DE GESTION'!#REF!="Mayor"),CONCATENATE("R1C",' RIESGOS DE GESTION'!#REF!),"")</f>
        <v>#REF!</v>
      </c>
      <c r="AE16" s="35" t="e">
        <f>IF(AND(' RIESGOS DE GESTION'!#REF!="Alta",' RIESGOS DE GESTION'!#REF!="Mayor"),CONCATENATE("R1C",' RIESGOS DE GESTION'!#REF!),"")</f>
        <v>#REF!</v>
      </c>
      <c r="AF16" s="35" t="e">
        <f>IF(AND(' RIESGOS DE GESTION'!#REF!="Alta",' RIESGOS DE GESTION'!#REF!="Mayor"),CONCATENATE("R1C",' RIESGOS DE GESTION'!#REF!),"")</f>
        <v>#REF!</v>
      </c>
      <c r="AG16" s="36" t="e">
        <f>IF(AND(' RIESGOS DE GESTION'!#REF!="Alta",' RIESGOS DE GESTION'!#REF!="Mayor"),CONCATENATE("R1C",' RIESGOS DE GESTION'!#REF!),"")</f>
        <v>#REF!</v>
      </c>
      <c r="AH16" s="37" t="e">
        <f>IF(AND(' RIESGOS DE GESTION'!#REF!="Alta",' RIESGOS DE GESTION'!#REF!="Catastrófico"),CONCATENATE("R1C",' RIESGOS DE GESTION'!#REF!),"")</f>
        <v>#REF!</v>
      </c>
      <c r="AI16" s="38" t="e">
        <f>IF(AND(' RIESGOS DE GESTION'!#REF!="Alta",' RIESGOS DE GESTION'!#REF!="Catastrófico"),CONCATENATE("R1C",' RIESGOS DE GESTION'!#REF!),"")</f>
        <v>#REF!</v>
      </c>
      <c r="AJ16" s="38" t="e">
        <f>IF(AND(' RIESGOS DE GESTION'!#REF!="Alta",' RIESGOS DE GESTION'!#REF!="Catastrófico"),CONCATENATE("R1C",' RIESGOS DE GESTION'!#REF!),"")</f>
        <v>#REF!</v>
      </c>
      <c r="AK16" s="38" t="e">
        <f>IF(AND(' RIESGOS DE GESTION'!#REF!="Alta",' RIESGOS DE GESTION'!#REF!="Catastrófico"),CONCATENATE("R1C",' RIESGOS DE GESTION'!#REF!),"")</f>
        <v>#REF!</v>
      </c>
      <c r="AL16" s="38" t="e">
        <f>IF(AND(' RIESGOS DE GESTION'!#REF!="Alta",' RIESGOS DE GESTION'!#REF!="Catastrófico"),CONCATENATE("R1C",' RIESGOS DE GESTION'!#REF!),"")</f>
        <v>#REF!</v>
      </c>
      <c r="AM16" s="39" t="e">
        <f>IF(AND(' RIESGOS DE GESTION'!#REF!="Alta",' RIESGOS DE GESTION'!#REF!="Catastrófico"),CONCATENATE("R1C",' RIESGOS DE GESTION'!#REF!),"")</f>
        <v>#REF!</v>
      </c>
      <c r="AN16" s="71"/>
      <c r="AO16" s="623" t="s">
        <v>566</v>
      </c>
      <c r="AP16" s="624"/>
      <c r="AQ16" s="624"/>
      <c r="AR16" s="624"/>
      <c r="AS16" s="624"/>
      <c r="AT16" s="625"/>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row>
    <row r="17" spans="1:76" ht="15" customHeight="1">
      <c r="A17" s="71"/>
      <c r="B17" s="537"/>
      <c r="C17" s="537"/>
      <c r="D17" s="538"/>
      <c r="E17" s="634"/>
      <c r="F17" s="635"/>
      <c r="G17" s="635"/>
      <c r="H17" s="635"/>
      <c r="I17" s="635"/>
      <c r="J17" s="55" t="e">
        <f>IF(AND(' RIESGOS DE GESTION'!#REF!="Alta",' RIESGOS DE GESTION'!#REF!="Leve"),CONCATENATE("R2C",' RIESGOS DE GESTION'!#REF!),"")</f>
        <v>#REF!</v>
      </c>
      <c r="K17" s="56" t="e">
        <f>IF(AND(' RIESGOS DE GESTION'!#REF!="Alta",' RIESGOS DE GESTION'!#REF!="Leve"),CONCATENATE("R2C",' RIESGOS DE GESTION'!#REF!),"")</f>
        <v>#REF!</v>
      </c>
      <c r="L17" s="56" t="e">
        <f>IF(AND(' RIESGOS DE GESTION'!#REF!="Alta",' RIESGOS DE GESTION'!#REF!="Leve"),CONCATENATE("R2C",' RIESGOS DE GESTION'!#REF!),"")</f>
        <v>#REF!</v>
      </c>
      <c r="M17" s="56" t="e">
        <f>IF(AND(' RIESGOS DE GESTION'!#REF!="Alta",' RIESGOS DE GESTION'!#REF!="Leve"),CONCATENATE("R2C",' RIESGOS DE GESTION'!#REF!),"")</f>
        <v>#REF!</v>
      </c>
      <c r="N17" s="56" t="e">
        <f>IF(AND(' RIESGOS DE GESTION'!#REF!="Alta",' RIESGOS DE GESTION'!#REF!="Leve"),CONCATENATE("R2C",' RIESGOS DE GESTION'!#REF!),"")</f>
        <v>#REF!</v>
      </c>
      <c r="O17" s="57" t="e">
        <f>IF(AND(' RIESGOS DE GESTION'!#REF!="Alta",' RIESGOS DE GESTION'!#REF!="Leve"),CONCATENATE("R2C",' RIESGOS DE GESTION'!#REF!),"")</f>
        <v>#REF!</v>
      </c>
      <c r="P17" s="55" t="e">
        <f>IF(AND(' RIESGOS DE GESTION'!#REF!="Alta",' RIESGOS DE GESTION'!#REF!="Menor"),CONCATENATE("R2C",' RIESGOS DE GESTION'!#REF!),"")</f>
        <v>#REF!</v>
      </c>
      <c r="Q17" s="56" t="e">
        <f>IF(AND(' RIESGOS DE GESTION'!#REF!="Alta",' RIESGOS DE GESTION'!#REF!="Menor"),CONCATENATE("R2C",' RIESGOS DE GESTION'!#REF!),"")</f>
        <v>#REF!</v>
      </c>
      <c r="R17" s="56" t="e">
        <f>IF(AND(' RIESGOS DE GESTION'!#REF!="Alta",' RIESGOS DE GESTION'!#REF!="Menor"),CONCATENATE("R2C",' RIESGOS DE GESTION'!#REF!),"")</f>
        <v>#REF!</v>
      </c>
      <c r="S17" s="56" t="e">
        <f>IF(AND(' RIESGOS DE GESTION'!#REF!="Alta",' RIESGOS DE GESTION'!#REF!="Menor"),CONCATENATE("R2C",' RIESGOS DE GESTION'!#REF!),"")</f>
        <v>#REF!</v>
      </c>
      <c r="T17" s="56" t="e">
        <f>IF(AND(' RIESGOS DE GESTION'!#REF!="Alta",' RIESGOS DE GESTION'!#REF!="Menor"),CONCATENATE("R2C",' RIESGOS DE GESTION'!#REF!),"")</f>
        <v>#REF!</v>
      </c>
      <c r="U17" s="57" t="e">
        <f>IF(AND(' RIESGOS DE GESTION'!#REF!="Alta",' RIESGOS DE GESTION'!#REF!="Menor"),CONCATENATE("R2C",' RIESGOS DE GESTION'!#REF!),"")</f>
        <v>#REF!</v>
      </c>
      <c r="V17" s="40" t="e">
        <f>IF(AND(' RIESGOS DE GESTION'!#REF!="Alta",' RIESGOS DE GESTION'!#REF!="Moderado"),CONCATENATE("R2C",' RIESGOS DE GESTION'!#REF!),"")</f>
        <v>#REF!</v>
      </c>
      <c r="W17" s="41" t="e">
        <f>IF(AND(' RIESGOS DE GESTION'!#REF!="Alta",' RIESGOS DE GESTION'!#REF!="Moderado"),CONCATENATE("R2C",' RIESGOS DE GESTION'!#REF!),"")</f>
        <v>#REF!</v>
      </c>
      <c r="X17" s="41" t="e">
        <f>IF(AND(' RIESGOS DE GESTION'!#REF!="Alta",' RIESGOS DE GESTION'!#REF!="Moderado"),CONCATENATE("R2C",' RIESGOS DE GESTION'!#REF!),"")</f>
        <v>#REF!</v>
      </c>
      <c r="Y17" s="41" t="e">
        <f>IF(AND(' RIESGOS DE GESTION'!#REF!="Alta",' RIESGOS DE GESTION'!#REF!="Moderado"),CONCATENATE("R2C",' RIESGOS DE GESTION'!#REF!),"")</f>
        <v>#REF!</v>
      </c>
      <c r="Z17" s="41" t="e">
        <f>IF(AND(' RIESGOS DE GESTION'!#REF!="Alta",' RIESGOS DE GESTION'!#REF!="Moderado"),CONCATENATE("R2C",' RIESGOS DE GESTION'!#REF!),"")</f>
        <v>#REF!</v>
      </c>
      <c r="AA17" s="42" t="e">
        <f>IF(AND(' RIESGOS DE GESTION'!#REF!="Alta",' RIESGOS DE GESTION'!#REF!="Moderado"),CONCATENATE("R2C",' RIESGOS DE GESTION'!#REF!),"")</f>
        <v>#REF!</v>
      </c>
      <c r="AB17" s="40" t="e">
        <f>IF(AND(' RIESGOS DE GESTION'!#REF!="Alta",' RIESGOS DE GESTION'!#REF!="Mayor"),CONCATENATE("R2C",' RIESGOS DE GESTION'!#REF!),"")</f>
        <v>#REF!</v>
      </c>
      <c r="AC17" s="41" t="e">
        <f>IF(AND(' RIESGOS DE GESTION'!#REF!="Alta",' RIESGOS DE GESTION'!#REF!="Mayor"),CONCATENATE("R2C",' RIESGOS DE GESTION'!#REF!),"")</f>
        <v>#REF!</v>
      </c>
      <c r="AD17" s="41" t="e">
        <f>IF(AND(' RIESGOS DE GESTION'!#REF!="Alta",' RIESGOS DE GESTION'!#REF!="Mayor"),CONCATENATE("R2C",' RIESGOS DE GESTION'!#REF!),"")</f>
        <v>#REF!</v>
      </c>
      <c r="AE17" s="41" t="e">
        <f>IF(AND(' RIESGOS DE GESTION'!#REF!="Alta",' RIESGOS DE GESTION'!#REF!="Mayor"),CONCATENATE("R2C",' RIESGOS DE GESTION'!#REF!),"")</f>
        <v>#REF!</v>
      </c>
      <c r="AF17" s="41" t="e">
        <f>IF(AND(' RIESGOS DE GESTION'!#REF!="Alta",' RIESGOS DE GESTION'!#REF!="Mayor"),CONCATENATE("R2C",' RIESGOS DE GESTION'!#REF!),"")</f>
        <v>#REF!</v>
      </c>
      <c r="AG17" s="42" t="e">
        <f>IF(AND(' RIESGOS DE GESTION'!#REF!="Alta",' RIESGOS DE GESTION'!#REF!="Mayor"),CONCATENATE("R2C",' RIESGOS DE GESTION'!#REF!),"")</f>
        <v>#REF!</v>
      </c>
      <c r="AH17" s="43" t="e">
        <f>IF(AND(' RIESGOS DE GESTION'!#REF!="Alta",' RIESGOS DE GESTION'!#REF!="Catastrófico"),CONCATENATE("R2C",' RIESGOS DE GESTION'!#REF!),"")</f>
        <v>#REF!</v>
      </c>
      <c r="AI17" s="44" t="e">
        <f>IF(AND(' RIESGOS DE GESTION'!#REF!="Alta",' RIESGOS DE GESTION'!#REF!="Catastrófico"),CONCATENATE("R2C",' RIESGOS DE GESTION'!#REF!),"")</f>
        <v>#REF!</v>
      </c>
      <c r="AJ17" s="44" t="e">
        <f>IF(AND(' RIESGOS DE GESTION'!#REF!="Alta",' RIESGOS DE GESTION'!#REF!="Catastrófico"),CONCATENATE("R2C",' RIESGOS DE GESTION'!#REF!),"")</f>
        <v>#REF!</v>
      </c>
      <c r="AK17" s="44" t="e">
        <f>IF(AND(' RIESGOS DE GESTION'!#REF!="Alta",' RIESGOS DE GESTION'!#REF!="Catastrófico"),CONCATENATE("R2C",' RIESGOS DE GESTION'!#REF!),"")</f>
        <v>#REF!</v>
      </c>
      <c r="AL17" s="44" t="e">
        <f>IF(AND(' RIESGOS DE GESTION'!#REF!="Alta",' RIESGOS DE GESTION'!#REF!="Catastrófico"),CONCATENATE("R2C",' RIESGOS DE GESTION'!#REF!),"")</f>
        <v>#REF!</v>
      </c>
      <c r="AM17" s="45" t="e">
        <f>IF(AND(' RIESGOS DE GESTION'!#REF!="Alta",' RIESGOS DE GESTION'!#REF!="Catastrófico"),CONCATENATE("R2C",' RIESGOS DE GESTION'!#REF!),"")</f>
        <v>#REF!</v>
      </c>
      <c r="AN17" s="71"/>
      <c r="AO17" s="626"/>
      <c r="AP17" s="627"/>
      <c r="AQ17" s="627"/>
      <c r="AR17" s="627"/>
      <c r="AS17" s="627"/>
      <c r="AT17" s="628"/>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row>
    <row r="18" spans="1:76" ht="15" customHeight="1">
      <c r="A18" s="71"/>
      <c r="B18" s="537"/>
      <c r="C18" s="537"/>
      <c r="D18" s="538"/>
      <c r="E18" s="636"/>
      <c r="F18" s="635"/>
      <c r="G18" s="635"/>
      <c r="H18" s="635"/>
      <c r="I18" s="635"/>
      <c r="J18" s="55" t="e">
        <f>IF(AND(' RIESGOS DE GESTION'!#REF!="Alta",' RIESGOS DE GESTION'!#REF!="Leve"),CONCATENATE("R3C",' RIESGOS DE GESTION'!#REF!),"")</f>
        <v>#REF!</v>
      </c>
      <c r="K18" s="56" t="e">
        <f>IF(AND(' RIESGOS DE GESTION'!#REF!="Alta",' RIESGOS DE GESTION'!#REF!="Leve"),CONCATENATE("R3C",' RIESGOS DE GESTION'!#REF!),"")</f>
        <v>#REF!</v>
      </c>
      <c r="L18" s="56" t="e">
        <f>IF(AND(' RIESGOS DE GESTION'!#REF!="Alta",' RIESGOS DE GESTION'!#REF!="Leve"),CONCATENATE("R3C",' RIESGOS DE GESTION'!#REF!),"")</f>
        <v>#REF!</v>
      </c>
      <c r="M18" s="56" t="e">
        <f>IF(AND(' RIESGOS DE GESTION'!#REF!="Alta",' RIESGOS DE GESTION'!#REF!="Leve"),CONCATENATE("R3C",' RIESGOS DE GESTION'!#REF!),"")</f>
        <v>#REF!</v>
      </c>
      <c r="N18" s="56" t="e">
        <f>IF(AND(' RIESGOS DE GESTION'!#REF!="Alta",' RIESGOS DE GESTION'!#REF!="Leve"),CONCATENATE("R3C",' RIESGOS DE GESTION'!#REF!),"")</f>
        <v>#REF!</v>
      </c>
      <c r="O18" s="57" t="e">
        <f>IF(AND(' RIESGOS DE GESTION'!#REF!="Alta",' RIESGOS DE GESTION'!#REF!="Leve"),CONCATENATE("R3C",' RIESGOS DE GESTION'!#REF!),"")</f>
        <v>#REF!</v>
      </c>
      <c r="P18" s="55" t="e">
        <f>IF(AND(' RIESGOS DE GESTION'!#REF!="Alta",' RIESGOS DE GESTION'!#REF!="Menor"),CONCATENATE("R3C",' RIESGOS DE GESTION'!#REF!),"")</f>
        <v>#REF!</v>
      </c>
      <c r="Q18" s="56" t="e">
        <f>IF(AND(' RIESGOS DE GESTION'!#REF!="Alta",' RIESGOS DE GESTION'!#REF!="Menor"),CONCATENATE("R3C",' RIESGOS DE GESTION'!#REF!),"")</f>
        <v>#REF!</v>
      </c>
      <c r="R18" s="56" t="e">
        <f>IF(AND(' RIESGOS DE GESTION'!#REF!="Alta",' RIESGOS DE GESTION'!#REF!="Menor"),CONCATENATE("R3C",' RIESGOS DE GESTION'!#REF!),"")</f>
        <v>#REF!</v>
      </c>
      <c r="S18" s="56" t="e">
        <f>IF(AND(' RIESGOS DE GESTION'!#REF!="Alta",' RIESGOS DE GESTION'!#REF!="Menor"),CONCATENATE("R3C",' RIESGOS DE GESTION'!#REF!),"")</f>
        <v>#REF!</v>
      </c>
      <c r="T18" s="56" t="e">
        <f>IF(AND(' RIESGOS DE GESTION'!#REF!="Alta",' RIESGOS DE GESTION'!#REF!="Menor"),CONCATENATE("R3C",' RIESGOS DE GESTION'!#REF!),"")</f>
        <v>#REF!</v>
      </c>
      <c r="U18" s="57" t="e">
        <f>IF(AND(' RIESGOS DE GESTION'!#REF!="Alta",' RIESGOS DE GESTION'!#REF!="Menor"),CONCATENATE("R3C",' RIESGOS DE GESTION'!#REF!),"")</f>
        <v>#REF!</v>
      </c>
      <c r="V18" s="40" t="e">
        <f>IF(AND(' RIESGOS DE GESTION'!#REF!="Alta",' RIESGOS DE GESTION'!#REF!="Moderado"),CONCATENATE("R3C",' RIESGOS DE GESTION'!#REF!),"")</f>
        <v>#REF!</v>
      </c>
      <c r="W18" s="41" t="e">
        <f>IF(AND(' RIESGOS DE GESTION'!#REF!="Alta",' RIESGOS DE GESTION'!#REF!="Moderado"),CONCATENATE("R3C",' RIESGOS DE GESTION'!#REF!),"")</f>
        <v>#REF!</v>
      </c>
      <c r="X18" s="41" t="e">
        <f>IF(AND(' RIESGOS DE GESTION'!#REF!="Alta",' RIESGOS DE GESTION'!#REF!="Moderado"),CONCATENATE("R3C",' RIESGOS DE GESTION'!#REF!),"")</f>
        <v>#REF!</v>
      </c>
      <c r="Y18" s="41" t="e">
        <f>IF(AND(' RIESGOS DE GESTION'!#REF!="Alta",' RIESGOS DE GESTION'!#REF!="Moderado"),CONCATENATE("R3C",' RIESGOS DE GESTION'!#REF!),"")</f>
        <v>#REF!</v>
      </c>
      <c r="Z18" s="41" t="e">
        <f>IF(AND(' RIESGOS DE GESTION'!#REF!="Alta",' RIESGOS DE GESTION'!#REF!="Moderado"),CONCATENATE("R3C",' RIESGOS DE GESTION'!#REF!),"")</f>
        <v>#REF!</v>
      </c>
      <c r="AA18" s="42" t="e">
        <f>IF(AND(' RIESGOS DE GESTION'!#REF!="Alta",' RIESGOS DE GESTION'!#REF!="Moderado"),CONCATENATE("R3C",' RIESGOS DE GESTION'!#REF!),"")</f>
        <v>#REF!</v>
      </c>
      <c r="AB18" s="40" t="e">
        <f>IF(AND(' RIESGOS DE GESTION'!#REF!="Alta",' RIESGOS DE GESTION'!#REF!="Mayor"),CONCATENATE("R3C",' RIESGOS DE GESTION'!#REF!),"")</f>
        <v>#REF!</v>
      </c>
      <c r="AC18" s="41" t="e">
        <f>IF(AND(' RIESGOS DE GESTION'!#REF!="Alta",' RIESGOS DE GESTION'!#REF!="Mayor"),CONCATENATE("R3C",' RIESGOS DE GESTION'!#REF!),"")</f>
        <v>#REF!</v>
      </c>
      <c r="AD18" s="41" t="e">
        <f>IF(AND(' RIESGOS DE GESTION'!#REF!="Alta",' RIESGOS DE GESTION'!#REF!="Mayor"),CONCATENATE("R3C",' RIESGOS DE GESTION'!#REF!),"")</f>
        <v>#REF!</v>
      </c>
      <c r="AE18" s="41" t="e">
        <f>IF(AND(' RIESGOS DE GESTION'!#REF!="Alta",' RIESGOS DE GESTION'!#REF!="Mayor"),CONCATENATE("R3C",' RIESGOS DE GESTION'!#REF!),"")</f>
        <v>#REF!</v>
      </c>
      <c r="AF18" s="41" t="e">
        <f>IF(AND(' RIESGOS DE GESTION'!#REF!="Alta",' RIESGOS DE GESTION'!#REF!="Mayor"),CONCATENATE("R3C",' RIESGOS DE GESTION'!#REF!),"")</f>
        <v>#REF!</v>
      </c>
      <c r="AG18" s="42" t="e">
        <f>IF(AND(' RIESGOS DE GESTION'!#REF!="Alta",' RIESGOS DE GESTION'!#REF!="Mayor"),CONCATENATE("R3C",' RIESGOS DE GESTION'!#REF!),"")</f>
        <v>#REF!</v>
      </c>
      <c r="AH18" s="43" t="e">
        <f>IF(AND(' RIESGOS DE GESTION'!#REF!="Alta",' RIESGOS DE GESTION'!#REF!="Catastrófico"),CONCATENATE("R3C",' RIESGOS DE GESTION'!#REF!),"")</f>
        <v>#REF!</v>
      </c>
      <c r="AI18" s="44" t="e">
        <f>IF(AND(' RIESGOS DE GESTION'!#REF!="Alta",' RIESGOS DE GESTION'!#REF!="Catastrófico"),CONCATENATE("R3C",' RIESGOS DE GESTION'!#REF!),"")</f>
        <v>#REF!</v>
      </c>
      <c r="AJ18" s="44" t="e">
        <f>IF(AND(' RIESGOS DE GESTION'!#REF!="Alta",' RIESGOS DE GESTION'!#REF!="Catastrófico"),CONCATENATE("R3C",' RIESGOS DE GESTION'!#REF!),"")</f>
        <v>#REF!</v>
      </c>
      <c r="AK18" s="44" t="e">
        <f>IF(AND(' RIESGOS DE GESTION'!#REF!="Alta",' RIESGOS DE GESTION'!#REF!="Catastrófico"),CONCATENATE("R3C",' RIESGOS DE GESTION'!#REF!),"")</f>
        <v>#REF!</v>
      </c>
      <c r="AL18" s="44" t="e">
        <f>IF(AND(' RIESGOS DE GESTION'!#REF!="Alta",' RIESGOS DE GESTION'!#REF!="Catastrófico"),CONCATENATE("R3C",' RIESGOS DE GESTION'!#REF!),"")</f>
        <v>#REF!</v>
      </c>
      <c r="AM18" s="45" t="e">
        <f>IF(AND(' RIESGOS DE GESTION'!#REF!="Alta",' RIESGOS DE GESTION'!#REF!="Catastrófico"),CONCATENATE("R3C",' RIESGOS DE GESTION'!#REF!),"")</f>
        <v>#REF!</v>
      </c>
      <c r="AN18" s="71"/>
      <c r="AO18" s="626"/>
      <c r="AP18" s="627"/>
      <c r="AQ18" s="627"/>
      <c r="AR18" s="627"/>
      <c r="AS18" s="627"/>
      <c r="AT18" s="628"/>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row>
    <row r="19" spans="1:76" ht="15" customHeight="1">
      <c r="A19" s="71"/>
      <c r="B19" s="537"/>
      <c r="C19" s="537"/>
      <c r="D19" s="538"/>
      <c r="E19" s="636"/>
      <c r="F19" s="635"/>
      <c r="G19" s="635"/>
      <c r="H19" s="635"/>
      <c r="I19" s="635"/>
      <c r="J19" s="55" t="e">
        <f>IF(AND(' RIESGOS DE GESTION'!#REF!="Alta",' RIESGOS DE GESTION'!#REF!="Leve"),CONCATENATE("R4C",' RIESGOS DE GESTION'!#REF!),"")</f>
        <v>#REF!</v>
      </c>
      <c r="K19" s="56" t="e">
        <f>IF(AND(' RIESGOS DE GESTION'!#REF!="Alta",' RIESGOS DE GESTION'!#REF!="Leve"),CONCATENATE("R4C",' RIESGOS DE GESTION'!#REF!),"")</f>
        <v>#REF!</v>
      </c>
      <c r="L19" s="56" t="e">
        <f>IF(AND(' RIESGOS DE GESTION'!#REF!="Alta",' RIESGOS DE GESTION'!#REF!="Leve"),CONCATENATE("R4C",' RIESGOS DE GESTION'!#REF!),"")</f>
        <v>#REF!</v>
      </c>
      <c r="M19" s="56" t="e">
        <f>IF(AND(' RIESGOS DE GESTION'!#REF!="Alta",' RIESGOS DE GESTION'!#REF!="Leve"),CONCATENATE("R4C",' RIESGOS DE GESTION'!#REF!),"")</f>
        <v>#REF!</v>
      </c>
      <c r="N19" s="56" t="e">
        <f>IF(AND(' RIESGOS DE GESTION'!#REF!="Alta",' RIESGOS DE GESTION'!#REF!="Leve"),CONCATENATE("R4C",' RIESGOS DE GESTION'!#REF!),"")</f>
        <v>#REF!</v>
      </c>
      <c r="O19" s="57" t="e">
        <f>IF(AND(' RIESGOS DE GESTION'!#REF!="Alta",' RIESGOS DE GESTION'!#REF!="Leve"),CONCATENATE("R4C",' RIESGOS DE GESTION'!#REF!),"")</f>
        <v>#REF!</v>
      </c>
      <c r="P19" s="55" t="e">
        <f>IF(AND(' RIESGOS DE GESTION'!#REF!="Alta",' RIESGOS DE GESTION'!#REF!="Menor"),CONCATENATE("R4C",' RIESGOS DE GESTION'!#REF!),"")</f>
        <v>#REF!</v>
      </c>
      <c r="Q19" s="56" t="e">
        <f>IF(AND(' RIESGOS DE GESTION'!#REF!="Alta",' RIESGOS DE GESTION'!#REF!="Menor"),CONCATENATE("R4C",' RIESGOS DE GESTION'!#REF!),"")</f>
        <v>#REF!</v>
      </c>
      <c r="R19" s="56" t="e">
        <f>IF(AND(' RIESGOS DE GESTION'!#REF!="Alta",' RIESGOS DE GESTION'!#REF!="Menor"),CONCATENATE("R4C",' RIESGOS DE GESTION'!#REF!),"")</f>
        <v>#REF!</v>
      </c>
      <c r="S19" s="56" t="e">
        <f>IF(AND(' RIESGOS DE GESTION'!#REF!="Alta",' RIESGOS DE GESTION'!#REF!="Menor"),CONCATENATE("R4C",' RIESGOS DE GESTION'!#REF!),"")</f>
        <v>#REF!</v>
      </c>
      <c r="T19" s="56" t="e">
        <f>IF(AND(' RIESGOS DE GESTION'!#REF!="Alta",' RIESGOS DE GESTION'!#REF!="Menor"),CONCATENATE("R4C",' RIESGOS DE GESTION'!#REF!),"")</f>
        <v>#REF!</v>
      </c>
      <c r="U19" s="57" t="e">
        <f>IF(AND(' RIESGOS DE GESTION'!#REF!="Alta",' RIESGOS DE GESTION'!#REF!="Menor"),CONCATENATE("R4C",' RIESGOS DE GESTION'!#REF!),"")</f>
        <v>#REF!</v>
      </c>
      <c r="V19" s="40" t="e">
        <f>IF(AND(' RIESGOS DE GESTION'!#REF!="Alta",' RIESGOS DE GESTION'!#REF!="Moderado"),CONCATENATE("R4C",' RIESGOS DE GESTION'!#REF!),"")</f>
        <v>#REF!</v>
      </c>
      <c r="W19" s="41" t="e">
        <f>IF(AND(' RIESGOS DE GESTION'!#REF!="Alta",' RIESGOS DE GESTION'!#REF!="Moderado"),CONCATENATE("R4C",' RIESGOS DE GESTION'!#REF!),"")</f>
        <v>#REF!</v>
      </c>
      <c r="X19" s="41" t="e">
        <f>IF(AND(' RIESGOS DE GESTION'!#REF!="Alta",' RIESGOS DE GESTION'!#REF!="Moderado"),CONCATENATE("R4C",' RIESGOS DE GESTION'!#REF!),"")</f>
        <v>#REF!</v>
      </c>
      <c r="Y19" s="41" t="e">
        <f>IF(AND(' RIESGOS DE GESTION'!#REF!="Alta",' RIESGOS DE GESTION'!#REF!="Moderado"),CONCATENATE("R4C",' RIESGOS DE GESTION'!#REF!),"")</f>
        <v>#REF!</v>
      </c>
      <c r="Z19" s="41" t="e">
        <f>IF(AND(' RIESGOS DE GESTION'!#REF!="Alta",' RIESGOS DE GESTION'!#REF!="Moderado"),CONCATENATE("R4C",' RIESGOS DE GESTION'!#REF!),"")</f>
        <v>#REF!</v>
      </c>
      <c r="AA19" s="42" t="e">
        <f>IF(AND(' RIESGOS DE GESTION'!#REF!="Alta",' RIESGOS DE GESTION'!#REF!="Moderado"),CONCATENATE("R4C",' RIESGOS DE GESTION'!#REF!),"")</f>
        <v>#REF!</v>
      </c>
      <c r="AB19" s="40" t="e">
        <f>IF(AND(' RIESGOS DE GESTION'!#REF!="Alta",' RIESGOS DE GESTION'!#REF!="Mayor"),CONCATENATE("R4C",' RIESGOS DE GESTION'!#REF!),"")</f>
        <v>#REF!</v>
      </c>
      <c r="AC19" s="41" t="e">
        <f>IF(AND(' RIESGOS DE GESTION'!#REF!="Alta",' RIESGOS DE GESTION'!#REF!="Mayor"),CONCATENATE("R4C",' RIESGOS DE GESTION'!#REF!),"")</f>
        <v>#REF!</v>
      </c>
      <c r="AD19" s="41" t="e">
        <f>IF(AND(' RIESGOS DE GESTION'!#REF!="Alta",' RIESGOS DE GESTION'!#REF!="Mayor"),CONCATENATE("R4C",' RIESGOS DE GESTION'!#REF!),"")</f>
        <v>#REF!</v>
      </c>
      <c r="AE19" s="41" t="e">
        <f>IF(AND(' RIESGOS DE GESTION'!#REF!="Alta",' RIESGOS DE GESTION'!#REF!="Mayor"),CONCATENATE("R4C",' RIESGOS DE GESTION'!#REF!),"")</f>
        <v>#REF!</v>
      </c>
      <c r="AF19" s="41" t="e">
        <f>IF(AND(' RIESGOS DE GESTION'!#REF!="Alta",' RIESGOS DE GESTION'!#REF!="Mayor"),CONCATENATE("R4C",' RIESGOS DE GESTION'!#REF!),"")</f>
        <v>#REF!</v>
      </c>
      <c r="AG19" s="42" t="e">
        <f>IF(AND(' RIESGOS DE GESTION'!#REF!="Alta",' RIESGOS DE GESTION'!#REF!="Mayor"),CONCATENATE("R4C",' RIESGOS DE GESTION'!#REF!),"")</f>
        <v>#REF!</v>
      </c>
      <c r="AH19" s="43" t="e">
        <f>IF(AND(' RIESGOS DE GESTION'!#REF!="Alta",' RIESGOS DE GESTION'!#REF!="Catastrófico"),CONCATENATE("R4C",' RIESGOS DE GESTION'!#REF!),"")</f>
        <v>#REF!</v>
      </c>
      <c r="AI19" s="44" t="e">
        <f>IF(AND(' RIESGOS DE GESTION'!#REF!="Alta",' RIESGOS DE GESTION'!#REF!="Catastrófico"),CONCATENATE("R4C",' RIESGOS DE GESTION'!#REF!),"")</f>
        <v>#REF!</v>
      </c>
      <c r="AJ19" s="44" t="e">
        <f>IF(AND(' RIESGOS DE GESTION'!#REF!="Alta",' RIESGOS DE GESTION'!#REF!="Catastrófico"),CONCATENATE("R4C",' RIESGOS DE GESTION'!#REF!),"")</f>
        <v>#REF!</v>
      </c>
      <c r="AK19" s="44" t="e">
        <f>IF(AND(' RIESGOS DE GESTION'!#REF!="Alta",' RIESGOS DE GESTION'!#REF!="Catastrófico"),CONCATENATE("R4C",' RIESGOS DE GESTION'!#REF!),"")</f>
        <v>#REF!</v>
      </c>
      <c r="AL19" s="44" t="e">
        <f>IF(AND(' RIESGOS DE GESTION'!#REF!="Alta",' RIESGOS DE GESTION'!#REF!="Catastrófico"),CONCATENATE("R4C",' RIESGOS DE GESTION'!#REF!),"")</f>
        <v>#REF!</v>
      </c>
      <c r="AM19" s="45" t="e">
        <f>IF(AND(' RIESGOS DE GESTION'!#REF!="Alta",' RIESGOS DE GESTION'!#REF!="Catastrófico"),CONCATENATE("R4C",' RIESGOS DE GESTION'!#REF!),"")</f>
        <v>#REF!</v>
      </c>
      <c r="AN19" s="71"/>
      <c r="AO19" s="626"/>
      <c r="AP19" s="627"/>
      <c r="AQ19" s="627"/>
      <c r="AR19" s="627"/>
      <c r="AS19" s="627"/>
      <c r="AT19" s="628"/>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row>
    <row r="20" spans="1:76" ht="15" customHeight="1">
      <c r="A20" s="71"/>
      <c r="B20" s="537"/>
      <c r="C20" s="537"/>
      <c r="D20" s="538"/>
      <c r="E20" s="636"/>
      <c r="F20" s="635"/>
      <c r="G20" s="635"/>
      <c r="H20" s="635"/>
      <c r="I20" s="635"/>
      <c r="J20" s="55" t="e">
        <f>IF(AND(' RIESGOS DE GESTION'!#REF!="Alta",' RIESGOS DE GESTION'!#REF!="Leve"),CONCATENATE("R5C",' RIESGOS DE GESTION'!#REF!),"")</f>
        <v>#REF!</v>
      </c>
      <c r="K20" s="56" t="e">
        <f>IF(AND(' RIESGOS DE GESTION'!#REF!="Alta",' RIESGOS DE GESTION'!#REF!="Leve"),CONCATENATE("R5C",' RIESGOS DE GESTION'!#REF!),"")</f>
        <v>#REF!</v>
      </c>
      <c r="L20" s="56" t="e">
        <f>IF(AND(' RIESGOS DE GESTION'!#REF!="Alta",' RIESGOS DE GESTION'!#REF!="Leve"),CONCATENATE("R5C",' RIESGOS DE GESTION'!#REF!),"")</f>
        <v>#REF!</v>
      </c>
      <c r="M20" s="56" t="e">
        <f>IF(AND(' RIESGOS DE GESTION'!#REF!="Alta",' RIESGOS DE GESTION'!#REF!="Leve"),CONCATENATE("R5C",' RIESGOS DE GESTION'!#REF!),"")</f>
        <v>#REF!</v>
      </c>
      <c r="N20" s="56" t="e">
        <f>IF(AND(' RIESGOS DE GESTION'!#REF!="Alta",' RIESGOS DE GESTION'!#REF!="Leve"),CONCATENATE("R5C",' RIESGOS DE GESTION'!#REF!),"")</f>
        <v>#REF!</v>
      </c>
      <c r="O20" s="57" t="e">
        <f>IF(AND(' RIESGOS DE GESTION'!#REF!="Alta",' RIESGOS DE GESTION'!#REF!="Leve"),CONCATENATE("R5C",' RIESGOS DE GESTION'!#REF!),"")</f>
        <v>#REF!</v>
      </c>
      <c r="P20" s="55" t="e">
        <f>IF(AND(' RIESGOS DE GESTION'!#REF!="Alta",' RIESGOS DE GESTION'!#REF!="Menor"),CONCATENATE("R5C",' RIESGOS DE GESTION'!#REF!),"")</f>
        <v>#REF!</v>
      </c>
      <c r="Q20" s="56" t="e">
        <f>IF(AND(' RIESGOS DE GESTION'!#REF!="Alta",' RIESGOS DE GESTION'!#REF!="Menor"),CONCATENATE("R5C",' RIESGOS DE GESTION'!#REF!),"")</f>
        <v>#REF!</v>
      </c>
      <c r="R20" s="56" t="e">
        <f>IF(AND(' RIESGOS DE GESTION'!#REF!="Alta",' RIESGOS DE GESTION'!#REF!="Menor"),CONCATENATE("R5C",' RIESGOS DE GESTION'!#REF!),"")</f>
        <v>#REF!</v>
      </c>
      <c r="S20" s="56" t="e">
        <f>IF(AND(' RIESGOS DE GESTION'!#REF!="Alta",' RIESGOS DE GESTION'!#REF!="Menor"),CONCATENATE("R5C",' RIESGOS DE GESTION'!#REF!),"")</f>
        <v>#REF!</v>
      </c>
      <c r="T20" s="56" t="e">
        <f>IF(AND(' RIESGOS DE GESTION'!#REF!="Alta",' RIESGOS DE GESTION'!#REF!="Menor"),CONCATENATE("R5C",' RIESGOS DE GESTION'!#REF!),"")</f>
        <v>#REF!</v>
      </c>
      <c r="U20" s="57" t="e">
        <f>IF(AND(' RIESGOS DE GESTION'!#REF!="Alta",' RIESGOS DE GESTION'!#REF!="Menor"),CONCATENATE("R5C",' RIESGOS DE GESTION'!#REF!),"")</f>
        <v>#REF!</v>
      </c>
      <c r="V20" s="40" t="e">
        <f>IF(AND(' RIESGOS DE GESTION'!#REF!="Alta",' RIESGOS DE GESTION'!#REF!="Moderado"),CONCATENATE("R5C",' RIESGOS DE GESTION'!#REF!),"")</f>
        <v>#REF!</v>
      </c>
      <c r="W20" s="41" t="e">
        <f>IF(AND(' RIESGOS DE GESTION'!#REF!="Alta",' RIESGOS DE GESTION'!#REF!="Moderado"),CONCATENATE("R5C",' RIESGOS DE GESTION'!#REF!),"")</f>
        <v>#REF!</v>
      </c>
      <c r="X20" s="41" t="e">
        <f>IF(AND(' RIESGOS DE GESTION'!#REF!="Alta",' RIESGOS DE GESTION'!#REF!="Moderado"),CONCATENATE("R5C",' RIESGOS DE GESTION'!#REF!),"")</f>
        <v>#REF!</v>
      </c>
      <c r="Y20" s="41" t="e">
        <f>IF(AND(' RIESGOS DE GESTION'!#REF!="Alta",' RIESGOS DE GESTION'!#REF!="Moderado"),CONCATENATE("R5C",' RIESGOS DE GESTION'!#REF!),"")</f>
        <v>#REF!</v>
      </c>
      <c r="Z20" s="41" t="e">
        <f>IF(AND(' RIESGOS DE GESTION'!#REF!="Alta",' RIESGOS DE GESTION'!#REF!="Moderado"),CONCATENATE("R5C",' RIESGOS DE GESTION'!#REF!),"")</f>
        <v>#REF!</v>
      </c>
      <c r="AA20" s="42" t="e">
        <f>IF(AND(' RIESGOS DE GESTION'!#REF!="Alta",' RIESGOS DE GESTION'!#REF!="Moderado"),CONCATENATE("R5C",' RIESGOS DE GESTION'!#REF!),"")</f>
        <v>#REF!</v>
      </c>
      <c r="AB20" s="40" t="e">
        <f>IF(AND(' RIESGOS DE GESTION'!#REF!="Alta",' RIESGOS DE GESTION'!#REF!="Mayor"),CONCATENATE("R5C",' RIESGOS DE GESTION'!#REF!),"")</f>
        <v>#REF!</v>
      </c>
      <c r="AC20" s="41" t="e">
        <f>IF(AND(' RIESGOS DE GESTION'!#REF!="Alta",' RIESGOS DE GESTION'!#REF!="Mayor"),CONCATENATE("R5C",' RIESGOS DE GESTION'!#REF!),"")</f>
        <v>#REF!</v>
      </c>
      <c r="AD20" s="41" t="e">
        <f>IF(AND(' RIESGOS DE GESTION'!#REF!="Alta",' RIESGOS DE GESTION'!#REF!="Mayor"),CONCATENATE("R5C",' RIESGOS DE GESTION'!#REF!),"")</f>
        <v>#REF!</v>
      </c>
      <c r="AE20" s="41" t="e">
        <f>IF(AND(' RIESGOS DE GESTION'!#REF!="Alta",' RIESGOS DE GESTION'!#REF!="Mayor"),CONCATENATE("R5C",' RIESGOS DE GESTION'!#REF!),"")</f>
        <v>#REF!</v>
      </c>
      <c r="AF20" s="41" t="e">
        <f>IF(AND(' RIESGOS DE GESTION'!#REF!="Alta",' RIESGOS DE GESTION'!#REF!="Mayor"),CONCATENATE("R5C",' RIESGOS DE GESTION'!#REF!),"")</f>
        <v>#REF!</v>
      </c>
      <c r="AG20" s="42" t="e">
        <f>IF(AND(' RIESGOS DE GESTION'!#REF!="Alta",' RIESGOS DE GESTION'!#REF!="Mayor"),CONCATENATE("R5C",' RIESGOS DE GESTION'!#REF!),"")</f>
        <v>#REF!</v>
      </c>
      <c r="AH20" s="43" t="e">
        <f>IF(AND(' RIESGOS DE GESTION'!#REF!="Alta",' RIESGOS DE GESTION'!#REF!="Catastrófico"),CONCATENATE("R5C",' RIESGOS DE GESTION'!#REF!),"")</f>
        <v>#REF!</v>
      </c>
      <c r="AI20" s="44" t="e">
        <f>IF(AND(' RIESGOS DE GESTION'!#REF!="Alta",' RIESGOS DE GESTION'!#REF!="Catastrófico"),CONCATENATE("R5C",' RIESGOS DE GESTION'!#REF!),"")</f>
        <v>#REF!</v>
      </c>
      <c r="AJ20" s="44" t="e">
        <f>IF(AND(' RIESGOS DE GESTION'!#REF!="Alta",' RIESGOS DE GESTION'!#REF!="Catastrófico"),CONCATENATE("R5C",' RIESGOS DE GESTION'!#REF!),"")</f>
        <v>#REF!</v>
      </c>
      <c r="AK20" s="44" t="e">
        <f>IF(AND(' RIESGOS DE GESTION'!#REF!="Alta",' RIESGOS DE GESTION'!#REF!="Catastrófico"),CONCATENATE("R5C",' RIESGOS DE GESTION'!#REF!),"")</f>
        <v>#REF!</v>
      </c>
      <c r="AL20" s="44" t="e">
        <f>IF(AND(' RIESGOS DE GESTION'!#REF!="Alta",' RIESGOS DE GESTION'!#REF!="Catastrófico"),CONCATENATE("R5C",' RIESGOS DE GESTION'!#REF!),"")</f>
        <v>#REF!</v>
      </c>
      <c r="AM20" s="45" t="e">
        <f>IF(AND(' RIESGOS DE GESTION'!#REF!="Alta",' RIESGOS DE GESTION'!#REF!="Catastrófico"),CONCATENATE("R5C",' RIESGOS DE GESTION'!#REF!),"")</f>
        <v>#REF!</v>
      </c>
      <c r="AN20" s="71"/>
      <c r="AO20" s="626"/>
      <c r="AP20" s="627"/>
      <c r="AQ20" s="627"/>
      <c r="AR20" s="627"/>
      <c r="AS20" s="627"/>
      <c r="AT20" s="628"/>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row>
    <row r="21" spans="1:76" ht="15" customHeight="1">
      <c r="A21" s="71"/>
      <c r="B21" s="537"/>
      <c r="C21" s="537"/>
      <c r="D21" s="538"/>
      <c r="E21" s="636"/>
      <c r="F21" s="635"/>
      <c r="G21" s="635"/>
      <c r="H21" s="635"/>
      <c r="I21" s="635"/>
      <c r="J21" s="55" t="e">
        <f>IF(AND(' RIESGOS DE GESTION'!#REF!="Alta",' RIESGOS DE GESTION'!#REF!="Leve"),CONCATENATE("R6C",' RIESGOS DE GESTION'!#REF!),"")</f>
        <v>#REF!</v>
      </c>
      <c r="K21" s="56" t="e">
        <f>IF(AND(' RIESGOS DE GESTION'!#REF!="Alta",' RIESGOS DE GESTION'!#REF!="Leve"),CONCATENATE("R6C",' RIESGOS DE GESTION'!#REF!),"")</f>
        <v>#REF!</v>
      </c>
      <c r="L21" s="56" t="e">
        <f>IF(AND(' RIESGOS DE GESTION'!#REF!="Alta",' RIESGOS DE GESTION'!#REF!="Leve"),CONCATENATE("R6C",' RIESGOS DE GESTION'!#REF!),"")</f>
        <v>#REF!</v>
      </c>
      <c r="M21" s="56" t="e">
        <f>IF(AND(' RIESGOS DE GESTION'!#REF!="Alta",' RIESGOS DE GESTION'!#REF!="Leve"),CONCATENATE("R6C",' RIESGOS DE GESTION'!#REF!),"")</f>
        <v>#REF!</v>
      </c>
      <c r="N21" s="56" t="e">
        <f>IF(AND(' RIESGOS DE GESTION'!#REF!="Alta",' RIESGOS DE GESTION'!#REF!="Leve"),CONCATENATE("R6C",' RIESGOS DE GESTION'!#REF!),"")</f>
        <v>#REF!</v>
      </c>
      <c r="O21" s="57" t="e">
        <f>IF(AND(' RIESGOS DE GESTION'!#REF!="Alta",' RIESGOS DE GESTION'!#REF!="Leve"),CONCATENATE("R6C",' RIESGOS DE GESTION'!#REF!),"")</f>
        <v>#REF!</v>
      </c>
      <c r="P21" s="55" t="e">
        <f>IF(AND(' RIESGOS DE GESTION'!#REF!="Alta",' RIESGOS DE GESTION'!#REF!="Menor"),CONCATENATE("R6C",' RIESGOS DE GESTION'!#REF!),"")</f>
        <v>#REF!</v>
      </c>
      <c r="Q21" s="56" t="e">
        <f>IF(AND(' RIESGOS DE GESTION'!#REF!="Alta",' RIESGOS DE GESTION'!#REF!="Menor"),CONCATENATE("R6C",' RIESGOS DE GESTION'!#REF!),"")</f>
        <v>#REF!</v>
      </c>
      <c r="R21" s="56" t="e">
        <f>IF(AND(' RIESGOS DE GESTION'!#REF!="Alta",' RIESGOS DE GESTION'!#REF!="Menor"),CONCATENATE("R6C",' RIESGOS DE GESTION'!#REF!),"")</f>
        <v>#REF!</v>
      </c>
      <c r="S21" s="56" t="e">
        <f>IF(AND(' RIESGOS DE GESTION'!#REF!="Alta",' RIESGOS DE GESTION'!#REF!="Menor"),CONCATENATE("R6C",' RIESGOS DE GESTION'!#REF!),"")</f>
        <v>#REF!</v>
      </c>
      <c r="T21" s="56" t="e">
        <f>IF(AND(' RIESGOS DE GESTION'!#REF!="Alta",' RIESGOS DE GESTION'!#REF!="Menor"),CONCATENATE("R6C",' RIESGOS DE GESTION'!#REF!),"")</f>
        <v>#REF!</v>
      </c>
      <c r="U21" s="57" t="e">
        <f>IF(AND(' RIESGOS DE GESTION'!#REF!="Alta",' RIESGOS DE GESTION'!#REF!="Menor"),CONCATENATE("R6C",' RIESGOS DE GESTION'!#REF!),"")</f>
        <v>#REF!</v>
      </c>
      <c r="V21" s="40" t="e">
        <f>IF(AND(' RIESGOS DE GESTION'!#REF!="Alta",' RIESGOS DE GESTION'!#REF!="Moderado"),CONCATENATE("R6C",' RIESGOS DE GESTION'!#REF!),"")</f>
        <v>#REF!</v>
      </c>
      <c r="W21" s="41" t="e">
        <f>IF(AND(' RIESGOS DE GESTION'!#REF!="Alta",' RIESGOS DE GESTION'!#REF!="Moderado"),CONCATENATE("R6C",' RIESGOS DE GESTION'!#REF!),"")</f>
        <v>#REF!</v>
      </c>
      <c r="X21" s="41" t="e">
        <f>IF(AND(' RIESGOS DE GESTION'!#REF!="Alta",' RIESGOS DE GESTION'!#REF!="Moderado"),CONCATENATE("R6C",' RIESGOS DE GESTION'!#REF!),"")</f>
        <v>#REF!</v>
      </c>
      <c r="Y21" s="41" t="e">
        <f>IF(AND(' RIESGOS DE GESTION'!#REF!="Alta",' RIESGOS DE GESTION'!#REF!="Moderado"),CONCATENATE("R6C",' RIESGOS DE GESTION'!#REF!),"")</f>
        <v>#REF!</v>
      </c>
      <c r="Z21" s="41" t="e">
        <f>IF(AND(' RIESGOS DE GESTION'!#REF!="Alta",' RIESGOS DE GESTION'!#REF!="Moderado"),CONCATENATE("R6C",' RIESGOS DE GESTION'!#REF!),"")</f>
        <v>#REF!</v>
      </c>
      <c r="AA21" s="42" t="e">
        <f>IF(AND(' RIESGOS DE GESTION'!#REF!="Alta",' RIESGOS DE GESTION'!#REF!="Moderado"),CONCATENATE("R6C",' RIESGOS DE GESTION'!#REF!),"")</f>
        <v>#REF!</v>
      </c>
      <c r="AB21" s="40" t="e">
        <f>IF(AND(' RIESGOS DE GESTION'!#REF!="Alta",' RIESGOS DE GESTION'!#REF!="Mayor"),CONCATENATE("R6C",' RIESGOS DE GESTION'!#REF!),"")</f>
        <v>#REF!</v>
      </c>
      <c r="AC21" s="41" t="e">
        <f>IF(AND(' RIESGOS DE GESTION'!#REF!="Alta",' RIESGOS DE GESTION'!#REF!="Mayor"),CONCATENATE("R6C",' RIESGOS DE GESTION'!#REF!),"")</f>
        <v>#REF!</v>
      </c>
      <c r="AD21" s="41" t="e">
        <f>IF(AND(' RIESGOS DE GESTION'!#REF!="Alta",' RIESGOS DE GESTION'!#REF!="Mayor"),CONCATENATE("R6C",' RIESGOS DE GESTION'!#REF!),"")</f>
        <v>#REF!</v>
      </c>
      <c r="AE21" s="41" t="e">
        <f>IF(AND(' RIESGOS DE GESTION'!#REF!="Alta",' RIESGOS DE GESTION'!#REF!="Mayor"),CONCATENATE("R6C",' RIESGOS DE GESTION'!#REF!),"")</f>
        <v>#REF!</v>
      </c>
      <c r="AF21" s="41" t="e">
        <f>IF(AND(' RIESGOS DE GESTION'!#REF!="Alta",' RIESGOS DE GESTION'!#REF!="Mayor"),CONCATENATE("R6C",' RIESGOS DE GESTION'!#REF!),"")</f>
        <v>#REF!</v>
      </c>
      <c r="AG21" s="42" t="e">
        <f>IF(AND(' RIESGOS DE GESTION'!#REF!="Alta",' RIESGOS DE GESTION'!#REF!="Mayor"),CONCATENATE("R6C",' RIESGOS DE GESTION'!#REF!),"")</f>
        <v>#REF!</v>
      </c>
      <c r="AH21" s="43" t="e">
        <f>IF(AND(' RIESGOS DE GESTION'!#REF!="Alta",' RIESGOS DE GESTION'!#REF!="Catastrófico"),CONCATENATE("R6C",' RIESGOS DE GESTION'!#REF!),"")</f>
        <v>#REF!</v>
      </c>
      <c r="AI21" s="44" t="e">
        <f>IF(AND(' RIESGOS DE GESTION'!#REF!="Alta",' RIESGOS DE GESTION'!#REF!="Catastrófico"),CONCATENATE("R6C",' RIESGOS DE GESTION'!#REF!),"")</f>
        <v>#REF!</v>
      </c>
      <c r="AJ21" s="44" t="e">
        <f>IF(AND(' RIESGOS DE GESTION'!#REF!="Alta",' RIESGOS DE GESTION'!#REF!="Catastrófico"),CONCATENATE("R6C",' RIESGOS DE GESTION'!#REF!),"")</f>
        <v>#REF!</v>
      </c>
      <c r="AK21" s="44" t="e">
        <f>IF(AND(' RIESGOS DE GESTION'!#REF!="Alta",' RIESGOS DE GESTION'!#REF!="Catastrófico"),CONCATENATE("R6C",' RIESGOS DE GESTION'!#REF!),"")</f>
        <v>#REF!</v>
      </c>
      <c r="AL21" s="44" t="e">
        <f>IF(AND(' RIESGOS DE GESTION'!#REF!="Alta",' RIESGOS DE GESTION'!#REF!="Catastrófico"),CONCATENATE("R6C",' RIESGOS DE GESTION'!#REF!),"")</f>
        <v>#REF!</v>
      </c>
      <c r="AM21" s="45" t="e">
        <f>IF(AND(' RIESGOS DE GESTION'!#REF!="Alta",' RIESGOS DE GESTION'!#REF!="Catastrófico"),CONCATENATE("R6C",' RIESGOS DE GESTION'!#REF!),"")</f>
        <v>#REF!</v>
      </c>
      <c r="AN21" s="71"/>
      <c r="AO21" s="626"/>
      <c r="AP21" s="627"/>
      <c r="AQ21" s="627"/>
      <c r="AR21" s="627"/>
      <c r="AS21" s="627"/>
      <c r="AT21" s="628"/>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row>
    <row r="22" spans="1:76" ht="15" customHeight="1">
      <c r="A22" s="71"/>
      <c r="B22" s="537"/>
      <c r="C22" s="537"/>
      <c r="D22" s="538"/>
      <c r="E22" s="636"/>
      <c r="F22" s="635"/>
      <c r="G22" s="635"/>
      <c r="H22" s="635"/>
      <c r="I22" s="635"/>
      <c r="J22" s="55" t="e">
        <f>IF(AND(' RIESGOS DE GESTION'!#REF!="Alta",' RIESGOS DE GESTION'!#REF!="Leve"),CONCATENATE("R7C",' RIESGOS DE GESTION'!#REF!),"")</f>
        <v>#REF!</v>
      </c>
      <c r="K22" s="56" t="e">
        <f>IF(AND(' RIESGOS DE GESTION'!#REF!="Alta",' RIESGOS DE GESTION'!#REF!="Leve"),CONCATENATE("R7C",' RIESGOS DE GESTION'!#REF!),"")</f>
        <v>#REF!</v>
      </c>
      <c r="L22" s="56" t="e">
        <f>IF(AND(' RIESGOS DE GESTION'!#REF!="Alta",' RIESGOS DE GESTION'!#REF!="Leve"),CONCATENATE("R7C",' RIESGOS DE GESTION'!#REF!),"")</f>
        <v>#REF!</v>
      </c>
      <c r="M22" s="56" t="e">
        <f>IF(AND(' RIESGOS DE GESTION'!#REF!="Alta",' RIESGOS DE GESTION'!#REF!="Leve"),CONCATENATE("R7C",' RIESGOS DE GESTION'!#REF!),"")</f>
        <v>#REF!</v>
      </c>
      <c r="N22" s="56" t="e">
        <f>IF(AND(' RIESGOS DE GESTION'!#REF!="Alta",' RIESGOS DE GESTION'!#REF!="Leve"),CONCATENATE("R7C",' RIESGOS DE GESTION'!#REF!),"")</f>
        <v>#REF!</v>
      </c>
      <c r="O22" s="57" t="e">
        <f>IF(AND(' RIESGOS DE GESTION'!#REF!="Alta",' RIESGOS DE GESTION'!#REF!="Leve"),CONCATENATE("R7C",' RIESGOS DE GESTION'!#REF!),"")</f>
        <v>#REF!</v>
      </c>
      <c r="P22" s="55" t="e">
        <f>IF(AND(' RIESGOS DE GESTION'!#REF!="Alta",' RIESGOS DE GESTION'!#REF!="Menor"),CONCATENATE("R7C",' RIESGOS DE GESTION'!#REF!),"")</f>
        <v>#REF!</v>
      </c>
      <c r="Q22" s="56" t="e">
        <f>IF(AND(' RIESGOS DE GESTION'!#REF!="Alta",' RIESGOS DE GESTION'!#REF!="Menor"),CONCATENATE("R7C",' RIESGOS DE GESTION'!#REF!),"")</f>
        <v>#REF!</v>
      </c>
      <c r="R22" s="56" t="e">
        <f>IF(AND(' RIESGOS DE GESTION'!#REF!="Alta",' RIESGOS DE GESTION'!#REF!="Menor"),CONCATENATE("R7C",' RIESGOS DE GESTION'!#REF!),"")</f>
        <v>#REF!</v>
      </c>
      <c r="S22" s="56" t="e">
        <f>IF(AND(' RIESGOS DE GESTION'!#REF!="Alta",' RIESGOS DE GESTION'!#REF!="Menor"),CONCATENATE("R7C",' RIESGOS DE GESTION'!#REF!),"")</f>
        <v>#REF!</v>
      </c>
      <c r="T22" s="56" t="e">
        <f>IF(AND(' RIESGOS DE GESTION'!#REF!="Alta",' RIESGOS DE GESTION'!#REF!="Menor"),CONCATENATE("R7C",' RIESGOS DE GESTION'!#REF!),"")</f>
        <v>#REF!</v>
      </c>
      <c r="U22" s="57" t="e">
        <f>IF(AND(' RIESGOS DE GESTION'!#REF!="Alta",' RIESGOS DE GESTION'!#REF!="Menor"),CONCATENATE("R7C",' RIESGOS DE GESTION'!#REF!),"")</f>
        <v>#REF!</v>
      </c>
      <c r="V22" s="40" t="e">
        <f>IF(AND(' RIESGOS DE GESTION'!#REF!="Alta",' RIESGOS DE GESTION'!#REF!="Moderado"),CONCATENATE("R7C",' RIESGOS DE GESTION'!#REF!),"")</f>
        <v>#REF!</v>
      </c>
      <c r="W22" s="41" t="e">
        <f>IF(AND(' RIESGOS DE GESTION'!#REF!="Alta",' RIESGOS DE GESTION'!#REF!="Moderado"),CONCATENATE("R7C",' RIESGOS DE GESTION'!#REF!),"")</f>
        <v>#REF!</v>
      </c>
      <c r="X22" s="41" t="e">
        <f>IF(AND(' RIESGOS DE GESTION'!#REF!="Alta",' RIESGOS DE GESTION'!#REF!="Moderado"),CONCATENATE("R7C",' RIESGOS DE GESTION'!#REF!),"")</f>
        <v>#REF!</v>
      </c>
      <c r="Y22" s="41" t="e">
        <f>IF(AND(' RIESGOS DE GESTION'!#REF!="Alta",' RIESGOS DE GESTION'!#REF!="Moderado"),CONCATENATE("R7C",' RIESGOS DE GESTION'!#REF!),"")</f>
        <v>#REF!</v>
      </c>
      <c r="Z22" s="41" t="e">
        <f>IF(AND(' RIESGOS DE GESTION'!#REF!="Alta",' RIESGOS DE GESTION'!#REF!="Moderado"),CONCATENATE("R7C",' RIESGOS DE GESTION'!#REF!),"")</f>
        <v>#REF!</v>
      </c>
      <c r="AA22" s="42" t="e">
        <f>IF(AND(' RIESGOS DE GESTION'!#REF!="Alta",' RIESGOS DE GESTION'!#REF!="Moderado"),CONCATENATE("R7C",' RIESGOS DE GESTION'!#REF!),"")</f>
        <v>#REF!</v>
      </c>
      <c r="AB22" s="40" t="e">
        <f>IF(AND(' RIESGOS DE GESTION'!#REF!="Alta",' RIESGOS DE GESTION'!#REF!="Mayor"),CONCATENATE("R7C",' RIESGOS DE GESTION'!#REF!),"")</f>
        <v>#REF!</v>
      </c>
      <c r="AC22" s="41" t="e">
        <f>IF(AND(' RIESGOS DE GESTION'!#REF!="Alta",' RIESGOS DE GESTION'!#REF!="Mayor"),CONCATENATE("R7C",' RIESGOS DE GESTION'!#REF!),"")</f>
        <v>#REF!</v>
      </c>
      <c r="AD22" s="41" t="e">
        <f>IF(AND(' RIESGOS DE GESTION'!#REF!="Alta",' RIESGOS DE GESTION'!#REF!="Mayor"),CONCATENATE("R7C",' RIESGOS DE GESTION'!#REF!),"")</f>
        <v>#REF!</v>
      </c>
      <c r="AE22" s="41" t="e">
        <f>IF(AND(' RIESGOS DE GESTION'!#REF!="Alta",' RIESGOS DE GESTION'!#REF!="Mayor"),CONCATENATE("R7C",' RIESGOS DE GESTION'!#REF!),"")</f>
        <v>#REF!</v>
      </c>
      <c r="AF22" s="41" t="e">
        <f>IF(AND(' RIESGOS DE GESTION'!#REF!="Alta",' RIESGOS DE GESTION'!#REF!="Mayor"),CONCATENATE("R7C",' RIESGOS DE GESTION'!#REF!),"")</f>
        <v>#REF!</v>
      </c>
      <c r="AG22" s="42" t="e">
        <f>IF(AND(' RIESGOS DE GESTION'!#REF!="Alta",' RIESGOS DE GESTION'!#REF!="Mayor"),CONCATENATE("R7C",' RIESGOS DE GESTION'!#REF!),"")</f>
        <v>#REF!</v>
      </c>
      <c r="AH22" s="43" t="e">
        <f>IF(AND(' RIESGOS DE GESTION'!#REF!="Alta",' RIESGOS DE GESTION'!#REF!="Catastrófico"),CONCATENATE("R7C",' RIESGOS DE GESTION'!#REF!),"")</f>
        <v>#REF!</v>
      </c>
      <c r="AI22" s="44" t="e">
        <f>IF(AND(' RIESGOS DE GESTION'!#REF!="Alta",' RIESGOS DE GESTION'!#REF!="Catastrófico"),CONCATENATE("R7C",' RIESGOS DE GESTION'!#REF!),"")</f>
        <v>#REF!</v>
      </c>
      <c r="AJ22" s="44" t="e">
        <f>IF(AND(' RIESGOS DE GESTION'!#REF!="Alta",' RIESGOS DE GESTION'!#REF!="Catastrófico"),CONCATENATE("R7C",' RIESGOS DE GESTION'!#REF!),"")</f>
        <v>#REF!</v>
      </c>
      <c r="AK22" s="44" t="e">
        <f>IF(AND(' RIESGOS DE GESTION'!#REF!="Alta",' RIESGOS DE GESTION'!#REF!="Catastrófico"),CONCATENATE("R7C",' RIESGOS DE GESTION'!#REF!),"")</f>
        <v>#REF!</v>
      </c>
      <c r="AL22" s="44" t="e">
        <f>IF(AND(' RIESGOS DE GESTION'!#REF!="Alta",' RIESGOS DE GESTION'!#REF!="Catastrófico"),CONCATENATE("R7C",' RIESGOS DE GESTION'!#REF!),"")</f>
        <v>#REF!</v>
      </c>
      <c r="AM22" s="45" t="e">
        <f>IF(AND(' RIESGOS DE GESTION'!#REF!="Alta",' RIESGOS DE GESTION'!#REF!="Catastrófico"),CONCATENATE("R7C",' RIESGOS DE GESTION'!#REF!),"")</f>
        <v>#REF!</v>
      </c>
      <c r="AN22" s="71"/>
      <c r="AO22" s="626"/>
      <c r="AP22" s="627"/>
      <c r="AQ22" s="627"/>
      <c r="AR22" s="627"/>
      <c r="AS22" s="627"/>
      <c r="AT22" s="628"/>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row>
    <row r="23" spans="1:76" ht="15" customHeight="1">
      <c r="A23" s="71"/>
      <c r="B23" s="537"/>
      <c r="C23" s="537"/>
      <c r="D23" s="538"/>
      <c r="E23" s="636"/>
      <c r="F23" s="635"/>
      <c r="G23" s="635"/>
      <c r="H23" s="635"/>
      <c r="I23" s="635"/>
      <c r="J23" s="55" t="e">
        <f>IF(AND(' RIESGOS DE GESTION'!#REF!="Alta",' RIESGOS DE GESTION'!#REF!="Leve"),CONCATENATE("R8C",' RIESGOS DE GESTION'!#REF!),"")</f>
        <v>#REF!</v>
      </c>
      <c r="K23" s="56" t="e">
        <f>IF(AND(' RIESGOS DE GESTION'!#REF!="Alta",' RIESGOS DE GESTION'!#REF!="Leve"),CONCATENATE("R8C",' RIESGOS DE GESTION'!#REF!),"")</f>
        <v>#REF!</v>
      </c>
      <c r="L23" s="56" t="e">
        <f>IF(AND(' RIESGOS DE GESTION'!#REF!="Alta",' RIESGOS DE GESTION'!#REF!="Leve"),CONCATENATE("R8C",' RIESGOS DE GESTION'!#REF!),"")</f>
        <v>#REF!</v>
      </c>
      <c r="M23" s="56" t="e">
        <f>IF(AND(' RIESGOS DE GESTION'!#REF!="Alta",' RIESGOS DE GESTION'!#REF!="Leve"),CONCATENATE("R8C",' RIESGOS DE GESTION'!#REF!),"")</f>
        <v>#REF!</v>
      </c>
      <c r="N23" s="56" t="e">
        <f>IF(AND(' RIESGOS DE GESTION'!#REF!="Alta",' RIESGOS DE GESTION'!#REF!="Leve"),CONCATENATE("R8C",' RIESGOS DE GESTION'!#REF!),"")</f>
        <v>#REF!</v>
      </c>
      <c r="O23" s="57" t="e">
        <f>IF(AND(' RIESGOS DE GESTION'!#REF!="Alta",' RIESGOS DE GESTION'!#REF!="Leve"),CONCATENATE("R8C",' RIESGOS DE GESTION'!#REF!),"")</f>
        <v>#REF!</v>
      </c>
      <c r="P23" s="55" t="e">
        <f>IF(AND(' RIESGOS DE GESTION'!#REF!="Alta",' RIESGOS DE GESTION'!#REF!="Menor"),CONCATENATE("R8C",' RIESGOS DE GESTION'!#REF!),"")</f>
        <v>#REF!</v>
      </c>
      <c r="Q23" s="56" t="e">
        <f>IF(AND(' RIESGOS DE GESTION'!#REF!="Alta",' RIESGOS DE GESTION'!#REF!="Menor"),CONCATENATE("R8C",' RIESGOS DE GESTION'!#REF!),"")</f>
        <v>#REF!</v>
      </c>
      <c r="R23" s="56" t="e">
        <f>IF(AND(' RIESGOS DE GESTION'!#REF!="Alta",' RIESGOS DE GESTION'!#REF!="Menor"),CONCATENATE("R8C",' RIESGOS DE GESTION'!#REF!),"")</f>
        <v>#REF!</v>
      </c>
      <c r="S23" s="56" t="e">
        <f>IF(AND(' RIESGOS DE GESTION'!#REF!="Alta",' RIESGOS DE GESTION'!#REF!="Menor"),CONCATENATE("R8C",' RIESGOS DE GESTION'!#REF!),"")</f>
        <v>#REF!</v>
      </c>
      <c r="T23" s="56" t="e">
        <f>IF(AND(' RIESGOS DE GESTION'!#REF!="Alta",' RIESGOS DE GESTION'!#REF!="Menor"),CONCATENATE("R8C",' RIESGOS DE GESTION'!#REF!),"")</f>
        <v>#REF!</v>
      </c>
      <c r="U23" s="57" t="e">
        <f>IF(AND(' RIESGOS DE GESTION'!#REF!="Alta",' RIESGOS DE GESTION'!#REF!="Menor"),CONCATENATE("R8C",' RIESGOS DE GESTION'!#REF!),"")</f>
        <v>#REF!</v>
      </c>
      <c r="V23" s="40" t="e">
        <f>IF(AND(' RIESGOS DE GESTION'!#REF!="Alta",' RIESGOS DE GESTION'!#REF!="Moderado"),CONCATENATE("R8C",' RIESGOS DE GESTION'!#REF!),"")</f>
        <v>#REF!</v>
      </c>
      <c r="W23" s="41" t="e">
        <f>IF(AND(' RIESGOS DE GESTION'!#REF!="Alta",' RIESGOS DE GESTION'!#REF!="Moderado"),CONCATENATE("R8C",' RIESGOS DE GESTION'!#REF!),"")</f>
        <v>#REF!</v>
      </c>
      <c r="X23" s="41" t="e">
        <f>IF(AND(' RIESGOS DE GESTION'!#REF!="Alta",' RIESGOS DE GESTION'!#REF!="Moderado"),CONCATENATE("R8C",' RIESGOS DE GESTION'!#REF!),"")</f>
        <v>#REF!</v>
      </c>
      <c r="Y23" s="41" t="e">
        <f>IF(AND(' RIESGOS DE GESTION'!#REF!="Alta",' RIESGOS DE GESTION'!#REF!="Moderado"),CONCATENATE("R8C",' RIESGOS DE GESTION'!#REF!),"")</f>
        <v>#REF!</v>
      </c>
      <c r="Z23" s="41" t="e">
        <f>IF(AND(' RIESGOS DE GESTION'!#REF!="Alta",' RIESGOS DE GESTION'!#REF!="Moderado"),CONCATENATE("R8C",' RIESGOS DE GESTION'!#REF!),"")</f>
        <v>#REF!</v>
      </c>
      <c r="AA23" s="42" t="e">
        <f>IF(AND(' RIESGOS DE GESTION'!#REF!="Alta",' RIESGOS DE GESTION'!#REF!="Moderado"),CONCATENATE("R8C",' RIESGOS DE GESTION'!#REF!),"")</f>
        <v>#REF!</v>
      </c>
      <c r="AB23" s="40" t="e">
        <f>IF(AND(' RIESGOS DE GESTION'!#REF!="Alta",' RIESGOS DE GESTION'!#REF!="Mayor"),CONCATENATE("R8C",' RIESGOS DE GESTION'!#REF!),"")</f>
        <v>#REF!</v>
      </c>
      <c r="AC23" s="41" t="e">
        <f>IF(AND(' RIESGOS DE GESTION'!#REF!="Alta",' RIESGOS DE GESTION'!#REF!="Mayor"),CONCATENATE("R8C",' RIESGOS DE GESTION'!#REF!),"")</f>
        <v>#REF!</v>
      </c>
      <c r="AD23" s="41" t="e">
        <f>IF(AND(' RIESGOS DE GESTION'!#REF!="Alta",' RIESGOS DE GESTION'!#REF!="Mayor"),CONCATENATE("R8C",' RIESGOS DE GESTION'!#REF!),"")</f>
        <v>#REF!</v>
      </c>
      <c r="AE23" s="41" t="e">
        <f>IF(AND(' RIESGOS DE GESTION'!#REF!="Alta",' RIESGOS DE GESTION'!#REF!="Mayor"),CONCATENATE("R8C",' RIESGOS DE GESTION'!#REF!),"")</f>
        <v>#REF!</v>
      </c>
      <c r="AF23" s="41" t="e">
        <f>IF(AND(' RIESGOS DE GESTION'!#REF!="Alta",' RIESGOS DE GESTION'!#REF!="Mayor"),CONCATENATE("R8C",' RIESGOS DE GESTION'!#REF!),"")</f>
        <v>#REF!</v>
      </c>
      <c r="AG23" s="42" t="e">
        <f>IF(AND(' RIESGOS DE GESTION'!#REF!="Alta",' RIESGOS DE GESTION'!#REF!="Mayor"),CONCATENATE("R8C",' RIESGOS DE GESTION'!#REF!),"")</f>
        <v>#REF!</v>
      </c>
      <c r="AH23" s="43" t="e">
        <f>IF(AND(' RIESGOS DE GESTION'!#REF!="Alta",' RIESGOS DE GESTION'!#REF!="Catastrófico"),CONCATENATE("R8C",' RIESGOS DE GESTION'!#REF!),"")</f>
        <v>#REF!</v>
      </c>
      <c r="AI23" s="44" t="e">
        <f>IF(AND(' RIESGOS DE GESTION'!#REF!="Alta",' RIESGOS DE GESTION'!#REF!="Catastrófico"),CONCATENATE("R8C",' RIESGOS DE GESTION'!#REF!),"")</f>
        <v>#REF!</v>
      </c>
      <c r="AJ23" s="44" t="e">
        <f>IF(AND(' RIESGOS DE GESTION'!#REF!="Alta",' RIESGOS DE GESTION'!#REF!="Catastrófico"),CONCATENATE("R8C",' RIESGOS DE GESTION'!#REF!),"")</f>
        <v>#REF!</v>
      </c>
      <c r="AK23" s="44" t="e">
        <f>IF(AND(' RIESGOS DE GESTION'!#REF!="Alta",' RIESGOS DE GESTION'!#REF!="Catastrófico"),CONCATENATE("R8C",' RIESGOS DE GESTION'!#REF!),"")</f>
        <v>#REF!</v>
      </c>
      <c r="AL23" s="44" t="e">
        <f>IF(AND(' RIESGOS DE GESTION'!#REF!="Alta",' RIESGOS DE GESTION'!#REF!="Catastrófico"),CONCATENATE("R8C",' RIESGOS DE GESTION'!#REF!),"")</f>
        <v>#REF!</v>
      </c>
      <c r="AM23" s="45" t="e">
        <f>IF(AND(' RIESGOS DE GESTION'!#REF!="Alta",' RIESGOS DE GESTION'!#REF!="Catastrófico"),CONCATENATE("R8C",' RIESGOS DE GESTION'!#REF!),"")</f>
        <v>#REF!</v>
      </c>
      <c r="AN23" s="71"/>
      <c r="AO23" s="626"/>
      <c r="AP23" s="627"/>
      <c r="AQ23" s="627"/>
      <c r="AR23" s="627"/>
      <c r="AS23" s="627"/>
      <c r="AT23" s="628"/>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row>
    <row r="24" spans="1:76" ht="15" customHeight="1">
      <c r="A24" s="71"/>
      <c r="B24" s="537"/>
      <c r="C24" s="537"/>
      <c r="D24" s="538"/>
      <c r="E24" s="636"/>
      <c r="F24" s="635"/>
      <c r="G24" s="635"/>
      <c r="H24" s="635"/>
      <c r="I24" s="635"/>
      <c r="J24" s="55" t="e">
        <f>IF(AND(' RIESGOS DE GESTION'!#REF!="Alta",' RIESGOS DE GESTION'!#REF!="Leve"),CONCATENATE("R9C",' RIESGOS DE GESTION'!#REF!),"")</f>
        <v>#REF!</v>
      </c>
      <c r="K24" s="56" t="e">
        <f>IF(AND(' RIESGOS DE GESTION'!#REF!="Alta",' RIESGOS DE GESTION'!#REF!="Leve"),CONCATENATE("R9C",' RIESGOS DE GESTION'!#REF!),"")</f>
        <v>#REF!</v>
      </c>
      <c r="L24" s="56" t="e">
        <f>IF(AND(' RIESGOS DE GESTION'!#REF!="Alta",' RIESGOS DE GESTION'!#REF!="Leve"),CONCATENATE("R9C",' RIESGOS DE GESTION'!#REF!),"")</f>
        <v>#REF!</v>
      </c>
      <c r="M24" s="56" t="e">
        <f>IF(AND(' RIESGOS DE GESTION'!#REF!="Alta",' RIESGOS DE GESTION'!#REF!="Leve"),CONCATENATE("R9C",' RIESGOS DE GESTION'!#REF!),"")</f>
        <v>#REF!</v>
      </c>
      <c r="N24" s="56" t="e">
        <f>IF(AND(' RIESGOS DE GESTION'!#REF!="Alta",' RIESGOS DE GESTION'!#REF!="Leve"),CONCATENATE("R9C",' RIESGOS DE GESTION'!#REF!),"")</f>
        <v>#REF!</v>
      </c>
      <c r="O24" s="57" t="e">
        <f>IF(AND(' RIESGOS DE GESTION'!#REF!="Alta",' RIESGOS DE GESTION'!#REF!="Leve"),CONCATENATE("R9C",' RIESGOS DE GESTION'!#REF!),"")</f>
        <v>#REF!</v>
      </c>
      <c r="P24" s="55" t="e">
        <f>IF(AND(' RIESGOS DE GESTION'!#REF!="Alta",' RIESGOS DE GESTION'!#REF!="Menor"),CONCATENATE("R9C",' RIESGOS DE GESTION'!#REF!),"")</f>
        <v>#REF!</v>
      </c>
      <c r="Q24" s="56" t="e">
        <f>IF(AND(' RIESGOS DE GESTION'!#REF!="Alta",' RIESGOS DE GESTION'!#REF!="Menor"),CONCATENATE("R9C",' RIESGOS DE GESTION'!#REF!),"")</f>
        <v>#REF!</v>
      </c>
      <c r="R24" s="56" t="e">
        <f>IF(AND(' RIESGOS DE GESTION'!#REF!="Alta",' RIESGOS DE GESTION'!#REF!="Menor"),CONCATENATE("R9C",' RIESGOS DE GESTION'!#REF!),"")</f>
        <v>#REF!</v>
      </c>
      <c r="S24" s="56" t="e">
        <f>IF(AND(' RIESGOS DE GESTION'!#REF!="Alta",' RIESGOS DE GESTION'!#REF!="Menor"),CONCATENATE("R9C",' RIESGOS DE GESTION'!#REF!),"")</f>
        <v>#REF!</v>
      </c>
      <c r="T24" s="56" t="e">
        <f>IF(AND(' RIESGOS DE GESTION'!#REF!="Alta",' RIESGOS DE GESTION'!#REF!="Menor"),CONCATENATE("R9C",' RIESGOS DE GESTION'!#REF!),"")</f>
        <v>#REF!</v>
      </c>
      <c r="U24" s="57" t="e">
        <f>IF(AND(' RIESGOS DE GESTION'!#REF!="Alta",' RIESGOS DE GESTION'!#REF!="Menor"),CONCATENATE("R9C",' RIESGOS DE GESTION'!#REF!),"")</f>
        <v>#REF!</v>
      </c>
      <c r="V24" s="40" t="e">
        <f>IF(AND(' RIESGOS DE GESTION'!#REF!="Alta",' RIESGOS DE GESTION'!#REF!="Moderado"),CONCATENATE("R9C",' RIESGOS DE GESTION'!#REF!),"")</f>
        <v>#REF!</v>
      </c>
      <c r="W24" s="41" t="e">
        <f>IF(AND(' RIESGOS DE GESTION'!#REF!="Alta",' RIESGOS DE GESTION'!#REF!="Moderado"),CONCATENATE("R9C",' RIESGOS DE GESTION'!#REF!),"")</f>
        <v>#REF!</v>
      </c>
      <c r="X24" s="41" t="e">
        <f>IF(AND(' RIESGOS DE GESTION'!#REF!="Alta",' RIESGOS DE GESTION'!#REF!="Moderado"),CONCATENATE("R9C",' RIESGOS DE GESTION'!#REF!),"")</f>
        <v>#REF!</v>
      </c>
      <c r="Y24" s="41" t="e">
        <f>IF(AND(' RIESGOS DE GESTION'!#REF!="Alta",' RIESGOS DE GESTION'!#REF!="Moderado"),CONCATENATE("R9C",' RIESGOS DE GESTION'!#REF!),"")</f>
        <v>#REF!</v>
      </c>
      <c r="Z24" s="41" t="e">
        <f>IF(AND(' RIESGOS DE GESTION'!#REF!="Alta",' RIESGOS DE GESTION'!#REF!="Moderado"),CONCATENATE("R9C",' RIESGOS DE GESTION'!#REF!),"")</f>
        <v>#REF!</v>
      </c>
      <c r="AA24" s="42" t="e">
        <f>IF(AND(' RIESGOS DE GESTION'!#REF!="Alta",' RIESGOS DE GESTION'!#REF!="Moderado"),CONCATENATE("R9C",' RIESGOS DE GESTION'!#REF!),"")</f>
        <v>#REF!</v>
      </c>
      <c r="AB24" s="40" t="e">
        <f>IF(AND(' RIESGOS DE GESTION'!#REF!="Alta",' RIESGOS DE GESTION'!#REF!="Mayor"),CONCATENATE("R9C",' RIESGOS DE GESTION'!#REF!),"")</f>
        <v>#REF!</v>
      </c>
      <c r="AC24" s="41" t="e">
        <f>IF(AND(' RIESGOS DE GESTION'!#REF!="Alta",' RIESGOS DE GESTION'!#REF!="Mayor"),CONCATENATE("R9C",' RIESGOS DE GESTION'!#REF!),"")</f>
        <v>#REF!</v>
      </c>
      <c r="AD24" s="41" t="e">
        <f>IF(AND(' RIESGOS DE GESTION'!#REF!="Alta",' RIESGOS DE GESTION'!#REF!="Mayor"),CONCATENATE("R9C",' RIESGOS DE GESTION'!#REF!),"")</f>
        <v>#REF!</v>
      </c>
      <c r="AE24" s="41" t="e">
        <f>IF(AND(' RIESGOS DE GESTION'!#REF!="Alta",' RIESGOS DE GESTION'!#REF!="Mayor"),CONCATENATE("R9C",' RIESGOS DE GESTION'!#REF!),"")</f>
        <v>#REF!</v>
      </c>
      <c r="AF24" s="41" t="e">
        <f>IF(AND(' RIESGOS DE GESTION'!#REF!="Alta",' RIESGOS DE GESTION'!#REF!="Mayor"),CONCATENATE("R9C",' RIESGOS DE GESTION'!#REF!),"")</f>
        <v>#REF!</v>
      </c>
      <c r="AG24" s="42" t="e">
        <f>IF(AND(' RIESGOS DE GESTION'!#REF!="Alta",' RIESGOS DE GESTION'!#REF!="Mayor"),CONCATENATE("R9C",' RIESGOS DE GESTION'!#REF!),"")</f>
        <v>#REF!</v>
      </c>
      <c r="AH24" s="43" t="e">
        <f>IF(AND(' RIESGOS DE GESTION'!#REF!="Alta",' RIESGOS DE GESTION'!#REF!="Catastrófico"),CONCATENATE("R9C",' RIESGOS DE GESTION'!#REF!),"")</f>
        <v>#REF!</v>
      </c>
      <c r="AI24" s="44" t="e">
        <f>IF(AND(' RIESGOS DE GESTION'!#REF!="Alta",' RIESGOS DE GESTION'!#REF!="Catastrófico"),CONCATENATE("R9C",' RIESGOS DE GESTION'!#REF!),"")</f>
        <v>#REF!</v>
      </c>
      <c r="AJ24" s="44" t="e">
        <f>IF(AND(' RIESGOS DE GESTION'!#REF!="Alta",' RIESGOS DE GESTION'!#REF!="Catastrófico"),CONCATENATE("R9C",' RIESGOS DE GESTION'!#REF!),"")</f>
        <v>#REF!</v>
      </c>
      <c r="AK24" s="44" t="e">
        <f>IF(AND(' RIESGOS DE GESTION'!#REF!="Alta",' RIESGOS DE GESTION'!#REF!="Catastrófico"),CONCATENATE("R9C",' RIESGOS DE GESTION'!#REF!),"")</f>
        <v>#REF!</v>
      </c>
      <c r="AL24" s="44" t="e">
        <f>IF(AND(' RIESGOS DE GESTION'!#REF!="Alta",' RIESGOS DE GESTION'!#REF!="Catastrófico"),CONCATENATE("R9C",' RIESGOS DE GESTION'!#REF!),"")</f>
        <v>#REF!</v>
      </c>
      <c r="AM24" s="45" t="e">
        <f>IF(AND(' RIESGOS DE GESTION'!#REF!="Alta",' RIESGOS DE GESTION'!#REF!="Catastrófico"),CONCATENATE("R9C",' RIESGOS DE GESTION'!#REF!),"")</f>
        <v>#REF!</v>
      </c>
      <c r="AN24" s="71"/>
      <c r="AO24" s="626"/>
      <c r="AP24" s="627"/>
      <c r="AQ24" s="627"/>
      <c r="AR24" s="627"/>
      <c r="AS24" s="627"/>
      <c r="AT24" s="628"/>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row>
    <row r="25" spans="1:76" ht="15.75" customHeight="1" thickBot="1">
      <c r="A25" s="71"/>
      <c r="B25" s="537"/>
      <c r="C25" s="537"/>
      <c r="D25" s="538"/>
      <c r="E25" s="637"/>
      <c r="F25" s="638"/>
      <c r="G25" s="638"/>
      <c r="H25" s="638"/>
      <c r="I25" s="638"/>
      <c r="J25" s="58" t="e">
        <f>IF(AND(' RIESGOS DE GESTION'!#REF!="Alta",' RIESGOS DE GESTION'!#REF!="Leve"),CONCATENATE("R10C",' RIESGOS DE GESTION'!#REF!),"")</f>
        <v>#REF!</v>
      </c>
      <c r="K25" s="59" t="e">
        <f>IF(AND(' RIESGOS DE GESTION'!#REF!="Alta",' RIESGOS DE GESTION'!#REF!="Leve"),CONCATENATE("R10C",' RIESGOS DE GESTION'!#REF!),"")</f>
        <v>#REF!</v>
      </c>
      <c r="L25" s="59" t="e">
        <f>IF(AND(' RIESGOS DE GESTION'!#REF!="Alta",' RIESGOS DE GESTION'!#REF!="Leve"),CONCATENATE("R10C",' RIESGOS DE GESTION'!#REF!),"")</f>
        <v>#REF!</v>
      </c>
      <c r="M25" s="59" t="e">
        <f>IF(AND(' RIESGOS DE GESTION'!#REF!="Alta",' RIESGOS DE GESTION'!#REF!="Leve"),CONCATENATE("R10C",' RIESGOS DE GESTION'!#REF!),"")</f>
        <v>#REF!</v>
      </c>
      <c r="N25" s="59" t="e">
        <f>IF(AND(' RIESGOS DE GESTION'!#REF!="Alta",' RIESGOS DE GESTION'!#REF!="Leve"),CONCATENATE("R10C",' RIESGOS DE GESTION'!#REF!),"")</f>
        <v>#REF!</v>
      </c>
      <c r="O25" s="60" t="e">
        <f>IF(AND(' RIESGOS DE GESTION'!#REF!="Alta",' RIESGOS DE GESTION'!#REF!="Leve"),CONCATENATE("R10C",' RIESGOS DE GESTION'!#REF!),"")</f>
        <v>#REF!</v>
      </c>
      <c r="P25" s="58" t="e">
        <f>IF(AND(' RIESGOS DE GESTION'!#REF!="Alta",' RIESGOS DE GESTION'!#REF!="Menor"),CONCATENATE("R10C",' RIESGOS DE GESTION'!#REF!),"")</f>
        <v>#REF!</v>
      </c>
      <c r="Q25" s="59" t="e">
        <f>IF(AND(' RIESGOS DE GESTION'!#REF!="Alta",' RIESGOS DE GESTION'!#REF!="Menor"),CONCATENATE("R10C",' RIESGOS DE GESTION'!#REF!),"")</f>
        <v>#REF!</v>
      </c>
      <c r="R25" s="59" t="e">
        <f>IF(AND(' RIESGOS DE GESTION'!#REF!="Alta",' RIESGOS DE GESTION'!#REF!="Menor"),CONCATENATE("R10C",' RIESGOS DE GESTION'!#REF!),"")</f>
        <v>#REF!</v>
      </c>
      <c r="S25" s="59" t="e">
        <f>IF(AND(' RIESGOS DE GESTION'!#REF!="Alta",' RIESGOS DE GESTION'!#REF!="Menor"),CONCATENATE("R10C",' RIESGOS DE GESTION'!#REF!),"")</f>
        <v>#REF!</v>
      </c>
      <c r="T25" s="59" t="e">
        <f>IF(AND(' RIESGOS DE GESTION'!#REF!="Alta",' RIESGOS DE GESTION'!#REF!="Menor"),CONCATENATE("R10C",' RIESGOS DE GESTION'!#REF!),"")</f>
        <v>#REF!</v>
      </c>
      <c r="U25" s="60" t="e">
        <f>IF(AND(' RIESGOS DE GESTION'!#REF!="Alta",' RIESGOS DE GESTION'!#REF!="Menor"),CONCATENATE("R10C",' RIESGOS DE GESTION'!#REF!),"")</f>
        <v>#REF!</v>
      </c>
      <c r="V25" s="46" t="e">
        <f>IF(AND(' RIESGOS DE GESTION'!#REF!="Alta",' RIESGOS DE GESTION'!#REF!="Moderado"),CONCATENATE("R10C",' RIESGOS DE GESTION'!#REF!),"")</f>
        <v>#REF!</v>
      </c>
      <c r="W25" s="47" t="e">
        <f>IF(AND(' RIESGOS DE GESTION'!#REF!="Alta",' RIESGOS DE GESTION'!#REF!="Moderado"),CONCATENATE("R10C",' RIESGOS DE GESTION'!#REF!),"")</f>
        <v>#REF!</v>
      </c>
      <c r="X25" s="47" t="e">
        <f>IF(AND(' RIESGOS DE GESTION'!#REF!="Alta",' RIESGOS DE GESTION'!#REF!="Moderado"),CONCATENATE("R10C",' RIESGOS DE GESTION'!#REF!),"")</f>
        <v>#REF!</v>
      </c>
      <c r="Y25" s="47" t="e">
        <f>IF(AND(' RIESGOS DE GESTION'!#REF!="Alta",' RIESGOS DE GESTION'!#REF!="Moderado"),CONCATENATE("R10C",' RIESGOS DE GESTION'!#REF!),"")</f>
        <v>#REF!</v>
      </c>
      <c r="Z25" s="47" t="e">
        <f>IF(AND(' RIESGOS DE GESTION'!#REF!="Alta",' RIESGOS DE GESTION'!#REF!="Moderado"),CONCATENATE("R10C",' RIESGOS DE GESTION'!#REF!),"")</f>
        <v>#REF!</v>
      </c>
      <c r="AA25" s="48" t="e">
        <f>IF(AND(' RIESGOS DE GESTION'!#REF!="Alta",' RIESGOS DE GESTION'!#REF!="Moderado"),CONCATENATE("R10C",' RIESGOS DE GESTION'!#REF!),"")</f>
        <v>#REF!</v>
      </c>
      <c r="AB25" s="46" t="e">
        <f>IF(AND(' RIESGOS DE GESTION'!#REF!="Alta",' RIESGOS DE GESTION'!#REF!="Mayor"),CONCATENATE("R10C",' RIESGOS DE GESTION'!#REF!),"")</f>
        <v>#REF!</v>
      </c>
      <c r="AC25" s="47" t="e">
        <f>IF(AND(' RIESGOS DE GESTION'!#REF!="Alta",' RIESGOS DE GESTION'!#REF!="Mayor"),CONCATENATE("R10C",' RIESGOS DE GESTION'!#REF!),"")</f>
        <v>#REF!</v>
      </c>
      <c r="AD25" s="47" t="e">
        <f>IF(AND(' RIESGOS DE GESTION'!#REF!="Alta",' RIESGOS DE GESTION'!#REF!="Mayor"),CONCATENATE("R10C",' RIESGOS DE GESTION'!#REF!),"")</f>
        <v>#REF!</v>
      </c>
      <c r="AE25" s="47" t="e">
        <f>IF(AND(' RIESGOS DE GESTION'!#REF!="Alta",' RIESGOS DE GESTION'!#REF!="Mayor"),CONCATENATE("R10C",' RIESGOS DE GESTION'!#REF!),"")</f>
        <v>#REF!</v>
      </c>
      <c r="AF25" s="47" t="e">
        <f>IF(AND(' RIESGOS DE GESTION'!#REF!="Alta",' RIESGOS DE GESTION'!#REF!="Mayor"),CONCATENATE("R10C",' RIESGOS DE GESTION'!#REF!),"")</f>
        <v>#REF!</v>
      </c>
      <c r="AG25" s="48" t="e">
        <f>IF(AND(' RIESGOS DE GESTION'!#REF!="Alta",' RIESGOS DE GESTION'!#REF!="Mayor"),CONCATENATE("R10C",' RIESGOS DE GESTION'!#REF!),"")</f>
        <v>#REF!</v>
      </c>
      <c r="AH25" s="49" t="e">
        <f>IF(AND(' RIESGOS DE GESTION'!#REF!="Alta",' RIESGOS DE GESTION'!#REF!="Catastrófico"),CONCATENATE("R10C",' RIESGOS DE GESTION'!#REF!),"")</f>
        <v>#REF!</v>
      </c>
      <c r="AI25" s="50" t="e">
        <f>IF(AND(' RIESGOS DE GESTION'!#REF!="Alta",' RIESGOS DE GESTION'!#REF!="Catastrófico"),CONCATENATE("R10C",' RIESGOS DE GESTION'!#REF!),"")</f>
        <v>#REF!</v>
      </c>
      <c r="AJ25" s="50" t="e">
        <f>IF(AND(' RIESGOS DE GESTION'!#REF!="Alta",' RIESGOS DE GESTION'!#REF!="Catastrófico"),CONCATENATE("R10C",' RIESGOS DE GESTION'!#REF!),"")</f>
        <v>#REF!</v>
      </c>
      <c r="AK25" s="50" t="e">
        <f>IF(AND(' RIESGOS DE GESTION'!#REF!="Alta",' RIESGOS DE GESTION'!#REF!="Catastrófico"),CONCATENATE("R10C",' RIESGOS DE GESTION'!#REF!),"")</f>
        <v>#REF!</v>
      </c>
      <c r="AL25" s="50" t="e">
        <f>IF(AND(' RIESGOS DE GESTION'!#REF!="Alta",' RIESGOS DE GESTION'!#REF!="Catastrófico"),CONCATENATE("R10C",' RIESGOS DE GESTION'!#REF!),"")</f>
        <v>#REF!</v>
      </c>
      <c r="AM25" s="51" t="e">
        <f>IF(AND(' RIESGOS DE GESTION'!#REF!="Alta",' RIESGOS DE GESTION'!#REF!="Catastrófico"),CONCATENATE("R10C",' RIESGOS DE GESTION'!#REF!),"")</f>
        <v>#REF!</v>
      </c>
      <c r="AN25" s="71"/>
      <c r="AO25" s="629"/>
      <c r="AP25" s="630"/>
      <c r="AQ25" s="630"/>
      <c r="AR25" s="630"/>
      <c r="AS25" s="630"/>
      <c r="AT25" s="63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row>
    <row r="26" spans="1:76" ht="15" customHeight="1">
      <c r="A26" s="71"/>
      <c r="B26" s="537"/>
      <c r="C26" s="537"/>
      <c r="D26" s="538"/>
      <c r="E26" s="632" t="s">
        <v>567</v>
      </c>
      <c r="F26" s="633"/>
      <c r="G26" s="633"/>
      <c r="H26" s="633"/>
      <c r="I26" s="650"/>
      <c r="J26" s="52" t="e">
        <f>IF(AND(' RIESGOS DE GESTION'!#REF!="Media",' RIESGOS DE GESTION'!#REF!="Leve"),CONCATENATE("R1C",' RIESGOS DE GESTION'!#REF!),"")</f>
        <v>#REF!</v>
      </c>
      <c r="K26" s="53" t="e">
        <f>IF(AND(' RIESGOS DE GESTION'!#REF!="Media",' RIESGOS DE GESTION'!#REF!="Leve"),CONCATENATE("R1C",' RIESGOS DE GESTION'!#REF!),"")</f>
        <v>#REF!</v>
      </c>
      <c r="L26" s="53" t="e">
        <f>IF(AND(' RIESGOS DE GESTION'!#REF!="Media",' RIESGOS DE GESTION'!#REF!="Leve"),CONCATENATE("R1C",' RIESGOS DE GESTION'!#REF!),"")</f>
        <v>#REF!</v>
      </c>
      <c r="M26" s="53" t="e">
        <f>IF(AND(' RIESGOS DE GESTION'!#REF!="Media",' RIESGOS DE GESTION'!#REF!="Leve"),CONCATENATE("R1C",' RIESGOS DE GESTION'!#REF!),"")</f>
        <v>#REF!</v>
      </c>
      <c r="N26" s="53" t="e">
        <f>IF(AND(' RIESGOS DE GESTION'!#REF!="Media",' RIESGOS DE GESTION'!#REF!="Leve"),CONCATENATE("R1C",' RIESGOS DE GESTION'!#REF!),"")</f>
        <v>#REF!</v>
      </c>
      <c r="O26" s="54" t="e">
        <f>IF(AND(' RIESGOS DE GESTION'!#REF!="Media",' RIESGOS DE GESTION'!#REF!="Leve"),CONCATENATE("R1C",' RIESGOS DE GESTION'!#REF!),"")</f>
        <v>#REF!</v>
      </c>
      <c r="P26" s="52" t="e">
        <f>IF(AND(' RIESGOS DE GESTION'!#REF!="Media",' RIESGOS DE GESTION'!#REF!="Menor"),CONCATENATE("R1C",' RIESGOS DE GESTION'!#REF!),"")</f>
        <v>#REF!</v>
      </c>
      <c r="Q26" s="53" t="e">
        <f>IF(AND(' RIESGOS DE GESTION'!#REF!="Media",' RIESGOS DE GESTION'!#REF!="Menor"),CONCATENATE("R1C",' RIESGOS DE GESTION'!#REF!),"")</f>
        <v>#REF!</v>
      </c>
      <c r="R26" s="53" t="e">
        <f>IF(AND(' RIESGOS DE GESTION'!#REF!="Media",' RIESGOS DE GESTION'!#REF!="Menor"),CONCATENATE("R1C",' RIESGOS DE GESTION'!#REF!),"")</f>
        <v>#REF!</v>
      </c>
      <c r="S26" s="53" t="e">
        <f>IF(AND(' RIESGOS DE GESTION'!#REF!="Media",' RIESGOS DE GESTION'!#REF!="Menor"),CONCATENATE("R1C",' RIESGOS DE GESTION'!#REF!),"")</f>
        <v>#REF!</v>
      </c>
      <c r="T26" s="53" t="e">
        <f>IF(AND(' RIESGOS DE GESTION'!#REF!="Media",' RIESGOS DE GESTION'!#REF!="Menor"),CONCATENATE("R1C",' RIESGOS DE GESTION'!#REF!),"")</f>
        <v>#REF!</v>
      </c>
      <c r="U26" s="54" t="e">
        <f>IF(AND(' RIESGOS DE GESTION'!#REF!="Media",' RIESGOS DE GESTION'!#REF!="Menor"),CONCATENATE("R1C",' RIESGOS DE GESTION'!#REF!),"")</f>
        <v>#REF!</v>
      </c>
      <c r="V26" s="52" t="e">
        <f>IF(AND(' RIESGOS DE GESTION'!#REF!="Media",' RIESGOS DE GESTION'!#REF!="Moderado"),CONCATENATE("R1C",' RIESGOS DE GESTION'!#REF!),"")</f>
        <v>#REF!</v>
      </c>
      <c r="W26" s="53" t="e">
        <f>IF(AND(' RIESGOS DE GESTION'!#REF!="Media",' RIESGOS DE GESTION'!#REF!="Moderado"),CONCATENATE("R1C",' RIESGOS DE GESTION'!#REF!),"")</f>
        <v>#REF!</v>
      </c>
      <c r="X26" s="53" t="e">
        <f>IF(AND(' RIESGOS DE GESTION'!#REF!="Media",' RIESGOS DE GESTION'!#REF!="Moderado"),CONCATENATE("R1C",' RIESGOS DE GESTION'!#REF!),"")</f>
        <v>#REF!</v>
      </c>
      <c r="Y26" s="53" t="e">
        <f>IF(AND(' RIESGOS DE GESTION'!#REF!="Media",' RIESGOS DE GESTION'!#REF!="Moderado"),CONCATENATE("R1C",' RIESGOS DE GESTION'!#REF!),"")</f>
        <v>#REF!</v>
      </c>
      <c r="Z26" s="53" t="e">
        <f>IF(AND(' RIESGOS DE GESTION'!#REF!="Media",' RIESGOS DE GESTION'!#REF!="Moderado"),CONCATENATE("R1C",' RIESGOS DE GESTION'!#REF!),"")</f>
        <v>#REF!</v>
      </c>
      <c r="AA26" s="54" t="e">
        <f>IF(AND(' RIESGOS DE GESTION'!#REF!="Media",' RIESGOS DE GESTION'!#REF!="Moderado"),CONCATENATE("R1C",' RIESGOS DE GESTION'!#REF!),"")</f>
        <v>#REF!</v>
      </c>
      <c r="AB26" s="34" t="e">
        <f>IF(AND(' RIESGOS DE GESTION'!#REF!="Media",' RIESGOS DE GESTION'!#REF!="Mayor"),CONCATENATE("R1C",' RIESGOS DE GESTION'!#REF!),"")</f>
        <v>#REF!</v>
      </c>
      <c r="AC26" s="35" t="e">
        <f>IF(AND(' RIESGOS DE GESTION'!#REF!="Media",' RIESGOS DE GESTION'!#REF!="Mayor"),CONCATENATE("R1C",' RIESGOS DE GESTION'!#REF!),"")</f>
        <v>#REF!</v>
      </c>
      <c r="AD26" s="35" t="e">
        <f>IF(AND(' RIESGOS DE GESTION'!#REF!="Media",' RIESGOS DE GESTION'!#REF!="Mayor"),CONCATENATE("R1C",' RIESGOS DE GESTION'!#REF!),"")</f>
        <v>#REF!</v>
      </c>
      <c r="AE26" s="35" t="e">
        <f>IF(AND(' RIESGOS DE GESTION'!#REF!="Media",' RIESGOS DE GESTION'!#REF!="Mayor"),CONCATENATE("R1C",' RIESGOS DE GESTION'!#REF!),"")</f>
        <v>#REF!</v>
      </c>
      <c r="AF26" s="35" t="e">
        <f>IF(AND(' RIESGOS DE GESTION'!#REF!="Media",' RIESGOS DE GESTION'!#REF!="Mayor"),CONCATENATE("R1C",' RIESGOS DE GESTION'!#REF!),"")</f>
        <v>#REF!</v>
      </c>
      <c r="AG26" s="36" t="e">
        <f>IF(AND(' RIESGOS DE GESTION'!#REF!="Media",' RIESGOS DE GESTION'!#REF!="Mayor"),CONCATENATE("R1C",' RIESGOS DE GESTION'!#REF!),"")</f>
        <v>#REF!</v>
      </c>
      <c r="AH26" s="37" t="e">
        <f>IF(AND(' RIESGOS DE GESTION'!#REF!="Media",' RIESGOS DE GESTION'!#REF!="Catastrófico"),CONCATENATE("R1C",' RIESGOS DE GESTION'!#REF!),"")</f>
        <v>#REF!</v>
      </c>
      <c r="AI26" s="38" t="e">
        <f>IF(AND(' RIESGOS DE GESTION'!#REF!="Media",' RIESGOS DE GESTION'!#REF!="Catastrófico"),CONCATENATE("R1C",' RIESGOS DE GESTION'!#REF!),"")</f>
        <v>#REF!</v>
      </c>
      <c r="AJ26" s="38" t="e">
        <f>IF(AND(' RIESGOS DE GESTION'!#REF!="Media",' RIESGOS DE GESTION'!#REF!="Catastrófico"),CONCATENATE("R1C",' RIESGOS DE GESTION'!#REF!),"")</f>
        <v>#REF!</v>
      </c>
      <c r="AK26" s="38" t="e">
        <f>IF(AND(' RIESGOS DE GESTION'!#REF!="Media",' RIESGOS DE GESTION'!#REF!="Catastrófico"),CONCATENATE("R1C",' RIESGOS DE GESTION'!#REF!),"")</f>
        <v>#REF!</v>
      </c>
      <c r="AL26" s="38" t="e">
        <f>IF(AND(' RIESGOS DE GESTION'!#REF!="Media",' RIESGOS DE GESTION'!#REF!="Catastrófico"),CONCATENATE("R1C",' RIESGOS DE GESTION'!#REF!),"")</f>
        <v>#REF!</v>
      </c>
      <c r="AM26" s="39" t="e">
        <f>IF(AND(' RIESGOS DE GESTION'!#REF!="Media",' RIESGOS DE GESTION'!#REF!="Catastrófico"),CONCATENATE("R1C",' RIESGOS DE GESTION'!#REF!),"")</f>
        <v>#REF!</v>
      </c>
      <c r="AN26" s="71"/>
      <c r="AO26" s="662" t="s">
        <v>568</v>
      </c>
      <c r="AP26" s="663"/>
      <c r="AQ26" s="663"/>
      <c r="AR26" s="663"/>
      <c r="AS26" s="663"/>
      <c r="AT26" s="664"/>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row>
    <row r="27" spans="1:76" ht="15" customHeight="1">
      <c r="A27" s="71"/>
      <c r="B27" s="537"/>
      <c r="C27" s="537"/>
      <c r="D27" s="538"/>
      <c r="E27" s="634"/>
      <c r="F27" s="635"/>
      <c r="G27" s="635"/>
      <c r="H27" s="635"/>
      <c r="I27" s="651"/>
      <c r="J27" s="55" t="e">
        <f>IF(AND(' RIESGOS DE GESTION'!#REF!="Media",' RIESGOS DE GESTION'!#REF!="Leve"),CONCATENATE("R2C",' RIESGOS DE GESTION'!#REF!),"")</f>
        <v>#REF!</v>
      </c>
      <c r="K27" s="56" t="e">
        <f>IF(AND(' RIESGOS DE GESTION'!#REF!="Media",' RIESGOS DE GESTION'!#REF!="Leve"),CONCATENATE("R2C",' RIESGOS DE GESTION'!#REF!),"")</f>
        <v>#REF!</v>
      </c>
      <c r="L27" s="56" t="e">
        <f>IF(AND(' RIESGOS DE GESTION'!#REF!="Media",' RIESGOS DE GESTION'!#REF!="Leve"),CONCATENATE("R2C",' RIESGOS DE GESTION'!#REF!),"")</f>
        <v>#REF!</v>
      </c>
      <c r="M27" s="56" t="e">
        <f>IF(AND(' RIESGOS DE GESTION'!#REF!="Media",' RIESGOS DE GESTION'!#REF!="Leve"),CONCATENATE("R2C",' RIESGOS DE GESTION'!#REF!),"")</f>
        <v>#REF!</v>
      </c>
      <c r="N27" s="56" t="e">
        <f>IF(AND(' RIESGOS DE GESTION'!#REF!="Media",' RIESGOS DE GESTION'!#REF!="Leve"),CONCATENATE("R2C",' RIESGOS DE GESTION'!#REF!),"")</f>
        <v>#REF!</v>
      </c>
      <c r="O27" s="57" t="e">
        <f>IF(AND(' RIESGOS DE GESTION'!#REF!="Media",' RIESGOS DE GESTION'!#REF!="Leve"),CONCATENATE("R2C",' RIESGOS DE GESTION'!#REF!),"")</f>
        <v>#REF!</v>
      </c>
      <c r="P27" s="55" t="e">
        <f>IF(AND(' RIESGOS DE GESTION'!#REF!="Media",' RIESGOS DE GESTION'!#REF!="Menor"),CONCATENATE("R2C",' RIESGOS DE GESTION'!#REF!),"")</f>
        <v>#REF!</v>
      </c>
      <c r="Q27" s="56" t="e">
        <f>IF(AND(' RIESGOS DE GESTION'!#REF!="Media",' RIESGOS DE GESTION'!#REF!="Menor"),CONCATENATE("R2C",' RIESGOS DE GESTION'!#REF!),"")</f>
        <v>#REF!</v>
      </c>
      <c r="R27" s="56" t="e">
        <f>IF(AND(' RIESGOS DE GESTION'!#REF!="Media",' RIESGOS DE GESTION'!#REF!="Menor"),CONCATENATE("R2C",' RIESGOS DE GESTION'!#REF!),"")</f>
        <v>#REF!</v>
      </c>
      <c r="S27" s="56" t="e">
        <f>IF(AND(' RIESGOS DE GESTION'!#REF!="Media",' RIESGOS DE GESTION'!#REF!="Menor"),CONCATENATE("R2C",' RIESGOS DE GESTION'!#REF!),"")</f>
        <v>#REF!</v>
      </c>
      <c r="T27" s="56" t="e">
        <f>IF(AND(' RIESGOS DE GESTION'!#REF!="Media",' RIESGOS DE GESTION'!#REF!="Menor"),CONCATENATE("R2C",' RIESGOS DE GESTION'!#REF!),"")</f>
        <v>#REF!</v>
      </c>
      <c r="U27" s="57" t="e">
        <f>IF(AND(' RIESGOS DE GESTION'!#REF!="Media",' RIESGOS DE GESTION'!#REF!="Menor"),CONCATENATE("R2C",' RIESGOS DE GESTION'!#REF!),"")</f>
        <v>#REF!</v>
      </c>
      <c r="V27" s="55" t="e">
        <f>IF(AND(' RIESGOS DE GESTION'!#REF!="Media",' RIESGOS DE GESTION'!#REF!="Moderado"),CONCATENATE("R2C",' RIESGOS DE GESTION'!#REF!),"")</f>
        <v>#REF!</v>
      </c>
      <c r="W27" s="56" t="e">
        <f>IF(AND(' RIESGOS DE GESTION'!#REF!="Media",' RIESGOS DE GESTION'!#REF!="Moderado"),CONCATENATE("R2C",' RIESGOS DE GESTION'!#REF!),"")</f>
        <v>#REF!</v>
      </c>
      <c r="X27" s="56" t="e">
        <f>IF(AND(' RIESGOS DE GESTION'!#REF!="Media",' RIESGOS DE GESTION'!#REF!="Moderado"),CONCATENATE("R2C",' RIESGOS DE GESTION'!#REF!),"")</f>
        <v>#REF!</v>
      </c>
      <c r="Y27" s="56" t="e">
        <f>IF(AND(' RIESGOS DE GESTION'!#REF!="Media",' RIESGOS DE GESTION'!#REF!="Moderado"),CONCATENATE("R2C",' RIESGOS DE GESTION'!#REF!),"")</f>
        <v>#REF!</v>
      </c>
      <c r="Z27" s="56" t="e">
        <f>IF(AND(' RIESGOS DE GESTION'!#REF!="Media",' RIESGOS DE GESTION'!#REF!="Moderado"),CONCATENATE("R2C",' RIESGOS DE GESTION'!#REF!),"")</f>
        <v>#REF!</v>
      </c>
      <c r="AA27" s="57" t="e">
        <f>IF(AND(' RIESGOS DE GESTION'!#REF!="Media",' RIESGOS DE GESTION'!#REF!="Moderado"),CONCATENATE("R2C",' RIESGOS DE GESTION'!#REF!),"")</f>
        <v>#REF!</v>
      </c>
      <c r="AB27" s="40" t="e">
        <f>IF(AND(' RIESGOS DE GESTION'!#REF!="Media",' RIESGOS DE GESTION'!#REF!="Mayor"),CONCATENATE("R2C",' RIESGOS DE GESTION'!#REF!),"")</f>
        <v>#REF!</v>
      </c>
      <c r="AC27" s="41" t="e">
        <f>IF(AND(' RIESGOS DE GESTION'!#REF!="Media",' RIESGOS DE GESTION'!#REF!="Mayor"),CONCATENATE("R2C",' RIESGOS DE GESTION'!#REF!),"")</f>
        <v>#REF!</v>
      </c>
      <c r="AD27" s="41" t="e">
        <f>IF(AND(' RIESGOS DE GESTION'!#REF!="Media",' RIESGOS DE GESTION'!#REF!="Mayor"),CONCATENATE("R2C",' RIESGOS DE GESTION'!#REF!),"")</f>
        <v>#REF!</v>
      </c>
      <c r="AE27" s="41" t="e">
        <f>IF(AND(' RIESGOS DE GESTION'!#REF!="Media",' RIESGOS DE GESTION'!#REF!="Mayor"),CONCATENATE("R2C",' RIESGOS DE GESTION'!#REF!),"")</f>
        <v>#REF!</v>
      </c>
      <c r="AF27" s="41" t="e">
        <f>IF(AND(' RIESGOS DE GESTION'!#REF!="Media",' RIESGOS DE GESTION'!#REF!="Mayor"),CONCATENATE("R2C",' RIESGOS DE GESTION'!#REF!),"")</f>
        <v>#REF!</v>
      </c>
      <c r="AG27" s="42" t="e">
        <f>IF(AND(' RIESGOS DE GESTION'!#REF!="Media",' RIESGOS DE GESTION'!#REF!="Mayor"),CONCATENATE("R2C",' RIESGOS DE GESTION'!#REF!),"")</f>
        <v>#REF!</v>
      </c>
      <c r="AH27" s="43" t="e">
        <f>IF(AND(' RIESGOS DE GESTION'!#REF!="Media",' RIESGOS DE GESTION'!#REF!="Catastrófico"),CONCATENATE("R2C",' RIESGOS DE GESTION'!#REF!),"")</f>
        <v>#REF!</v>
      </c>
      <c r="AI27" s="44" t="e">
        <f>IF(AND(' RIESGOS DE GESTION'!#REF!="Media",' RIESGOS DE GESTION'!#REF!="Catastrófico"),CONCATENATE("R2C",' RIESGOS DE GESTION'!#REF!),"")</f>
        <v>#REF!</v>
      </c>
      <c r="AJ27" s="44" t="e">
        <f>IF(AND(' RIESGOS DE GESTION'!#REF!="Media",' RIESGOS DE GESTION'!#REF!="Catastrófico"),CONCATENATE("R2C",' RIESGOS DE GESTION'!#REF!),"")</f>
        <v>#REF!</v>
      </c>
      <c r="AK27" s="44" t="e">
        <f>IF(AND(' RIESGOS DE GESTION'!#REF!="Media",' RIESGOS DE GESTION'!#REF!="Catastrófico"),CONCATENATE("R2C",' RIESGOS DE GESTION'!#REF!),"")</f>
        <v>#REF!</v>
      </c>
      <c r="AL27" s="44" t="e">
        <f>IF(AND(' RIESGOS DE GESTION'!#REF!="Media",' RIESGOS DE GESTION'!#REF!="Catastrófico"),CONCATENATE("R2C",' RIESGOS DE GESTION'!#REF!),"")</f>
        <v>#REF!</v>
      </c>
      <c r="AM27" s="45" t="e">
        <f>IF(AND(' RIESGOS DE GESTION'!#REF!="Media",' RIESGOS DE GESTION'!#REF!="Catastrófico"),CONCATENATE("R2C",' RIESGOS DE GESTION'!#REF!),"")</f>
        <v>#REF!</v>
      </c>
      <c r="AN27" s="71"/>
      <c r="AO27" s="665"/>
      <c r="AP27" s="666"/>
      <c r="AQ27" s="666"/>
      <c r="AR27" s="666"/>
      <c r="AS27" s="666"/>
      <c r="AT27" s="667"/>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row>
    <row r="28" spans="1:76" ht="15" customHeight="1">
      <c r="A28" s="71"/>
      <c r="B28" s="537"/>
      <c r="C28" s="537"/>
      <c r="D28" s="538"/>
      <c r="E28" s="636"/>
      <c r="F28" s="635"/>
      <c r="G28" s="635"/>
      <c r="H28" s="635"/>
      <c r="I28" s="651"/>
      <c r="J28" s="55" t="e">
        <f>IF(AND(' RIESGOS DE GESTION'!#REF!="Media",' RIESGOS DE GESTION'!#REF!="Leve"),CONCATENATE("R3C",' RIESGOS DE GESTION'!#REF!),"")</f>
        <v>#REF!</v>
      </c>
      <c r="K28" s="56" t="e">
        <f>IF(AND(' RIESGOS DE GESTION'!#REF!="Media",' RIESGOS DE GESTION'!#REF!="Leve"),CONCATENATE("R3C",' RIESGOS DE GESTION'!#REF!),"")</f>
        <v>#REF!</v>
      </c>
      <c r="L28" s="56" t="e">
        <f>IF(AND(' RIESGOS DE GESTION'!#REF!="Media",' RIESGOS DE GESTION'!#REF!="Leve"),CONCATENATE("R3C",' RIESGOS DE GESTION'!#REF!),"")</f>
        <v>#REF!</v>
      </c>
      <c r="M28" s="56" t="e">
        <f>IF(AND(' RIESGOS DE GESTION'!#REF!="Media",' RIESGOS DE GESTION'!#REF!="Leve"),CONCATENATE("R3C",' RIESGOS DE GESTION'!#REF!),"")</f>
        <v>#REF!</v>
      </c>
      <c r="N28" s="56" t="e">
        <f>IF(AND(' RIESGOS DE GESTION'!#REF!="Media",' RIESGOS DE GESTION'!#REF!="Leve"),CONCATENATE("R3C",' RIESGOS DE GESTION'!#REF!),"")</f>
        <v>#REF!</v>
      </c>
      <c r="O28" s="57" t="e">
        <f>IF(AND(' RIESGOS DE GESTION'!#REF!="Media",' RIESGOS DE GESTION'!#REF!="Leve"),CONCATENATE("R3C",' RIESGOS DE GESTION'!#REF!),"")</f>
        <v>#REF!</v>
      </c>
      <c r="P28" s="55" t="e">
        <f>IF(AND(' RIESGOS DE GESTION'!#REF!="Media",' RIESGOS DE GESTION'!#REF!="Menor"),CONCATENATE("R3C",' RIESGOS DE GESTION'!#REF!),"")</f>
        <v>#REF!</v>
      </c>
      <c r="Q28" s="56" t="e">
        <f>IF(AND(' RIESGOS DE GESTION'!#REF!="Media",' RIESGOS DE GESTION'!#REF!="Menor"),CONCATENATE("R3C",' RIESGOS DE GESTION'!#REF!),"")</f>
        <v>#REF!</v>
      </c>
      <c r="R28" s="56" t="e">
        <f>IF(AND(' RIESGOS DE GESTION'!#REF!="Media",' RIESGOS DE GESTION'!#REF!="Menor"),CONCATENATE("R3C",' RIESGOS DE GESTION'!#REF!),"")</f>
        <v>#REF!</v>
      </c>
      <c r="S28" s="56" t="e">
        <f>IF(AND(' RIESGOS DE GESTION'!#REF!="Media",' RIESGOS DE GESTION'!#REF!="Menor"),CONCATENATE("R3C",' RIESGOS DE GESTION'!#REF!),"")</f>
        <v>#REF!</v>
      </c>
      <c r="T28" s="56" t="e">
        <f>IF(AND(' RIESGOS DE GESTION'!#REF!="Media",' RIESGOS DE GESTION'!#REF!="Menor"),CONCATENATE("R3C",' RIESGOS DE GESTION'!#REF!),"")</f>
        <v>#REF!</v>
      </c>
      <c r="U28" s="57" t="e">
        <f>IF(AND(' RIESGOS DE GESTION'!#REF!="Media",' RIESGOS DE GESTION'!#REF!="Menor"),CONCATENATE("R3C",' RIESGOS DE GESTION'!#REF!),"")</f>
        <v>#REF!</v>
      </c>
      <c r="V28" s="55" t="e">
        <f>IF(AND(' RIESGOS DE GESTION'!#REF!="Media",' RIESGOS DE GESTION'!#REF!="Moderado"),CONCATENATE("R3C",' RIESGOS DE GESTION'!#REF!),"")</f>
        <v>#REF!</v>
      </c>
      <c r="W28" s="56" t="e">
        <f>IF(AND(' RIESGOS DE GESTION'!#REF!="Media",' RIESGOS DE GESTION'!#REF!="Moderado"),CONCATENATE("R3C",' RIESGOS DE GESTION'!#REF!),"")</f>
        <v>#REF!</v>
      </c>
      <c r="X28" s="56" t="e">
        <f>IF(AND(' RIESGOS DE GESTION'!#REF!="Media",' RIESGOS DE GESTION'!#REF!="Moderado"),CONCATENATE("R3C",' RIESGOS DE GESTION'!#REF!),"")</f>
        <v>#REF!</v>
      </c>
      <c r="Y28" s="56" t="e">
        <f>IF(AND(' RIESGOS DE GESTION'!#REF!="Media",' RIESGOS DE GESTION'!#REF!="Moderado"),CONCATENATE("R3C",' RIESGOS DE GESTION'!#REF!),"")</f>
        <v>#REF!</v>
      </c>
      <c r="Z28" s="56" t="e">
        <f>IF(AND(' RIESGOS DE GESTION'!#REF!="Media",' RIESGOS DE GESTION'!#REF!="Moderado"),CONCATENATE("R3C",' RIESGOS DE GESTION'!#REF!),"")</f>
        <v>#REF!</v>
      </c>
      <c r="AA28" s="57" t="e">
        <f>IF(AND(' RIESGOS DE GESTION'!#REF!="Media",' RIESGOS DE GESTION'!#REF!="Moderado"),CONCATENATE("R3C",' RIESGOS DE GESTION'!#REF!),"")</f>
        <v>#REF!</v>
      </c>
      <c r="AB28" s="40" t="e">
        <f>IF(AND(' RIESGOS DE GESTION'!#REF!="Media",' RIESGOS DE GESTION'!#REF!="Mayor"),CONCATENATE("R3C",' RIESGOS DE GESTION'!#REF!),"")</f>
        <v>#REF!</v>
      </c>
      <c r="AC28" s="41" t="e">
        <f>IF(AND(' RIESGOS DE GESTION'!#REF!="Media",' RIESGOS DE GESTION'!#REF!="Mayor"),CONCATENATE("R3C",' RIESGOS DE GESTION'!#REF!),"")</f>
        <v>#REF!</v>
      </c>
      <c r="AD28" s="41" t="e">
        <f>IF(AND(' RIESGOS DE GESTION'!#REF!="Media",' RIESGOS DE GESTION'!#REF!="Mayor"),CONCATENATE("R3C",' RIESGOS DE GESTION'!#REF!),"")</f>
        <v>#REF!</v>
      </c>
      <c r="AE28" s="41" t="e">
        <f>IF(AND(' RIESGOS DE GESTION'!#REF!="Media",' RIESGOS DE GESTION'!#REF!="Mayor"),CONCATENATE("R3C",' RIESGOS DE GESTION'!#REF!),"")</f>
        <v>#REF!</v>
      </c>
      <c r="AF28" s="41" t="e">
        <f>IF(AND(' RIESGOS DE GESTION'!#REF!="Media",' RIESGOS DE GESTION'!#REF!="Mayor"),CONCATENATE("R3C",' RIESGOS DE GESTION'!#REF!),"")</f>
        <v>#REF!</v>
      </c>
      <c r="AG28" s="42" t="e">
        <f>IF(AND(' RIESGOS DE GESTION'!#REF!="Media",' RIESGOS DE GESTION'!#REF!="Mayor"),CONCATENATE("R3C",' RIESGOS DE GESTION'!#REF!),"")</f>
        <v>#REF!</v>
      </c>
      <c r="AH28" s="43" t="e">
        <f>IF(AND(' RIESGOS DE GESTION'!#REF!="Media",' RIESGOS DE GESTION'!#REF!="Catastrófico"),CONCATENATE("R3C",' RIESGOS DE GESTION'!#REF!),"")</f>
        <v>#REF!</v>
      </c>
      <c r="AI28" s="44" t="e">
        <f>IF(AND(' RIESGOS DE GESTION'!#REF!="Media",' RIESGOS DE GESTION'!#REF!="Catastrófico"),CONCATENATE("R3C",' RIESGOS DE GESTION'!#REF!),"")</f>
        <v>#REF!</v>
      </c>
      <c r="AJ28" s="44" t="e">
        <f>IF(AND(' RIESGOS DE GESTION'!#REF!="Media",' RIESGOS DE GESTION'!#REF!="Catastrófico"),CONCATENATE("R3C",' RIESGOS DE GESTION'!#REF!),"")</f>
        <v>#REF!</v>
      </c>
      <c r="AK28" s="44" t="e">
        <f>IF(AND(' RIESGOS DE GESTION'!#REF!="Media",' RIESGOS DE GESTION'!#REF!="Catastrófico"),CONCATENATE("R3C",' RIESGOS DE GESTION'!#REF!),"")</f>
        <v>#REF!</v>
      </c>
      <c r="AL28" s="44" t="e">
        <f>IF(AND(' RIESGOS DE GESTION'!#REF!="Media",' RIESGOS DE GESTION'!#REF!="Catastrófico"),CONCATENATE("R3C",' RIESGOS DE GESTION'!#REF!),"")</f>
        <v>#REF!</v>
      </c>
      <c r="AM28" s="45" t="e">
        <f>IF(AND(' RIESGOS DE GESTION'!#REF!="Media",' RIESGOS DE GESTION'!#REF!="Catastrófico"),CONCATENATE("R3C",' RIESGOS DE GESTION'!#REF!),"")</f>
        <v>#REF!</v>
      </c>
      <c r="AN28" s="71"/>
      <c r="AO28" s="665"/>
      <c r="AP28" s="666"/>
      <c r="AQ28" s="666"/>
      <c r="AR28" s="666"/>
      <c r="AS28" s="666"/>
      <c r="AT28" s="667"/>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row>
    <row r="29" spans="1:76" ht="15" customHeight="1">
      <c r="A29" s="71"/>
      <c r="B29" s="537"/>
      <c r="C29" s="537"/>
      <c r="D29" s="538"/>
      <c r="E29" s="636"/>
      <c r="F29" s="635"/>
      <c r="G29" s="635"/>
      <c r="H29" s="635"/>
      <c r="I29" s="651"/>
      <c r="J29" s="55" t="e">
        <f>IF(AND(' RIESGOS DE GESTION'!#REF!="Media",' RIESGOS DE GESTION'!#REF!="Leve"),CONCATENATE("R4C",' RIESGOS DE GESTION'!#REF!),"")</f>
        <v>#REF!</v>
      </c>
      <c r="K29" s="56" t="e">
        <f>IF(AND(' RIESGOS DE GESTION'!#REF!="Media",' RIESGOS DE GESTION'!#REF!="Leve"),CONCATENATE("R4C",' RIESGOS DE GESTION'!#REF!),"")</f>
        <v>#REF!</v>
      </c>
      <c r="L29" s="56" t="e">
        <f>IF(AND(' RIESGOS DE GESTION'!#REF!="Media",' RIESGOS DE GESTION'!#REF!="Leve"),CONCATENATE("R4C",' RIESGOS DE GESTION'!#REF!),"")</f>
        <v>#REF!</v>
      </c>
      <c r="M29" s="56" t="e">
        <f>IF(AND(' RIESGOS DE GESTION'!#REF!="Media",' RIESGOS DE GESTION'!#REF!="Leve"),CONCATENATE("R4C",' RIESGOS DE GESTION'!#REF!),"")</f>
        <v>#REF!</v>
      </c>
      <c r="N29" s="56" t="e">
        <f>IF(AND(' RIESGOS DE GESTION'!#REF!="Media",' RIESGOS DE GESTION'!#REF!="Leve"),CONCATENATE("R4C",' RIESGOS DE GESTION'!#REF!),"")</f>
        <v>#REF!</v>
      </c>
      <c r="O29" s="57" t="e">
        <f>IF(AND(' RIESGOS DE GESTION'!#REF!="Media",' RIESGOS DE GESTION'!#REF!="Leve"),CONCATENATE("R4C",' RIESGOS DE GESTION'!#REF!),"")</f>
        <v>#REF!</v>
      </c>
      <c r="P29" s="55" t="e">
        <f>IF(AND(' RIESGOS DE GESTION'!#REF!="Media",' RIESGOS DE GESTION'!#REF!="Menor"),CONCATENATE("R4C",' RIESGOS DE GESTION'!#REF!),"")</f>
        <v>#REF!</v>
      </c>
      <c r="Q29" s="56" t="e">
        <f>IF(AND(' RIESGOS DE GESTION'!#REF!="Media",' RIESGOS DE GESTION'!#REF!="Menor"),CONCATENATE("R4C",' RIESGOS DE GESTION'!#REF!),"")</f>
        <v>#REF!</v>
      </c>
      <c r="R29" s="56" t="e">
        <f>IF(AND(' RIESGOS DE GESTION'!#REF!="Media",' RIESGOS DE GESTION'!#REF!="Menor"),CONCATENATE("R4C",' RIESGOS DE GESTION'!#REF!),"")</f>
        <v>#REF!</v>
      </c>
      <c r="S29" s="56" t="e">
        <f>IF(AND(' RIESGOS DE GESTION'!#REF!="Media",' RIESGOS DE GESTION'!#REF!="Menor"),CONCATENATE("R4C",' RIESGOS DE GESTION'!#REF!),"")</f>
        <v>#REF!</v>
      </c>
      <c r="T29" s="56" t="e">
        <f>IF(AND(' RIESGOS DE GESTION'!#REF!="Media",' RIESGOS DE GESTION'!#REF!="Menor"),CONCATENATE("R4C",' RIESGOS DE GESTION'!#REF!),"")</f>
        <v>#REF!</v>
      </c>
      <c r="U29" s="57" t="e">
        <f>IF(AND(' RIESGOS DE GESTION'!#REF!="Media",' RIESGOS DE GESTION'!#REF!="Menor"),CONCATENATE("R4C",' RIESGOS DE GESTION'!#REF!),"")</f>
        <v>#REF!</v>
      </c>
      <c r="V29" s="55" t="e">
        <f>IF(AND(' RIESGOS DE GESTION'!#REF!="Media",' RIESGOS DE GESTION'!#REF!="Moderado"),CONCATENATE("R4C",' RIESGOS DE GESTION'!#REF!),"")</f>
        <v>#REF!</v>
      </c>
      <c r="W29" s="56" t="e">
        <f>IF(AND(' RIESGOS DE GESTION'!#REF!="Media",' RIESGOS DE GESTION'!#REF!="Moderado"),CONCATENATE("R4C",' RIESGOS DE GESTION'!#REF!),"")</f>
        <v>#REF!</v>
      </c>
      <c r="X29" s="56" t="e">
        <f>IF(AND(' RIESGOS DE GESTION'!#REF!="Media",' RIESGOS DE GESTION'!#REF!="Moderado"),CONCATENATE("R4C",' RIESGOS DE GESTION'!#REF!),"")</f>
        <v>#REF!</v>
      </c>
      <c r="Y29" s="56" t="e">
        <f>IF(AND(' RIESGOS DE GESTION'!#REF!="Media",' RIESGOS DE GESTION'!#REF!="Moderado"),CONCATENATE("R4C",' RIESGOS DE GESTION'!#REF!),"")</f>
        <v>#REF!</v>
      </c>
      <c r="Z29" s="56" t="e">
        <f>IF(AND(' RIESGOS DE GESTION'!#REF!="Media",' RIESGOS DE GESTION'!#REF!="Moderado"),CONCATENATE("R4C",' RIESGOS DE GESTION'!#REF!),"")</f>
        <v>#REF!</v>
      </c>
      <c r="AA29" s="57" t="e">
        <f>IF(AND(' RIESGOS DE GESTION'!#REF!="Media",' RIESGOS DE GESTION'!#REF!="Moderado"),CONCATENATE("R4C",' RIESGOS DE GESTION'!#REF!),"")</f>
        <v>#REF!</v>
      </c>
      <c r="AB29" s="40" t="e">
        <f>IF(AND(' RIESGOS DE GESTION'!#REF!="Media",' RIESGOS DE GESTION'!#REF!="Mayor"),CONCATENATE("R4C",' RIESGOS DE GESTION'!#REF!),"")</f>
        <v>#REF!</v>
      </c>
      <c r="AC29" s="41" t="e">
        <f>IF(AND(' RIESGOS DE GESTION'!#REF!="Media",' RIESGOS DE GESTION'!#REF!="Mayor"),CONCATENATE("R4C",' RIESGOS DE GESTION'!#REF!),"")</f>
        <v>#REF!</v>
      </c>
      <c r="AD29" s="41" t="e">
        <f>IF(AND(' RIESGOS DE GESTION'!#REF!="Media",' RIESGOS DE GESTION'!#REF!="Mayor"),CONCATENATE("R4C",' RIESGOS DE GESTION'!#REF!),"")</f>
        <v>#REF!</v>
      </c>
      <c r="AE29" s="41" t="e">
        <f>IF(AND(' RIESGOS DE GESTION'!#REF!="Media",' RIESGOS DE GESTION'!#REF!="Mayor"),CONCATENATE("R4C",' RIESGOS DE GESTION'!#REF!),"")</f>
        <v>#REF!</v>
      </c>
      <c r="AF29" s="41" t="e">
        <f>IF(AND(' RIESGOS DE GESTION'!#REF!="Media",' RIESGOS DE GESTION'!#REF!="Mayor"),CONCATENATE("R4C",' RIESGOS DE GESTION'!#REF!),"")</f>
        <v>#REF!</v>
      </c>
      <c r="AG29" s="42" t="e">
        <f>IF(AND(' RIESGOS DE GESTION'!#REF!="Media",' RIESGOS DE GESTION'!#REF!="Mayor"),CONCATENATE("R4C",' RIESGOS DE GESTION'!#REF!),"")</f>
        <v>#REF!</v>
      </c>
      <c r="AH29" s="43" t="e">
        <f>IF(AND(' RIESGOS DE GESTION'!#REF!="Media",' RIESGOS DE GESTION'!#REF!="Catastrófico"),CONCATENATE("R4C",' RIESGOS DE GESTION'!#REF!),"")</f>
        <v>#REF!</v>
      </c>
      <c r="AI29" s="44" t="e">
        <f>IF(AND(' RIESGOS DE GESTION'!#REF!="Media",' RIESGOS DE GESTION'!#REF!="Catastrófico"),CONCATENATE("R4C",' RIESGOS DE GESTION'!#REF!),"")</f>
        <v>#REF!</v>
      </c>
      <c r="AJ29" s="44" t="e">
        <f>IF(AND(' RIESGOS DE GESTION'!#REF!="Media",' RIESGOS DE GESTION'!#REF!="Catastrófico"),CONCATENATE("R4C",' RIESGOS DE GESTION'!#REF!),"")</f>
        <v>#REF!</v>
      </c>
      <c r="AK29" s="44" t="e">
        <f>IF(AND(' RIESGOS DE GESTION'!#REF!="Media",' RIESGOS DE GESTION'!#REF!="Catastrófico"),CONCATENATE("R4C",' RIESGOS DE GESTION'!#REF!),"")</f>
        <v>#REF!</v>
      </c>
      <c r="AL29" s="44" t="e">
        <f>IF(AND(' RIESGOS DE GESTION'!#REF!="Media",' RIESGOS DE GESTION'!#REF!="Catastrófico"),CONCATENATE("R4C",' RIESGOS DE GESTION'!#REF!),"")</f>
        <v>#REF!</v>
      </c>
      <c r="AM29" s="45" t="e">
        <f>IF(AND(' RIESGOS DE GESTION'!#REF!="Media",' RIESGOS DE GESTION'!#REF!="Catastrófico"),CONCATENATE("R4C",' RIESGOS DE GESTION'!#REF!),"")</f>
        <v>#REF!</v>
      </c>
      <c r="AN29" s="71"/>
      <c r="AO29" s="665"/>
      <c r="AP29" s="666"/>
      <c r="AQ29" s="666"/>
      <c r="AR29" s="666"/>
      <c r="AS29" s="666"/>
      <c r="AT29" s="667"/>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row>
    <row r="30" spans="1:76" ht="15" customHeight="1">
      <c r="A30" s="71"/>
      <c r="B30" s="537"/>
      <c r="C30" s="537"/>
      <c r="D30" s="538"/>
      <c r="E30" s="636"/>
      <c r="F30" s="635"/>
      <c r="G30" s="635"/>
      <c r="H30" s="635"/>
      <c r="I30" s="651"/>
      <c r="J30" s="55" t="e">
        <f>IF(AND(' RIESGOS DE GESTION'!#REF!="Media",' RIESGOS DE GESTION'!#REF!="Leve"),CONCATENATE("R5C",' RIESGOS DE GESTION'!#REF!),"")</f>
        <v>#REF!</v>
      </c>
      <c r="K30" s="56" t="e">
        <f>IF(AND(' RIESGOS DE GESTION'!#REF!="Media",' RIESGOS DE GESTION'!#REF!="Leve"),CONCATENATE("R5C",' RIESGOS DE GESTION'!#REF!),"")</f>
        <v>#REF!</v>
      </c>
      <c r="L30" s="56" t="e">
        <f>IF(AND(' RIESGOS DE GESTION'!#REF!="Media",' RIESGOS DE GESTION'!#REF!="Leve"),CONCATENATE("R5C",' RIESGOS DE GESTION'!#REF!),"")</f>
        <v>#REF!</v>
      </c>
      <c r="M30" s="56" t="e">
        <f>IF(AND(' RIESGOS DE GESTION'!#REF!="Media",' RIESGOS DE GESTION'!#REF!="Leve"),CONCATENATE("R5C",' RIESGOS DE GESTION'!#REF!),"")</f>
        <v>#REF!</v>
      </c>
      <c r="N30" s="56" t="e">
        <f>IF(AND(' RIESGOS DE GESTION'!#REF!="Media",' RIESGOS DE GESTION'!#REF!="Leve"),CONCATENATE("R5C",' RIESGOS DE GESTION'!#REF!),"")</f>
        <v>#REF!</v>
      </c>
      <c r="O30" s="57" t="e">
        <f>IF(AND(' RIESGOS DE GESTION'!#REF!="Media",' RIESGOS DE GESTION'!#REF!="Leve"),CONCATENATE("R5C",' RIESGOS DE GESTION'!#REF!),"")</f>
        <v>#REF!</v>
      </c>
      <c r="P30" s="55" t="e">
        <f>IF(AND(' RIESGOS DE GESTION'!#REF!="Media",' RIESGOS DE GESTION'!#REF!="Menor"),CONCATENATE("R5C",' RIESGOS DE GESTION'!#REF!),"")</f>
        <v>#REF!</v>
      </c>
      <c r="Q30" s="56" t="e">
        <f>IF(AND(' RIESGOS DE GESTION'!#REF!="Media",' RIESGOS DE GESTION'!#REF!="Menor"),CONCATENATE("R5C",' RIESGOS DE GESTION'!#REF!),"")</f>
        <v>#REF!</v>
      </c>
      <c r="R30" s="56" t="e">
        <f>IF(AND(' RIESGOS DE GESTION'!#REF!="Media",' RIESGOS DE GESTION'!#REF!="Menor"),CONCATENATE("R5C",' RIESGOS DE GESTION'!#REF!),"")</f>
        <v>#REF!</v>
      </c>
      <c r="S30" s="56" t="e">
        <f>IF(AND(' RIESGOS DE GESTION'!#REF!="Media",' RIESGOS DE GESTION'!#REF!="Menor"),CONCATENATE("R5C",' RIESGOS DE GESTION'!#REF!),"")</f>
        <v>#REF!</v>
      </c>
      <c r="T30" s="56" t="e">
        <f>IF(AND(' RIESGOS DE GESTION'!#REF!="Media",' RIESGOS DE GESTION'!#REF!="Menor"),CONCATENATE("R5C",' RIESGOS DE GESTION'!#REF!),"")</f>
        <v>#REF!</v>
      </c>
      <c r="U30" s="57" t="e">
        <f>IF(AND(' RIESGOS DE GESTION'!#REF!="Media",' RIESGOS DE GESTION'!#REF!="Menor"),CONCATENATE("R5C",' RIESGOS DE GESTION'!#REF!),"")</f>
        <v>#REF!</v>
      </c>
      <c r="V30" s="55" t="e">
        <f>IF(AND(' RIESGOS DE GESTION'!#REF!="Media",' RIESGOS DE GESTION'!#REF!="Moderado"),CONCATENATE("R5C",' RIESGOS DE GESTION'!#REF!),"")</f>
        <v>#REF!</v>
      </c>
      <c r="W30" s="56" t="e">
        <f>IF(AND(' RIESGOS DE GESTION'!#REF!="Media",' RIESGOS DE GESTION'!#REF!="Moderado"),CONCATENATE("R5C",' RIESGOS DE GESTION'!#REF!),"")</f>
        <v>#REF!</v>
      </c>
      <c r="X30" s="56" t="e">
        <f>IF(AND(' RIESGOS DE GESTION'!#REF!="Media",' RIESGOS DE GESTION'!#REF!="Moderado"),CONCATENATE("R5C",' RIESGOS DE GESTION'!#REF!),"")</f>
        <v>#REF!</v>
      </c>
      <c r="Y30" s="56" t="e">
        <f>IF(AND(' RIESGOS DE GESTION'!#REF!="Media",' RIESGOS DE GESTION'!#REF!="Moderado"),CONCATENATE("R5C",' RIESGOS DE GESTION'!#REF!),"")</f>
        <v>#REF!</v>
      </c>
      <c r="Z30" s="56" t="e">
        <f>IF(AND(' RIESGOS DE GESTION'!#REF!="Media",' RIESGOS DE GESTION'!#REF!="Moderado"),CONCATENATE("R5C",' RIESGOS DE GESTION'!#REF!),"")</f>
        <v>#REF!</v>
      </c>
      <c r="AA30" s="57" t="e">
        <f>IF(AND(' RIESGOS DE GESTION'!#REF!="Media",' RIESGOS DE GESTION'!#REF!="Moderado"),CONCATENATE("R5C",' RIESGOS DE GESTION'!#REF!),"")</f>
        <v>#REF!</v>
      </c>
      <c r="AB30" s="40" t="e">
        <f>IF(AND(' RIESGOS DE GESTION'!#REF!="Media",' RIESGOS DE GESTION'!#REF!="Mayor"),CONCATENATE("R5C",' RIESGOS DE GESTION'!#REF!),"")</f>
        <v>#REF!</v>
      </c>
      <c r="AC30" s="41" t="e">
        <f>IF(AND(' RIESGOS DE GESTION'!#REF!="Media",' RIESGOS DE GESTION'!#REF!="Mayor"),CONCATENATE("R5C",' RIESGOS DE GESTION'!#REF!),"")</f>
        <v>#REF!</v>
      </c>
      <c r="AD30" s="41" t="e">
        <f>IF(AND(' RIESGOS DE GESTION'!#REF!="Media",' RIESGOS DE GESTION'!#REF!="Mayor"),CONCATENATE("R5C",' RIESGOS DE GESTION'!#REF!),"")</f>
        <v>#REF!</v>
      </c>
      <c r="AE30" s="41" t="e">
        <f>IF(AND(' RIESGOS DE GESTION'!#REF!="Media",' RIESGOS DE GESTION'!#REF!="Mayor"),CONCATENATE("R5C",' RIESGOS DE GESTION'!#REF!),"")</f>
        <v>#REF!</v>
      </c>
      <c r="AF30" s="41" t="e">
        <f>IF(AND(' RIESGOS DE GESTION'!#REF!="Media",' RIESGOS DE GESTION'!#REF!="Mayor"),CONCATENATE("R5C",' RIESGOS DE GESTION'!#REF!),"")</f>
        <v>#REF!</v>
      </c>
      <c r="AG30" s="42" t="e">
        <f>IF(AND(' RIESGOS DE GESTION'!#REF!="Media",' RIESGOS DE GESTION'!#REF!="Mayor"),CONCATENATE("R5C",' RIESGOS DE GESTION'!#REF!),"")</f>
        <v>#REF!</v>
      </c>
      <c r="AH30" s="43" t="e">
        <f>IF(AND(' RIESGOS DE GESTION'!#REF!="Media",' RIESGOS DE GESTION'!#REF!="Catastrófico"),CONCATENATE("R5C",' RIESGOS DE GESTION'!#REF!),"")</f>
        <v>#REF!</v>
      </c>
      <c r="AI30" s="44" t="e">
        <f>IF(AND(' RIESGOS DE GESTION'!#REF!="Media",' RIESGOS DE GESTION'!#REF!="Catastrófico"),CONCATENATE("R5C",' RIESGOS DE GESTION'!#REF!),"")</f>
        <v>#REF!</v>
      </c>
      <c r="AJ30" s="44" t="e">
        <f>IF(AND(' RIESGOS DE GESTION'!#REF!="Media",' RIESGOS DE GESTION'!#REF!="Catastrófico"),CONCATENATE("R5C",' RIESGOS DE GESTION'!#REF!),"")</f>
        <v>#REF!</v>
      </c>
      <c r="AK30" s="44" t="e">
        <f>IF(AND(' RIESGOS DE GESTION'!#REF!="Media",' RIESGOS DE GESTION'!#REF!="Catastrófico"),CONCATENATE("R5C",' RIESGOS DE GESTION'!#REF!),"")</f>
        <v>#REF!</v>
      </c>
      <c r="AL30" s="44" t="e">
        <f>IF(AND(' RIESGOS DE GESTION'!#REF!="Media",' RIESGOS DE GESTION'!#REF!="Catastrófico"),CONCATENATE("R5C",' RIESGOS DE GESTION'!#REF!),"")</f>
        <v>#REF!</v>
      </c>
      <c r="AM30" s="45" t="e">
        <f>IF(AND(' RIESGOS DE GESTION'!#REF!="Media",' RIESGOS DE GESTION'!#REF!="Catastrófico"),CONCATENATE("R5C",' RIESGOS DE GESTION'!#REF!),"")</f>
        <v>#REF!</v>
      </c>
      <c r="AN30" s="71"/>
      <c r="AO30" s="665"/>
      <c r="AP30" s="666"/>
      <c r="AQ30" s="666"/>
      <c r="AR30" s="666"/>
      <c r="AS30" s="666"/>
      <c r="AT30" s="667"/>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row>
    <row r="31" spans="1:76" ht="15" customHeight="1">
      <c r="A31" s="71"/>
      <c r="B31" s="537"/>
      <c r="C31" s="537"/>
      <c r="D31" s="538"/>
      <c r="E31" s="636"/>
      <c r="F31" s="635"/>
      <c r="G31" s="635"/>
      <c r="H31" s="635"/>
      <c r="I31" s="651"/>
      <c r="J31" s="55" t="e">
        <f>IF(AND(' RIESGOS DE GESTION'!#REF!="Media",' RIESGOS DE GESTION'!#REF!="Leve"),CONCATENATE("R6C",' RIESGOS DE GESTION'!#REF!),"")</f>
        <v>#REF!</v>
      </c>
      <c r="K31" s="56" t="e">
        <f>IF(AND(' RIESGOS DE GESTION'!#REF!="Media",' RIESGOS DE GESTION'!#REF!="Leve"),CONCATENATE("R6C",' RIESGOS DE GESTION'!#REF!),"")</f>
        <v>#REF!</v>
      </c>
      <c r="L31" s="56" t="e">
        <f>IF(AND(' RIESGOS DE GESTION'!#REF!="Media",' RIESGOS DE GESTION'!#REF!="Leve"),CONCATENATE("R6C",' RIESGOS DE GESTION'!#REF!),"")</f>
        <v>#REF!</v>
      </c>
      <c r="M31" s="56" t="e">
        <f>IF(AND(' RIESGOS DE GESTION'!#REF!="Media",' RIESGOS DE GESTION'!#REF!="Leve"),CONCATENATE("R6C",' RIESGOS DE GESTION'!#REF!),"")</f>
        <v>#REF!</v>
      </c>
      <c r="N31" s="56" t="e">
        <f>IF(AND(' RIESGOS DE GESTION'!#REF!="Media",' RIESGOS DE GESTION'!#REF!="Leve"),CONCATENATE("R6C",' RIESGOS DE GESTION'!#REF!),"")</f>
        <v>#REF!</v>
      </c>
      <c r="O31" s="57" t="e">
        <f>IF(AND(' RIESGOS DE GESTION'!#REF!="Media",' RIESGOS DE GESTION'!#REF!="Leve"),CONCATENATE("R6C",' RIESGOS DE GESTION'!#REF!),"")</f>
        <v>#REF!</v>
      </c>
      <c r="P31" s="55" t="e">
        <f>IF(AND(' RIESGOS DE GESTION'!#REF!="Media",' RIESGOS DE GESTION'!#REF!="Menor"),CONCATENATE("R6C",' RIESGOS DE GESTION'!#REF!),"")</f>
        <v>#REF!</v>
      </c>
      <c r="Q31" s="56" t="e">
        <f>IF(AND(' RIESGOS DE GESTION'!#REF!="Media",' RIESGOS DE GESTION'!#REF!="Menor"),CONCATENATE("R6C",' RIESGOS DE GESTION'!#REF!),"")</f>
        <v>#REF!</v>
      </c>
      <c r="R31" s="56" t="e">
        <f>IF(AND(' RIESGOS DE GESTION'!#REF!="Media",' RIESGOS DE GESTION'!#REF!="Menor"),CONCATENATE("R6C",' RIESGOS DE GESTION'!#REF!),"")</f>
        <v>#REF!</v>
      </c>
      <c r="S31" s="56" t="e">
        <f>IF(AND(' RIESGOS DE GESTION'!#REF!="Media",' RIESGOS DE GESTION'!#REF!="Menor"),CONCATENATE("R6C",' RIESGOS DE GESTION'!#REF!),"")</f>
        <v>#REF!</v>
      </c>
      <c r="T31" s="56" t="e">
        <f>IF(AND(' RIESGOS DE GESTION'!#REF!="Media",' RIESGOS DE GESTION'!#REF!="Menor"),CONCATENATE("R6C",' RIESGOS DE GESTION'!#REF!),"")</f>
        <v>#REF!</v>
      </c>
      <c r="U31" s="57" t="e">
        <f>IF(AND(' RIESGOS DE GESTION'!#REF!="Media",' RIESGOS DE GESTION'!#REF!="Menor"),CONCATENATE("R6C",' RIESGOS DE GESTION'!#REF!),"")</f>
        <v>#REF!</v>
      </c>
      <c r="V31" s="55" t="e">
        <f>IF(AND(' RIESGOS DE GESTION'!#REF!="Media",' RIESGOS DE GESTION'!#REF!="Moderado"),CONCATENATE("R6C",' RIESGOS DE GESTION'!#REF!),"")</f>
        <v>#REF!</v>
      </c>
      <c r="W31" s="56" t="e">
        <f>IF(AND(' RIESGOS DE GESTION'!#REF!="Media",' RIESGOS DE GESTION'!#REF!="Moderado"),CONCATENATE("R6C",' RIESGOS DE GESTION'!#REF!),"")</f>
        <v>#REF!</v>
      </c>
      <c r="X31" s="56" t="e">
        <f>IF(AND(' RIESGOS DE GESTION'!#REF!="Media",' RIESGOS DE GESTION'!#REF!="Moderado"),CONCATENATE("R6C",' RIESGOS DE GESTION'!#REF!),"")</f>
        <v>#REF!</v>
      </c>
      <c r="Y31" s="56" t="e">
        <f>IF(AND(' RIESGOS DE GESTION'!#REF!="Media",' RIESGOS DE GESTION'!#REF!="Moderado"),CONCATENATE("R6C",' RIESGOS DE GESTION'!#REF!),"")</f>
        <v>#REF!</v>
      </c>
      <c r="Z31" s="56" t="e">
        <f>IF(AND(' RIESGOS DE GESTION'!#REF!="Media",' RIESGOS DE GESTION'!#REF!="Moderado"),CONCATENATE("R6C",' RIESGOS DE GESTION'!#REF!),"")</f>
        <v>#REF!</v>
      </c>
      <c r="AA31" s="57" t="e">
        <f>IF(AND(' RIESGOS DE GESTION'!#REF!="Media",' RIESGOS DE GESTION'!#REF!="Moderado"),CONCATENATE("R6C",' RIESGOS DE GESTION'!#REF!),"")</f>
        <v>#REF!</v>
      </c>
      <c r="AB31" s="40" t="e">
        <f>IF(AND(' RIESGOS DE GESTION'!#REF!="Media",' RIESGOS DE GESTION'!#REF!="Mayor"),CONCATENATE("R6C",' RIESGOS DE GESTION'!#REF!),"")</f>
        <v>#REF!</v>
      </c>
      <c r="AC31" s="41" t="e">
        <f>IF(AND(' RIESGOS DE GESTION'!#REF!="Media",' RIESGOS DE GESTION'!#REF!="Mayor"),CONCATENATE("R6C",' RIESGOS DE GESTION'!#REF!),"")</f>
        <v>#REF!</v>
      </c>
      <c r="AD31" s="41" t="e">
        <f>IF(AND(' RIESGOS DE GESTION'!#REF!="Media",' RIESGOS DE GESTION'!#REF!="Mayor"),CONCATENATE("R6C",' RIESGOS DE GESTION'!#REF!),"")</f>
        <v>#REF!</v>
      </c>
      <c r="AE31" s="41" t="e">
        <f>IF(AND(' RIESGOS DE GESTION'!#REF!="Media",' RIESGOS DE GESTION'!#REF!="Mayor"),CONCATENATE("R6C",' RIESGOS DE GESTION'!#REF!),"")</f>
        <v>#REF!</v>
      </c>
      <c r="AF31" s="41" t="e">
        <f>IF(AND(' RIESGOS DE GESTION'!#REF!="Media",' RIESGOS DE GESTION'!#REF!="Mayor"),CONCATENATE("R6C",' RIESGOS DE GESTION'!#REF!),"")</f>
        <v>#REF!</v>
      </c>
      <c r="AG31" s="42" t="e">
        <f>IF(AND(' RIESGOS DE GESTION'!#REF!="Media",' RIESGOS DE GESTION'!#REF!="Mayor"),CONCATENATE("R6C",' RIESGOS DE GESTION'!#REF!),"")</f>
        <v>#REF!</v>
      </c>
      <c r="AH31" s="43" t="e">
        <f>IF(AND(' RIESGOS DE GESTION'!#REF!="Media",' RIESGOS DE GESTION'!#REF!="Catastrófico"),CONCATENATE("R6C",' RIESGOS DE GESTION'!#REF!),"")</f>
        <v>#REF!</v>
      </c>
      <c r="AI31" s="44" t="e">
        <f>IF(AND(' RIESGOS DE GESTION'!#REF!="Media",' RIESGOS DE GESTION'!#REF!="Catastrófico"),CONCATENATE("R6C",' RIESGOS DE GESTION'!#REF!),"")</f>
        <v>#REF!</v>
      </c>
      <c r="AJ31" s="44" t="e">
        <f>IF(AND(' RIESGOS DE GESTION'!#REF!="Media",' RIESGOS DE GESTION'!#REF!="Catastrófico"),CONCATENATE("R6C",' RIESGOS DE GESTION'!#REF!),"")</f>
        <v>#REF!</v>
      </c>
      <c r="AK31" s="44" t="e">
        <f>IF(AND(' RIESGOS DE GESTION'!#REF!="Media",' RIESGOS DE GESTION'!#REF!="Catastrófico"),CONCATENATE("R6C",' RIESGOS DE GESTION'!#REF!),"")</f>
        <v>#REF!</v>
      </c>
      <c r="AL31" s="44" t="e">
        <f>IF(AND(' RIESGOS DE GESTION'!#REF!="Media",' RIESGOS DE GESTION'!#REF!="Catastrófico"),CONCATENATE("R6C",' RIESGOS DE GESTION'!#REF!),"")</f>
        <v>#REF!</v>
      </c>
      <c r="AM31" s="45" t="e">
        <f>IF(AND(' RIESGOS DE GESTION'!#REF!="Media",' RIESGOS DE GESTION'!#REF!="Catastrófico"),CONCATENATE("R6C",' RIESGOS DE GESTION'!#REF!),"")</f>
        <v>#REF!</v>
      </c>
      <c r="AN31" s="71"/>
      <c r="AO31" s="665"/>
      <c r="AP31" s="666"/>
      <c r="AQ31" s="666"/>
      <c r="AR31" s="666"/>
      <c r="AS31" s="666"/>
      <c r="AT31" s="667"/>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row>
    <row r="32" spans="1:76" ht="15" customHeight="1">
      <c r="A32" s="71"/>
      <c r="B32" s="537"/>
      <c r="C32" s="537"/>
      <c r="D32" s="538"/>
      <c r="E32" s="636"/>
      <c r="F32" s="635"/>
      <c r="G32" s="635"/>
      <c r="H32" s="635"/>
      <c r="I32" s="651"/>
      <c r="J32" s="55" t="e">
        <f>IF(AND(' RIESGOS DE GESTION'!#REF!="Media",' RIESGOS DE GESTION'!#REF!="Leve"),CONCATENATE("R7C",' RIESGOS DE GESTION'!#REF!),"")</f>
        <v>#REF!</v>
      </c>
      <c r="K32" s="56" t="e">
        <f>IF(AND(' RIESGOS DE GESTION'!#REF!="Media",' RIESGOS DE GESTION'!#REF!="Leve"),CONCATENATE("R7C",' RIESGOS DE GESTION'!#REF!),"")</f>
        <v>#REF!</v>
      </c>
      <c r="L32" s="56" t="e">
        <f>IF(AND(' RIESGOS DE GESTION'!#REF!="Media",' RIESGOS DE GESTION'!#REF!="Leve"),CONCATENATE("R7C",' RIESGOS DE GESTION'!#REF!),"")</f>
        <v>#REF!</v>
      </c>
      <c r="M32" s="56" t="e">
        <f>IF(AND(' RIESGOS DE GESTION'!#REF!="Media",' RIESGOS DE GESTION'!#REF!="Leve"),CONCATENATE("R7C",' RIESGOS DE GESTION'!#REF!),"")</f>
        <v>#REF!</v>
      </c>
      <c r="N32" s="56" t="e">
        <f>IF(AND(' RIESGOS DE GESTION'!#REF!="Media",' RIESGOS DE GESTION'!#REF!="Leve"),CONCATENATE("R7C",' RIESGOS DE GESTION'!#REF!),"")</f>
        <v>#REF!</v>
      </c>
      <c r="O32" s="57" t="e">
        <f>IF(AND(' RIESGOS DE GESTION'!#REF!="Media",' RIESGOS DE GESTION'!#REF!="Leve"),CONCATENATE("R7C",' RIESGOS DE GESTION'!#REF!),"")</f>
        <v>#REF!</v>
      </c>
      <c r="P32" s="55" t="e">
        <f>IF(AND(' RIESGOS DE GESTION'!#REF!="Media",' RIESGOS DE GESTION'!#REF!="Menor"),CONCATENATE("R7C",' RIESGOS DE GESTION'!#REF!),"")</f>
        <v>#REF!</v>
      </c>
      <c r="Q32" s="56" t="e">
        <f>IF(AND(' RIESGOS DE GESTION'!#REF!="Media",' RIESGOS DE GESTION'!#REF!="Menor"),CONCATENATE("R7C",' RIESGOS DE GESTION'!#REF!),"")</f>
        <v>#REF!</v>
      </c>
      <c r="R32" s="56" t="e">
        <f>IF(AND(' RIESGOS DE GESTION'!#REF!="Media",' RIESGOS DE GESTION'!#REF!="Menor"),CONCATENATE("R7C",' RIESGOS DE GESTION'!#REF!),"")</f>
        <v>#REF!</v>
      </c>
      <c r="S32" s="56" t="e">
        <f>IF(AND(' RIESGOS DE GESTION'!#REF!="Media",' RIESGOS DE GESTION'!#REF!="Menor"),CONCATENATE("R7C",' RIESGOS DE GESTION'!#REF!),"")</f>
        <v>#REF!</v>
      </c>
      <c r="T32" s="56" t="e">
        <f>IF(AND(' RIESGOS DE GESTION'!#REF!="Media",' RIESGOS DE GESTION'!#REF!="Menor"),CONCATENATE("R7C",' RIESGOS DE GESTION'!#REF!),"")</f>
        <v>#REF!</v>
      </c>
      <c r="U32" s="57" t="e">
        <f>IF(AND(' RIESGOS DE GESTION'!#REF!="Media",' RIESGOS DE GESTION'!#REF!="Menor"),CONCATENATE("R7C",' RIESGOS DE GESTION'!#REF!),"")</f>
        <v>#REF!</v>
      </c>
      <c r="V32" s="55" t="e">
        <f>IF(AND(' RIESGOS DE GESTION'!#REF!="Media",' RIESGOS DE GESTION'!#REF!="Moderado"),CONCATENATE("R7C",' RIESGOS DE GESTION'!#REF!),"")</f>
        <v>#REF!</v>
      </c>
      <c r="W32" s="56" t="e">
        <f>IF(AND(' RIESGOS DE GESTION'!#REF!="Media",' RIESGOS DE GESTION'!#REF!="Moderado"),CONCATENATE("R7C",' RIESGOS DE GESTION'!#REF!),"")</f>
        <v>#REF!</v>
      </c>
      <c r="X32" s="56" t="e">
        <f>IF(AND(' RIESGOS DE GESTION'!#REF!="Media",' RIESGOS DE GESTION'!#REF!="Moderado"),CONCATENATE("R7C",' RIESGOS DE GESTION'!#REF!),"")</f>
        <v>#REF!</v>
      </c>
      <c r="Y32" s="56" t="e">
        <f>IF(AND(' RIESGOS DE GESTION'!#REF!="Media",' RIESGOS DE GESTION'!#REF!="Moderado"),CONCATENATE("R7C",' RIESGOS DE GESTION'!#REF!),"")</f>
        <v>#REF!</v>
      </c>
      <c r="Z32" s="56" t="e">
        <f>IF(AND(' RIESGOS DE GESTION'!#REF!="Media",' RIESGOS DE GESTION'!#REF!="Moderado"),CONCATENATE("R7C",' RIESGOS DE GESTION'!#REF!),"")</f>
        <v>#REF!</v>
      </c>
      <c r="AA32" s="57" t="e">
        <f>IF(AND(' RIESGOS DE GESTION'!#REF!="Media",' RIESGOS DE GESTION'!#REF!="Moderado"),CONCATENATE("R7C",' RIESGOS DE GESTION'!#REF!),"")</f>
        <v>#REF!</v>
      </c>
      <c r="AB32" s="40" t="e">
        <f>IF(AND(' RIESGOS DE GESTION'!#REF!="Media",' RIESGOS DE GESTION'!#REF!="Mayor"),CONCATENATE("R7C",' RIESGOS DE GESTION'!#REF!),"")</f>
        <v>#REF!</v>
      </c>
      <c r="AC32" s="41" t="e">
        <f>IF(AND(' RIESGOS DE GESTION'!#REF!="Media",' RIESGOS DE GESTION'!#REF!="Mayor"),CONCATENATE("R7C",' RIESGOS DE GESTION'!#REF!),"")</f>
        <v>#REF!</v>
      </c>
      <c r="AD32" s="41" t="e">
        <f>IF(AND(' RIESGOS DE GESTION'!#REF!="Media",' RIESGOS DE GESTION'!#REF!="Mayor"),CONCATENATE("R7C",' RIESGOS DE GESTION'!#REF!),"")</f>
        <v>#REF!</v>
      </c>
      <c r="AE32" s="41" t="e">
        <f>IF(AND(' RIESGOS DE GESTION'!#REF!="Media",' RIESGOS DE GESTION'!#REF!="Mayor"),CONCATENATE("R7C",' RIESGOS DE GESTION'!#REF!),"")</f>
        <v>#REF!</v>
      </c>
      <c r="AF32" s="41" t="e">
        <f>IF(AND(' RIESGOS DE GESTION'!#REF!="Media",' RIESGOS DE GESTION'!#REF!="Mayor"),CONCATENATE("R7C",' RIESGOS DE GESTION'!#REF!),"")</f>
        <v>#REF!</v>
      </c>
      <c r="AG32" s="42" t="e">
        <f>IF(AND(' RIESGOS DE GESTION'!#REF!="Media",' RIESGOS DE GESTION'!#REF!="Mayor"),CONCATENATE("R7C",' RIESGOS DE GESTION'!#REF!),"")</f>
        <v>#REF!</v>
      </c>
      <c r="AH32" s="43" t="e">
        <f>IF(AND(' RIESGOS DE GESTION'!#REF!="Media",' RIESGOS DE GESTION'!#REF!="Catastrófico"),CONCATENATE("R7C",' RIESGOS DE GESTION'!#REF!),"")</f>
        <v>#REF!</v>
      </c>
      <c r="AI32" s="44" t="e">
        <f>IF(AND(' RIESGOS DE GESTION'!#REF!="Media",' RIESGOS DE GESTION'!#REF!="Catastrófico"),CONCATENATE("R7C",' RIESGOS DE GESTION'!#REF!),"")</f>
        <v>#REF!</v>
      </c>
      <c r="AJ32" s="44" t="e">
        <f>IF(AND(' RIESGOS DE GESTION'!#REF!="Media",' RIESGOS DE GESTION'!#REF!="Catastrófico"),CONCATENATE("R7C",' RIESGOS DE GESTION'!#REF!),"")</f>
        <v>#REF!</v>
      </c>
      <c r="AK32" s="44" t="e">
        <f>IF(AND(' RIESGOS DE GESTION'!#REF!="Media",' RIESGOS DE GESTION'!#REF!="Catastrófico"),CONCATENATE("R7C",' RIESGOS DE GESTION'!#REF!),"")</f>
        <v>#REF!</v>
      </c>
      <c r="AL32" s="44" t="e">
        <f>IF(AND(' RIESGOS DE GESTION'!#REF!="Media",' RIESGOS DE GESTION'!#REF!="Catastrófico"),CONCATENATE("R7C",' RIESGOS DE GESTION'!#REF!),"")</f>
        <v>#REF!</v>
      </c>
      <c r="AM32" s="45" t="e">
        <f>IF(AND(' RIESGOS DE GESTION'!#REF!="Media",' RIESGOS DE GESTION'!#REF!="Catastrófico"),CONCATENATE("R7C",' RIESGOS DE GESTION'!#REF!),"")</f>
        <v>#REF!</v>
      </c>
      <c r="AN32" s="71"/>
      <c r="AO32" s="665"/>
      <c r="AP32" s="666"/>
      <c r="AQ32" s="666"/>
      <c r="AR32" s="666"/>
      <c r="AS32" s="666"/>
      <c r="AT32" s="667"/>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row>
    <row r="33" spans="1:80" ht="15" customHeight="1">
      <c r="A33" s="71"/>
      <c r="B33" s="537"/>
      <c r="C33" s="537"/>
      <c r="D33" s="538"/>
      <c r="E33" s="636"/>
      <c r="F33" s="635"/>
      <c r="G33" s="635"/>
      <c r="H33" s="635"/>
      <c r="I33" s="651"/>
      <c r="J33" s="55" t="e">
        <f>IF(AND(' RIESGOS DE GESTION'!#REF!="Media",' RIESGOS DE GESTION'!#REF!="Leve"),CONCATENATE("R8C",' RIESGOS DE GESTION'!#REF!),"")</f>
        <v>#REF!</v>
      </c>
      <c r="K33" s="56" t="e">
        <f>IF(AND(' RIESGOS DE GESTION'!#REF!="Media",' RIESGOS DE GESTION'!#REF!="Leve"),CONCATENATE("R8C",' RIESGOS DE GESTION'!#REF!),"")</f>
        <v>#REF!</v>
      </c>
      <c r="L33" s="56" t="e">
        <f>IF(AND(' RIESGOS DE GESTION'!#REF!="Media",' RIESGOS DE GESTION'!#REF!="Leve"),CONCATENATE("R8C",' RIESGOS DE GESTION'!#REF!),"")</f>
        <v>#REF!</v>
      </c>
      <c r="M33" s="56" t="e">
        <f>IF(AND(' RIESGOS DE GESTION'!#REF!="Media",' RIESGOS DE GESTION'!#REF!="Leve"),CONCATENATE("R8C",' RIESGOS DE GESTION'!#REF!),"")</f>
        <v>#REF!</v>
      </c>
      <c r="N33" s="56" t="e">
        <f>IF(AND(' RIESGOS DE GESTION'!#REF!="Media",' RIESGOS DE GESTION'!#REF!="Leve"),CONCATENATE("R8C",' RIESGOS DE GESTION'!#REF!),"")</f>
        <v>#REF!</v>
      </c>
      <c r="O33" s="57" t="e">
        <f>IF(AND(' RIESGOS DE GESTION'!#REF!="Media",' RIESGOS DE GESTION'!#REF!="Leve"),CONCATENATE("R8C",' RIESGOS DE GESTION'!#REF!),"")</f>
        <v>#REF!</v>
      </c>
      <c r="P33" s="55" t="e">
        <f>IF(AND(' RIESGOS DE GESTION'!#REF!="Media",' RIESGOS DE GESTION'!#REF!="Menor"),CONCATENATE("R8C",' RIESGOS DE GESTION'!#REF!),"")</f>
        <v>#REF!</v>
      </c>
      <c r="Q33" s="56" t="e">
        <f>IF(AND(' RIESGOS DE GESTION'!#REF!="Media",' RIESGOS DE GESTION'!#REF!="Menor"),CONCATENATE("R8C",' RIESGOS DE GESTION'!#REF!),"")</f>
        <v>#REF!</v>
      </c>
      <c r="R33" s="56" t="e">
        <f>IF(AND(' RIESGOS DE GESTION'!#REF!="Media",' RIESGOS DE GESTION'!#REF!="Menor"),CONCATENATE("R8C",' RIESGOS DE GESTION'!#REF!),"")</f>
        <v>#REF!</v>
      </c>
      <c r="S33" s="56" t="e">
        <f>IF(AND(' RIESGOS DE GESTION'!#REF!="Media",' RIESGOS DE GESTION'!#REF!="Menor"),CONCATENATE("R8C",' RIESGOS DE GESTION'!#REF!),"")</f>
        <v>#REF!</v>
      </c>
      <c r="T33" s="56" t="e">
        <f>IF(AND(' RIESGOS DE GESTION'!#REF!="Media",' RIESGOS DE GESTION'!#REF!="Menor"),CONCATENATE("R8C",' RIESGOS DE GESTION'!#REF!),"")</f>
        <v>#REF!</v>
      </c>
      <c r="U33" s="57" t="e">
        <f>IF(AND(' RIESGOS DE GESTION'!#REF!="Media",' RIESGOS DE GESTION'!#REF!="Menor"),CONCATENATE("R8C",' RIESGOS DE GESTION'!#REF!),"")</f>
        <v>#REF!</v>
      </c>
      <c r="V33" s="55" t="e">
        <f>IF(AND(' RIESGOS DE GESTION'!#REF!="Media",' RIESGOS DE GESTION'!#REF!="Moderado"),CONCATENATE("R8C",' RIESGOS DE GESTION'!#REF!),"")</f>
        <v>#REF!</v>
      </c>
      <c r="W33" s="56" t="e">
        <f>IF(AND(' RIESGOS DE GESTION'!#REF!="Media",' RIESGOS DE GESTION'!#REF!="Moderado"),CONCATENATE("R8C",' RIESGOS DE GESTION'!#REF!),"")</f>
        <v>#REF!</v>
      </c>
      <c r="X33" s="56" t="e">
        <f>IF(AND(' RIESGOS DE GESTION'!#REF!="Media",' RIESGOS DE GESTION'!#REF!="Moderado"),CONCATENATE("R8C",' RIESGOS DE GESTION'!#REF!),"")</f>
        <v>#REF!</v>
      </c>
      <c r="Y33" s="56" t="e">
        <f>IF(AND(' RIESGOS DE GESTION'!#REF!="Media",' RIESGOS DE GESTION'!#REF!="Moderado"),CONCATENATE("R8C",' RIESGOS DE GESTION'!#REF!),"")</f>
        <v>#REF!</v>
      </c>
      <c r="Z33" s="56" t="e">
        <f>IF(AND(' RIESGOS DE GESTION'!#REF!="Media",' RIESGOS DE GESTION'!#REF!="Moderado"),CONCATENATE("R8C",' RIESGOS DE GESTION'!#REF!),"")</f>
        <v>#REF!</v>
      </c>
      <c r="AA33" s="57" t="e">
        <f>IF(AND(' RIESGOS DE GESTION'!#REF!="Media",' RIESGOS DE GESTION'!#REF!="Moderado"),CONCATENATE("R8C",' RIESGOS DE GESTION'!#REF!),"")</f>
        <v>#REF!</v>
      </c>
      <c r="AB33" s="40" t="e">
        <f>IF(AND(' RIESGOS DE GESTION'!#REF!="Media",' RIESGOS DE GESTION'!#REF!="Mayor"),CONCATENATE("R8C",' RIESGOS DE GESTION'!#REF!),"")</f>
        <v>#REF!</v>
      </c>
      <c r="AC33" s="41" t="e">
        <f>IF(AND(' RIESGOS DE GESTION'!#REF!="Media",' RIESGOS DE GESTION'!#REF!="Mayor"),CONCATENATE("R8C",' RIESGOS DE GESTION'!#REF!),"")</f>
        <v>#REF!</v>
      </c>
      <c r="AD33" s="41" t="e">
        <f>IF(AND(' RIESGOS DE GESTION'!#REF!="Media",' RIESGOS DE GESTION'!#REF!="Mayor"),CONCATENATE("R8C",' RIESGOS DE GESTION'!#REF!),"")</f>
        <v>#REF!</v>
      </c>
      <c r="AE33" s="41" t="e">
        <f>IF(AND(' RIESGOS DE GESTION'!#REF!="Media",' RIESGOS DE GESTION'!#REF!="Mayor"),CONCATENATE("R8C",' RIESGOS DE GESTION'!#REF!),"")</f>
        <v>#REF!</v>
      </c>
      <c r="AF33" s="41" t="e">
        <f>IF(AND(' RIESGOS DE GESTION'!#REF!="Media",' RIESGOS DE GESTION'!#REF!="Mayor"),CONCATENATE("R8C",' RIESGOS DE GESTION'!#REF!),"")</f>
        <v>#REF!</v>
      </c>
      <c r="AG33" s="42" t="e">
        <f>IF(AND(' RIESGOS DE GESTION'!#REF!="Media",' RIESGOS DE GESTION'!#REF!="Mayor"),CONCATENATE("R8C",' RIESGOS DE GESTION'!#REF!),"")</f>
        <v>#REF!</v>
      </c>
      <c r="AH33" s="43" t="e">
        <f>IF(AND(' RIESGOS DE GESTION'!#REF!="Media",' RIESGOS DE GESTION'!#REF!="Catastrófico"),CONCATENATE("R8C",' RIESGOS DE GESTION'!#REF!),"")</f>
        <v>#REF!</v>
      </c>
      <c r="AI33" s="44" t="e">
        <f>IF(AND(' RIESGOS DE GESTION'!#REF!="Media",' RIESGOS DE GESTION'!#REF!="Catastrófico"),CONCATENATE("R8C",' RIESGOS DE GESTION'!#REF!),"")</f>
        <v>#REF!</v>
      </c>
      <c r="AJ33" s="44" t="e">
        <f>IF(AND(' RIESGOS DE GESTION'!#REF!="Media",' RIESGOS DE GESTION'!#REF!="Catastrófico"),CONCATENATE("R8C",' RIESGOS DE GESTION'!#REF!),"")</f>
        <v>#REF!</v>
      </c>
      <c r="AK33" s="44" t="e">
        <f>IF(AND(' RIESGOS DE GESTION'!#REF!="Media",' RIESGOS DE GESTION'!#REF!="Catastrófico"),CONCATENATE("R8C",' RIESGOS DE GESTION'!#REF!),"")</f>
        <v>#REF!</v>
      </c>
      <c r="AL33" s="44" t="e">
        <f>IF(AND(' RIESGOS DE GESTION'!#REF!="Media",' RIESGOS DE GESTION'!#REF!="Catastrófico"),CONCATENATE("R8C",' RIESGOS DE GESTION'!#REF!),"")</f>
        <v>#REF!</v>
      </c>
      <c r="AM33" s="45" t="e">
        <f>IF(AND(' RIESGOS DE GESTION'!#REF!="Media",' RIESGOS DE GESTION'!#REF!="Catastrófico"),CONCATENATE("R8C",' RIESGOS DE GESTION'!#REF!),"")</f>
        <v>#REF!</v>
      </c>
      <c r="AN33" s="71"/>
      <c r="AO33" s="665"/>
      <c r="AP33" s="666"/>
      <c r="AQ33" s="666"/>
      <c r="AR33" s="666"/>
      <c r="AS33" s="666"/>
      <c r="AT33" s="667"/>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row>
    <row r="34" spans="1:80" ht="15" customHeight="1">
      <c r="A34" s="71"/>
      <c r="B34" s="537"/>
      <c r="C34" s="537"/>
      <c r="D34" s="538"/>
      <c r="E34" s="636"/>
      <c r="F34" s="635"/>
      <c r="G34" s="635"/>
      <c r="H34" s="635"/>
      <c r="I34" s="651"/>
      <c r="J34" s="55" t="e">
        <f>IF(AND(' RIESGOS DE GESTION'!#REF!="Media",' RIESGOS DE GESTION'!#REF!="Leve"),CONCATENATE("R9C",' RIESGOS DE GESTION'!#REF!),"")</f>
        <v>#REF!</v>
      </c>
      <c r="K34" s="56" t="e">
        <f>IF(AND(' RIESGOS DE GESTION'!#REF!="Media",' RIESGOS DE GESTION'!#REF!="Leve"),CONCATENATE("R9C",' RIESGOS DE GESTION'!#REF!),"")</f>
        <v>#REF!</v>
      </c>
      <c r="L34" s="56" t="e">
        <f>IF(AND(' RIESGOS DE GESTION'!#REF!="Media",' RIESGOS DE GESTION'!#REF!="Leve"),CONCATENATE("R9C",' RIESGOS DE GESTION'!#REF!),"")</f>
        <v>#REF!</v>
      </c>
      <c r="M34" s="56" t="e">
        <f>IF(AND(' RIESGOS DE GESTION'!#REF!="Media",' RIESGOS DE GESTION'!#REF!="Leve"),CONCATENATE("R9C",' RIESGOS DE GESTION'!#REF!),"")</f>
        <v>#REF!</v>
      </c>
      <c r="N34" s="56" t="e">
        <f>IF(AND(' RIESGOS DE GESTION'!#REF!="Media",' RIESGOS DE GESTION'!#REF!="Leve"),CONCATENATE("R9C",' RIESGOS DE GESTION'!#REF!),"")</f>
        <v>#REF!</v>
      </c>
      <c r="O34" s="57" t="e">
        <f>IF(AND(' RIESGOS DE GESTION'!#REF!="Media",' RIESGOS DE GESTION'!#REF!="Leve"),CONCATENATE("R9C",' RIESGOS DE GESTION'!#REF!),"")</f>
        <v>#REF!</v>
      </c>
      <c r="P34" s="55" t="e">
        <f>IF(AND(' RIESGOS DE GESTION'!#REF!="Media",' RIESGOS DE GESTION'!#REF!="Menor"),CONCATENATE("R9C",' RIESGOS DE GESTION'!#REF!),"")</f>
        <v>#REF!</v>
      </c>
      <c r="Q34" s="56" t="e">
        <f>IF(AND(' RIESGOS DE GESTION'!#REF!="Media",' RIESGOS DE GESTION'!#REF!="Menor"),CONCATENATE("R9C",' RIESGOS DE GESTION'!#REF!),"")</f>
        <v>#REF!</v>
      </c>
      <c r="R34" s="56" t="e">
        <f>IF(AND(' RIESGOS DE GESTION'!#REF!="Media",' RIESGOS DE GESTION'!#REF!="Menor"),CONCATENATE("R9C",' RIESGOS DE GESTION'!#REF!),"")</f>
        <v>#REF!</v>
      </c>
      <c r="S34" s="56" t="e">
        <f>IF(AND(' RIESGOS DE GESTION'!#REF!="Media",' RIESGOS DE GESTION'!#REF!="Menor"),CONCATENATE("R9C",' RIESGOS DE GESTION'!#REF!),"")</f>
        <v>#REF!</v>
      </c>
      <c r="T34" s="56" t="e">
        <f>IF(AND(' RIESGOS DE GESTION'!#REF!="Media",' RIESGOS DE GESTION'!#REF!="Menor"),CONCATENATE("R9C",' RIESGOS DE GESTION'!#REF!),"")</f>
        <v>#REF!</v>
      </c>
      <c r="U34" s="57" t="e">
        <f>IF(AND(' RIESGOS DE GESTION'!#REF!="Media",' RIESGOS DE GESTION'!#REF!="Menor"),CONCATENATE("R9C",' RIESGOS DE GESTION'!#REF!),"")</f>
        <v>#REF!</v>
      </c>
      <c r="V34" s="55" t="e">
        <f>IF(AND(' RIESGOS DE GESTION'!#REF!="Media",' RIESGOS DE GESTION'!#REF!="Moderado"),CONCATENATE("R9C",' RIESGOS DE GESTION'!#REF!),"")</f>
        <v>#REF!</v>
      </c>
      <c r="W34" s="56" t="e">
        <f>IF(AND(' RIESGOS DE GESTION'!#REF!="Media",' RIESGOS DE GESTION'!#REF!="Moderado"),CONCATENATE("R9C",' RIESGOS DE GESTION'!#REF!),"")</f>
        <v>#REF!</v>
      </c>
      <c r="X34" s="56" t="e">
        <f>IF(AND(' RIESGOS DE GESTION'!#REF!="Media",' RIESGOS DE GESTION'!#REF!="Moderado"),CONCATENATE("R9C",' RIESGOS DE GESTION'!#REF!),"")</f>
        <v>#REF!</v>
      </c>
      <c r="Y34" s="56" t="e">
        <f>IF(AND(' RIESGOS DE GESTION'!#REF!="Media",' RIESGOS DE GESTION'!#REF!="Moderado"),CONCATENATE("R9C",' RIESGOS DE GESTION'!#REF!),"")</f>
        <v>#REF!</v>
      </c>
      <c r="Z34" s="56" t="e">
        <f>IF(AND(' RIESGOS DE GESTION'!#REF!="Media",' RIESGOS DE GESTION'!#REF!="Moderado"),CONCATENATE("R9C",' RIESGOS DE GESTION'!#REF!),"")</f>
        <v>#REF!</v>
      </c>
      <c r="AA34" s="57" t="e">
        <f>IF(AND(' RIESGOS DE GESTION'!#REF!="Media",' RIESGOS DE GESTION'!#REF!="Moderado"),CONCATENATE("R9C",' RIESGOS DE GESTION'!#REF!),"")</f>
        <v>#REF!</v>
      </c>
      <c r="AB34" s="40" t="e">
        <f>IF(AND(' RIESGOS DE GESTION'!#REF!="Media",' RIESGOS DE GESTION'!#REF!="Mayor"),CONCATENATE("R9C",' RIESGOS DE GESTION'!#REF!),"")</f>
        <v>#REF!</v>
      </c>
      <c r="AC34" s="41" t="e">
        <f>IF(AND(' RIESGOS DE GESTION'!#REF!="Media",' RIESGOS DE GESTION'!#REF!="Mayor"),CONCATENATE("R9C",' RIESGOS DE GESTION'!#REF!),"")</f>
        <v>#REF!</v>
      </c>
      <c r="AD34" s="41" t="e">
        <f>IF(AND(' RIESGOS DE GESTION'!#REF!="Media",' RIESGOS DE GESTION'!#REF!="Mayor"),CONCATENATE("R9C",' RIESGOS DE GESTION'!#REF!),"")</f>
        <v>#REF!</v>
      </c>
      <c r="AE34" s="41" t="e">
        <f>IF(AND(' RIESGOS DE GESTION'!#REF!="Media",' RIESGOS DE GESTION'!#REF!="Mayor"),CONCATENATE("R9C",' RIESGOS DE GESTION'!#REF!),"")</f>
        <v>#REF!</v>
      </c>
      <c r="AF34" s="41" t="e">
        <f>IF(AND(' RIESGOS DE GESTION'!#REF!="Media",' RIESGOS DE GESTION'!#REF!="Mayor"),CONCATENATE("R9C",' RIESGOS DE GESTION'!#REF!),"")</f>
        <v>#REF!</v>
      </c>
      <c r="AG34" s="42" t="e">
        <f>IF(AND(' RIESGOS DE GESTION'!#REF!="Media",' RIESGOS DE GESTION'!#REF!="Mayor"),CONCATENATE("R9C",' RIESGOS DE GESTION'!#REF!),"")</f>
        <v>#REF!</v>
      </c>
      <c r="AH34" s="43" t="e">
        <f>IF(AND(' RIESGOS DE GESTION'!#REF!="Media",' RIESGOS DE GESTION'!#REF!="Catastrófico"),CONCATENATE("R9C",' RIESGOS DE GESTION'!#REF!),"")</f>
        <v>#REF!</v>
      </c>
      <c r="AI34" s="44" t="e">
        <f>IF(AND(' RIESGOS DE GESTION'!#REF!="Media",' RIESGOS DE GESTION'!#REF!="Catastrófico"),CONCATENATE("R9C",' RIESGOS DE GESTION'!#REF!),"")</f>
        <v>#REF!</v>
      </c>
      <c r="AJ34" s="44" t="e">
        <f>IF(AND(' RIESGOS DE GESTION'!#REF!="Media",' RIESGOS DE GESTION'!#REF!="Catastrófico"),CONCATENATE("R9C",' RIESGOS DE GESTION'!#REF!),"")</f>
        <v>#REF!</v>
      </c>
      <c r="AK34" s="44" t="e">
        <f>IF(AND(' RIESGOS DE GESTION'!#REF!="Media",' RIESGOS DE GESTION'!#REF!="Catastrófico"),CONCATENATE("R9C",' RIESGOS DE GESTION'!#REF!),"")</f>
        <v>#REF!</v>
      </c>
      <c r="AL34" s="44" t="e">
        <f>IF(AND(' RIESGOS DE GESTION'!#REF!="Media",' RIESGOS DE GESTION'!#REF!="Catastrófico"),CONCATENATE("R9C",' RIESGOS DE GESTION'!#REF!),"")</f>
        <v>#REF!</v>
      </c>
      <c r="AM34" s="45" t="e">
        <f>IF(AND(' RIESGOS DE GESTION'!#REF!="Media",' RIESGOS DE GESTION'!#REF!="Catastrófico"),CONCATENATE("R9C",' RIESGOS DE GESTION'!#REF!),"")</f>
        <v>#REF!</v>
      </c>
      <c r="AN34" s="71"/>
      <c r="AO34" s="665"/>
      <c r="AP34" s="666"/>
      <c r="AQ34" s="666"/>
      <c r="AR34" s="666"/>
      <c r="AS34" s="666"/>
      <c r="AT34" s="667"/>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row>
    <row r="35" spans="1:80" ht="15.75" customHeight="1" thickBot="1">
      <c r="A35" s="71"/>
      <c r="B35" s="537"/>
      <c r="C35" s="537"/>
      <c r="D35" s="538"/>
      <c r="E35" s="637"/>
      <c r="F35" s="638"/>
      <c r="G35" s="638"/>
      <c r="H35" s="638"/>
      <c r="I35" s="652"/>
      <c r="J35" s="55" t="e">
        <f>IF(AND(' RIESGOS DE GESTION'!#REF!="Media",' RIESGOS DE GESTION'!#REF!="Leve"),CONCATENATE("R10C",' RIESGOS DE GESTION'!#REF!),"")</f>
        <v>#REF!</v>
      </c>
      <c r="K35" s="56" t="e">
        <f>IF(AND(' RIESGOS DE GESTION'!#REF!="Media",' RIESGOS DE GESTION'!#REF!="Leve"),CONCATENATE("R10C",' RIESGOS DE GESTION'!#REF!),"")</f>
        <v>#REF!</v>
      </c>
      <c r="L35" s="56" t="e">
        <f>IF(AND(' RIESGOS DE GESTION'!#REF!="Media",' RIESGOS DE GESTION'!#REF!="Leve"),CONCATENATE("R10C",' RIESGOS DE GESTION'!#REF!),"")</f>
        <v>#REF!</v>
      </c>
      <c r="M35" s="56" t="e">
        <f>IF(AND(' RIESGOS DE GESTION'!#REF!="Media",' RIESGOS DE GESTION'!#REF!="Leve"),CONCATENATE("R10C",' RIESGOS DE GESTION'!#REF!),"")</f>
        <v>#REF!</v>
      </c>
      <c r="N35" s="56" t="e">
        <f>IF(AND(' RIESGOS DE GESTION'!#REF!="Media",' RIESGOS DE GESTION'!#REF!="Leve"),CONCATENATE("R10C",' RIESGOS DE GESTION'!#REF!),"")</f>
        <v>#REF!</v>
      </c>
      <c r="O35" s="57" t="e">
        <f>IF(AND(' RIESGOS DE GESTION'!#REF!="Media",' RIESGOS DE GESTION'!#REF!="Leve"),CONCATENATE("R10C",' RIESGOS DE GESTION'!#REF!),"")</f>
        <v>#REF!</v>
      </c>
      <c r="P35" s="55" t="e">
        <f>IF(AND(' RIESGOS DE GESTION'!#REF!="Media",' RIESGOS DE GESTION'!#REF!="Menor"),CONCATENATE("R10C",' RIESGOS DE GESTION'!#REF!),"")</f>
        <v>#REF!</v>
      </c>
      <c r="Q35" s="56" t="e">
        <f>IF(AND(' RIESGOS DE GESTION'!#REF!="Media",' RIESGOS DE GESTION'!#REF!="Menor"),CONCATENATE("R10C",' RIESGOS DE GESTION'!#REF!),"")</f>
        <v>#REF!</v>
      </c>
      <c r="R35" s="56" t="e">
        <f>IF(AND(' RIESGOS DE GESTION'!#REF!="Media",' RIESGOS DE GESTION'!#REF!="Menor"),CONCATENATE("R10C",' RIESGOS DE GESTION'!#REF!),"")</f>
        <v>#REF!</v>
      </c>
      <c r="S35" s="56" t="e">
        <f>IF(AND(' RIESGOS DE GESTION'!#REF!="Media",' RIESGOS DE GESTION'!#REF!="Menor"),CONCATENATE("R10C",' RIESGOS DE GESTION'!#REF!),"")</f>
        <v>#REF!</v>
      </c>
      <c r="T35" s="56" t="e">
        <f>IF(AND(' RIESGOS DE GESTION'!#REF!="Media",' RIESGOS DE GESTION'!#REF!="Menor"),CONCATENATE("R10C",' RIESGOS DE GESTION'!#REF!),"")</f>
        <v>#REF!</v>
      </c>
      <c r="U35" s="57" t="e">
        <f>IF(AND(' RIESGOS DE GESTION'!#REF!="Media",' RIESGOS DE GESTION'!#REF!="Menor"),CONCATENATE("R10C",' RIESGOS DE GESTION'!#REF!),"")</f>
        <v>#REF!</v>
      </c>
      <c r="V35" s="55" t="e">
        <f>IF(AND(' RIESGOS DE GESTION'!#REF!="Media",' RIESGOS DE GESTION'!#REF!="Moderado"),CONCATENATE("R10C",' RIESGOS DE GESTION'!#REF!),"")</f>
        <v>#REF!</v>
      </c>
      <c r="W35" s="56" t="e">
        <f>IF(AND(' RIESGOS DE GESTION'!#REF!="Media",' RIESGOS DE GESTION'!#REF!="Moderado"),CONCATENATE("R10C",' RIESGOS DE GESTION'!#REF!),"")</f>
        <v>#REF!</v>
      </c>
      <c r="X35" s="56" t="e">
        <f>IF(AND(' RIESGOS DE GESTION'!#REF!="Media",' RIESGOS DE GESTION'!#REF!="Moderado"),CONCATENATE("R10C",' RIESGOS DE GESTION'!#REF!),"")</f>
        <v>#REF!</v>
      </c>
      <c r="Y35" s="56" t="e">
        <f>IF(AND(' RIESGOS DE GESTION'!#REF!="Media",' RIESGOS DE GESTION'!#REF!="Moderado"),CONCATENATE("R10C",' RIESGOS DE GESTION'!#REF!),"")</f>
        <v>#REF!</v>
      </c>
      <c r="Z35" s="56" t="e">
        <f>IF(AND(' RIESGOS DE GESTION'!#REF!="Media",' RIESGOS DE GESTION'!#REF!="Moderado"),CONCATENATE("R10C",' RIESGOS DE GESTION'!#REF!),"")</f>
        <v>#REF!</v>
      </c>
      <c r="AA35" s="57" t="e">
        <f>IF(AND(' RIESGOS DE GESTION'!#REF!="Media",' RIESGOS DE GESTION'!#REF!="Moderado"),CONCATENATE("R10C",' RIESGOS DE GESTION'!#REF!),"")</f>
        <v>#REF!</v>
      </c>
      <c r="AB35" s="46" t="e">
        <f>IF(AND(' RIESGOS DE GESTION'!#REF!="Media",' RIESGOS DE GESTION'!#REF!="Mayor"),CONCATENATE("R10C",' RIESGOS DE GESTION'!#REF!),"")</f>
        <v>#REF!</v>
      </c>
      <c r="AC35" s="47" t="e">
        <f>IF(AND(' RIESGOS DE GESTION'!#REF!="Media",' RIESGOS DE GESTION'!#REF!="Mayor"),CONCATENATE("R10C",' RIESGOS DE GESTION'!#REF!),"")</f>
        <v>#REF!</v>
      </c>
      <c r="AD35" s="47" t="e">
        <f>IF(AND(' RIESGOS DE GESTION'!#REF!="Media",' RIESGOS DE GESTION'!#REF!="Mayor"),CONCATENATE("R10C",' RIESGOS DE GESTION'!#REF!),"")</f>
        <v>#REF!</v>
      </c>
      <c r="AE35" s="47" t="e">
        <f>IF(AND(' RIESGOS DE GESTION'!#REF!="Media",' RIESGOS DE GESTION'!#REF!="Mayor"),CONCATENATE("R10C",' RIESGOS DE GESTION'!#REF!),"")</f>
        <v>#REF!</v>
      </c>
      <c r="AF35" s="47" t="e">
        <f>IF(AND(' RIESGOS DE GESTION'!#REF!="Media",' RIESGOS DE GESTION'!#REF!="Mayor"),CONCATENATE("R10C",' RIESGOS DE GESTION'!#REF!),"")</f>
        <v>#REF!</v>
      </c>
      <c r="AG35" s="48" t="e">
        <f>IF(AND(' RIESGOS DE GESTION'!#REF!="Media",' RIESGOS DE GESTION'!#REF!="Mayor"),CONCATENATE("R10C",' RIESGOS DE GESTION'!#REF!),"")</f>
        <v>#REF!</v>
      </c>
      <c r="AH35" s="49" t="e">
        <f>IF(AND(' RIESGOS DE GESTION'!#REF!="Media",' RIESGOS DE GESTION'!#REF!="Catastrófico"),CONCATENATE("R10C",' RIESGOS DE GESTION'!#REF!),"")</f>
        <v>#REF!</v>
      </c>
      <c r="AI35" s="50" t="e">
        <f>IF(AND(' RIESGOS DE GESTION'!#REF!="Media",' RIESGOS DE GESTION'!#REF!="Catastrófico"),CONCATENATE("R10C",' RIESGOS DE GESTION'!#REF!),"")</f>
        <v>#REF!</v>
      </c>
      <c r="AJ35" s="50" t="e">
        <f>IF(AND(' RIESGOS DE GESTION'!#REF!="Media",' RIESGOS DE GESTION'!#REF!="Catastrófico"),CONCATENATE("R10C",' RIESGOS DE GESTION'!#REF!),"")</f>
        <v>#REF!</v>
      </c>
      <c r="AK35" s="50" t="e">
        <f>IF(AND(' RIESGOS DE GESTION'!#REF!="Media",' RIESGOS DE GESTION'!#REF!="Catastrófico"),CONCATENATE("R10C",' RIESGOS DE GESTION'!#REF!),"")</f>
        <v>#REF!</v>
      </c>
      <c r="AL35" s="50" t="e">
        <f>IF(AND(' RIESGOS DE GESTION'!#REF!="Media",' RIESGOS DE GESTION'!#REF!="Catastrófico"),CONCATENATE("R10C",' RIESGOS DE GESTION'!#REF!),"")</f>
        <v>#REF!</v>
      </c>
      <c r="AM35" s="51" t="e">
        <f>IF(AND(' RIESGOS DE GESTION'!#REF!="Media",' RIESGOS DE GESTION'!#REF!="Catastrófico"),CONCATENATE("R10C",' RIESGOS DE GESTION'!#REF!),"")</f>
        <v>#REF!</v>
      </c>
      <c r="AN35" s="71"/>
      <c r="AO35" s="668"/>
      <c r="AP35" s="669"/>
      <c r="AQ35" s="669"/>
      <c r="AR35" s="669"/>
      <c r="AS35" s="669"/>
      <c r="AT35" s="670"/>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row>
    <row r="36" spans="1:80" ht="15" customHeight="1">
      <c r="A36" s="71"/>
      <c r="B36" s="537"/>
      <c r="C36" s="537"/>
      <c r="D36" s="538"/>
      <c r="E36" s="632" t="s">
        <v>569</v>
      </c>
      <c r="F36" s="633"/>
      <c r="G36" s="633"/>
      <c r="H36" s="633"/>
      <c r="I36" s="633"/>
      <c r="J36" s="61" t="e">
        <f>IF(AND(' RIESGOS DE GESTION'!#REF!="Baja",' RIESGOS DE GESTION'!#REF!="Leve"),CONCATENATE("R1C",' RIESGOS DE GESTION'!#REF!),"")</f>
        <v>#REF!</v>
      </c>
      <c r="K36" s="62" t="e">
        <f>IF(AND(' RIESGOS DE GESTION'!#REF!="Baja",' RIESGOS DE GESTION'!#REF!="Leve"),CONCATENATE("R1C",' RIESGOS DE GESTION'!#REF!),"")</f>
        <v>#REF!</v>
      </c>
      <c r="L36" s="62" t="e">
        <f>IF(AND(' RIESGOS DE GESTION'!#REF!="Baja",' RIESGOS DE GESTION'!#REF!="Leve"),CONCATENATE("R1C",' RIESGOS DE GESTION'!#REF!),"")</f>
        <v>#REF!</v>
      </c>
      <c r="M36" s="62" t="e">
        <f>IF(AND(' RIESGOS DE GESTION'!#REF!="Baja",' RIESGOS DE GESTION'!#REF!="Leve"),CONCATENATE("R1C",' RIESGOS DE GESTION'!#REF!),"")</f>
        <v>#REF!</v>
      </c>
      <c r="N36" s="62" t="e">
        <f>IF(AND(' RIESGOS DE GESTION'!#REF!="Baja",' RIESGOS DE GESTION'!#REF!="Leve"),CONCATENATE("R1C",' RIESGOS DE GESTION'!#REF!),"")</f>
        <v>#REF!</v>
      </c>
      <c r="O36" s="63" t="e">
        <f>IF(AND(' RIESGOS DE GESTION'!#REF!="Baja",' RIESGOS DE GESTION'!#REF!="Leve"),CONCATENATE("R1C",' RIESGOS DE GESTION'!#REF!),"")</f>
        <v>#REF!</v>
      </c>
      <c r="P36" s="52" t="e">
        <f>IF(AND(' RIESGOS DE GESTION'!#REF!="Baja",' RIESGOS DE GESTION'!#REF!="Menor"),CONCATENATE("R1C",' RIESGOS DE GESTION'!#REF!),"")</f>
        <v>#REF!</v>
      </c>
      <c r="Q36" s="53" t="e">
        <f>IF(AND(' RIESGOS DE GESTION'!#REF!="Baja",' RIESGOS DE GESTION'!#REF!="Menor"),CONCATENATE("R1C",' RIESGOS DE GESTION'!#REF!),"")</f>
        <v>#REF!</v>
      </c>
      <c r="R36" s="53" t="e">
        <f>IF(AND(' RIESGOS DE GESTION'!#REF!="Baja",' RIESGOS DE GESTION'!#REF!="Menor"),CONCATENATE("R1C",' RIESGOS DE GESTION'!#REF!),"")</f>
        <v>#REF!</v>
      </c>
      <c r="S36" s="53" t="e">
        <f>IF(AND(' RIESGOS DE GESTION'!#REF!="Baja",' RIESGOS DE GESTION'!#REF!="Menor"),CONCATENATE("R1C",' RIESGOS DE GESTION'!#REF!),"")</f>
        <v>#REF!</v>
      </c>
      <c r="T36" s="53" t="e">
        <f>IF(AND(' RIESGOS DE GESTION'!#REF!="Baja",' RIESGOS DE GESTION'!#REF!="Menor"),CONCATENATE("R1C",' RIESGOS DE GESTION'!#REF!),"")</f>
        <v>#REF!</v>
      </c>
      <c r="U36" s="54" t="e">
        <f>IF(AND(' RIESGOS DE GESTION'!#REF!="Baja",' RIESGOS DE GESTION'!#REF!="Menor"),CONCATENATE("R1C",' RIESGOS DE GESTION'!#REF!),"")</f>
        <v>#REF!</v>
      </c>
      <c r="V36" s="52" t="e">
        <f>IF(AND(' RIESGOS DE GESTION'!#REF!="Baja",' RIESGOS DE GESTION'!#REF!="Moderado"),CONCATENATE("R1C",' RIESGOS DE GESTION'!#REF!),"")</f>
        <v>#REF!</v>
      </c>
      <c r="W36" s="53" t="e">
        <f>IF(AND(' RIESGOS DE GESTION'!#REF!="Baja",' RIESGOS DE GESTION'!#REF!="Moderado"),CONCATENATE("R1C",' RIESGOS DE GESTION'!#REF!),"")</f>
        <v>#REF!</v>
      </c>
      <c r="X36" s="53" t="e">
        <f>IF(AND(' RIESGOS DE GESTION'!#REF!="Baja",' RIESGOS DE GESTION'!#REF!="Moderado"),CONCATENATE("R1C",' RIESGOS DE GESTION'!#REF!),"")</f>
        <v>#REF!</v>
      </c>
      <c r="Y36" s="53" t="e">
        <f>IF(AND(' RIESGOS DE GESTION'!#REF!="Baja",' RIESGOS DE GESTION'!#REF!="Moderado"),CONCATENATE("R1C",' RIESGOS DE GESTION'!#REF!),"")</f>
        <v>#REF!</v>
      </c>
      <c r="Z36" s="53" t="e">
        <f>IF(AND(' RIESGOS DE GESTION'!#REF!="Baja",' RIESGOS DE GESTION'!#REF!="Moderado"),CONCATENATE("R1C",' RIESGOS DE GESTION'!#REF!),"")</f>
        <v>#REF!</v>
      </c>
      <c r="AA36" s="54" t="e">
        <f>IF(AND(' RIESGOS DE GESTION'!#REF!="Baja",' RIESGOS DE GESTION'!#REF!="Moderado"),CONCATENATE("R1C",' RIESGOS DE GESTION'!#REF!),"")</f>
        <v>#REF!</v>
      </c>
      <c r="AB36" s="34" t="e">
        <f>IF(AND(' RIESGOS DE GESTION'!#REF!="Baja",' RIESGOS DE GESTION'!#REF!="Mayor"),CONCATENATE("R1C",' RIESGOS DE GESTION'!#REF!),"")</f>
        <v>#REF!</v>
      </c>
      <c r="AC36" s="35" t="e">
        <f>IF(AND(' RIESGOS DE GESTION'!#REF!="Baja",' RIESGOS DE GESTION'!#REF!="Mayor"),CONCATENATE("R1C",' RIESGOS DE GESTION'!#REF!),"")</f>
        <v>#REF!</v>
      </c>
      <c r="AD36" s="35" t="e">
        <f>IF(AND(' RIESGOS DE GESTION'!#REF!="Baja",' RIESGOS DE GESTION'!#REF!="Mayor"),CONCATENATE("R1C",' RIESGOS DE GESTION'!#REF!),"")</f>
        <v>#REF!</v>
      </c>
      <c r="AE36" s="35" t="e">
        <f>IF(AND(' RIESGOS DE GESTION'!#REF!="Baja",' RIESGOS DE GESTION'!#REF!="Mayor"),CONCATENATE("R1C",' RIESGOS DE GESTION'!#REF!),"")</f>
        <v>#REF!</v>
      </c>
      <c r="AF36" s="35" t="e">
        <f>IF(AND(' RIESGOS DE GESTION'!#REF!="Baja",' RIESGOS DE GESTION'!#REF!="Mayor"),CONCATENATE("R1C",' RIESGOS DE GESTION'!#REF!),"")</f>
        <v>#REF!</v>
      </c>
      <c r="AG36" s="36" t="e">
        <f>IF(AND(' RIESGOS DE GESTION'!#REF!="Baja",' RIESGOS DE GESTION'!#REF!="Mayor"),CONCATENATE("R1C",' RIESGOS DE GESTION'!#REF!),"")</f>
        <v>#REF!</v>
      </c>
      <c r="AH36" s="37" t="e">
        <f>IF(AND(' RIESGOS DE GESTION'!#REF!="Baja",' RIESGOS DE GESTION'!#REF!="Catastrófico"),CONCATENATE("R1C",' RIESGOS DE GESTION'!#REF!),"")</f>
        <v>#REF!</v>
      </c>
      <c r="AI36" s="38" t="e">
        <f>IF(AND(' RIESGOS DE GESTION'!#REF!="Baja",' RIESGOS DE GESTION'!#REF!="Catastrófico"),CONCATENATE("R1C",' RIESGOS DE GESTION'!#REF!),"")</f>
        <v>#REF!</v>
      </c>
      <c r="AJ36" s="38" t="e">
        <f>IF(AND(' RIESGOS DE GESTION'!#REF!="Baja",' RIESGOS DE GESTION'!#REF!="Catastrófico"),CONCATENATE("R1C",' RIESGOS DE GESTION'!#REF!),"")</f>
        <v>#REF!</v>
      </c>
      <c r="AK36" s="38" t="e">
        <f>IF(AND(' RIESGOS DE GESTION'!#REF!="Baja",' RIESGOS DE GESTION'!#REF!="Catastrófico"),CONCATENATE("R1C",' RIESGOS DE GESTION'!#REF!),"")</f>
        <v>#REF!</v>
      </c>
      <c r="AL36" s="38" t="e">
        <f>IF(AND(' RIESGOS DE GESTION'!#REF!="Baja",' RIESGOS DE GESTION'!#REF!="Catastrófico"),CONCATENATE("R1C",' RIESGOS DE GESTION'!#REF!),"")</f>
        <v>#REF!</v>
      </c>
      <c r="AM36" s="39" t="e">
        <f>IF(AND(' RIESGOS DE GESTION'!#REF!="Baja",' RIESGOS DE GESTION'!#REF!="Catastrófico"),CONCATENATE("R1C",' RIESGOS DE GESTION'!#REF!),"")</f>
        <v>#REF!</v>
      </c>
      <c r="AN36" s="71"/>
      <c r="AO36" s="653" t="s">
        <v>570</v>
      </c>
      <c r="AP36" s="654"/>
      <c r="AQ36" s="654"/>
      <c r="AR36" s="654"/>
      <c r="AS36" s="654"/>
      <c r="AT36" s="655"/>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row>
    <row r="37" spans="1:80" ht="15" customHeight="1">
      <c r="A37" s="71"/>
      <c r="B37" s="537"/>
      <c r="C37" s="537"/>
      <c r="D37" s="538"/>
      <c r="E37" s="634"/>
      <c r="F37" s="635"/>
      <c r="G37" s="635"/>
      <c r="H37" s="635"/>
      <c r="I37" s="635"/>
      <c r="J37" s="64" t="e">
        <f>IF(AND(' RIESGOS DE GESTION'!#REF!="Baja",' RIESGOS DE GESTION'!#REF!="Leve"),CONCATENATE("R2C",' RIESGOS DE GESTION'!#REF!),"")</f>
        <v>#REF!</v>
      </c>
      <c r="K37" s="65" t="e">
        <f>IF(AND(' RIESGOS DE GESTION'!#REF!="Baja",' RIESGOS DE GESTION'!#REF!="Leve"),CONCATENATE("R2C",' RIESGOS DE GESTION'!#REF!),"")</f>
        <v>#REF!</v>
      </c>
      <c r="L37" s="65" t="e">
        <f>IF(AND(' RIESGOS DE GESTION'!#REF!="Baja",' RIESGOS DE GESTION'!#REF!="Leve"),CONCATENATE("R2C",' RIESGOS DE GESTION'!#REF!),"")</f>
        <v>#REF!</v>
      </c>
      <c r="M37" s="65" t="e">
        <f>IF(AND(' RIESGOS DE GESTION'!#REF!="Baja",' RIESGOS DE GESTION'!#REF!="Leve"),CONCATENATE("R2C",' RIESGOS DE GESTION'!#REF!),"")</f>
        <v>#REF!</v>
      </c>
      <c r="N37" s="65" t="e">
        <f>IF(AND(' RIESGOS DE GESTION'!#REF!="Baja",' RIESGOS DE GESTION'!#REF!="Leve"),CONCATENATE("R2C",' RIESGOS DE GESTION'!#REF!),"")</f>
        <v>#REF!</v>
      </c>
      <c r="O37" s="66" t="e">
        <f>IF(AND(' RIESGOS DE GESTION'!#REF!="Baja",' RIESGOS DE GESTION'!#REF!="Leve"),CONCATENATE("R2C",' RIESGOS DE GESTION'!#REF!),"")</f>
        <v>#REF!</v>
      </c>
      <c r="P37" s="55" t="e">
        <f>IF(AND(' RIESGOS DE GESTION'!#REF!="Baja",' RIESGOS DE GESTION'!#REF!="Menor"),CONCATENATE("R2C",' RIESGOS DE GESTION'!#REF!),"")</f>
        <v>#REF!</v>
      </c>
      <c r="Q37" s="56" t="e">
        <f>IF(AND(' RIESGOS DE GESTION'!#REF!="Baja",' RIESGOS DE GESTION'!#REF!="Menor"),CONCATENATE("R2C",' RIESGOS DE GESTION'!#REF!),"")</f>
        <v>#REF!</v>
      </c>
      <c r="R37" s="56" t="e">
        <f>IF(AND(' RIESGOS DE GESTION'!#REF!="Baja",' RIESGOS DE GESTION'!#REF!="Menor"),CONCATENATE("R2C",' RIESGOS DE GESTION'!#REF!),"")</f>
        <v>#REF!</v>
      </c>
      <c r="S37" s="56" t="e">
        <f>IF(AND(' RIESGOS DE GESTION'!#REF!="Baja",' RIESGOS DE GESTION'!#REF!="Menor"),CONCATENATE("R2C",' RIESGOS DE GESTION'!#REF!),"")</f>
        <v>#REF!</v>
      </c>
      <c r="T37" s="56" t="e">
        <f>IF(AND(' RIESGOS DE GESTION'!#REF!="Baja",' RIESGOS DE GESTION'!#REF!="Menor"),CONCATENATE("R2C",' RIESGOS DE GESTION'!#REF!),"")</f>
        <v>#REF!</v>
      </c>
      <c r="U37" s="57" t="e">
        <f>IF(AND(' RIESGOS DE GESTION'!#REF!="Baja",' RIESGOS DE GESTION'!#REF!="Menor"),CONCATENATE("R2C",' RIESGOS DE GESTION'!#REF!),"")</f>
        <v>#REF!</v>
      </c>
      <c r="V37" s="55" t="e">
        <f>IF(AND(' RIESGOS DE GESTION'!#REF!="Baja",' RIESGOS DE GESTION'!#REF!="Moderado"),CONCATENATE("R2C",' RIESGOS DE GESTION'!#REF!),"")</f>
        <v>#REF!</v>
      </c>
      <c r="W37" s="56" t="e">
        <f>IF(AND(' RIESGOS DE GESTION'!#REF!="Baja",' RIESGOS DE GESTION'!#REF!="Moderado"),CONCATENATE("R2C",' RIESGOS DE GESTION'!#REF!),"")</f>
        <v>#REF!</v>
      </c>
      <c r="X37" s="56" t="e">
        <f>IF(AND(' RIESGOS DE GESTION'!#REF!="Baja",' RIESGOS DE GESTION'!#REF!="Moderado"),CONCATENATE("R2C",' RIESGOS DE GESTION'!#REF!),"")</f>
        <v>#REF!</v>
      </c>
      <c r="Y37" s="56" t="e">
        <f>IF(AND(' RIESGOS DE GESTION'!#REF!="Baja",' RIESGOS DE GESTION'!#REF!="Moderado"),CONCATENATE("R2C",' RIESGOS DE GESTION'!#REF!),"")</f>
        <v>#REF!</v>
      </c>
      <c r="Z37" s="56" t="e">
        <f>IF(AND(' RIESGOS DE GESTION'!#REF!="Baja",' RIESGOS DE GESTION'!#REF!="Moderado"),CONCATENATE("R2C",' RIESGOS DE GESTION'!#REF!),"")</f>
        <v>#REF!</v>
      </c>
      <c r="AA37" s="57" t="e">
        <f>IF(AND(' RIESGOS DE GESTION'!#REF!="Baja",' RIESGOS DE GESTION'!#REF!="Moderado"),CONCATENATE("R2C",' RIESGOS DE GESTION'!#REF!),"")</f>
        <v>#REF!</v>
      </c>
      <c r="AB37" s="40" t="e">
        <f>IF(AND(' RIESGOS DE GESTION'!#REF!="Baja",' RIESGOS DE GESTION'!#REF!="Mayor"),CONCATENATE("R2C",' RIESGOS DE GESTION'!#REF!),"")</f>
        <v>#REF!</v>
      </c>
      <c r="AC37" s="41" t="e">
        <f>IF(AND(' RIESGOS DE GESTION'!#REF!="Baja",' RIESGOS DE GESTION'!#REF!="Mayor"),CONCATENATE("R2C",' RIESGOS DE GESTION'!#REF!),"")</f>
        <v>#REF!</v>
      </c>
      <c r="AD37" s="41" t="e">
        <f>IF(AND(' RIESGOS DE GESTION'!#REF!="Baja",' RIESGOS DE GESTION'!#REF!="Mayor"),CONCATENATE("R2C",' RIESGOS DE GESTION'!#REF!),"")</f>
        <v>#REF!</v>
      </c>
      <c r="AE37" s="41" t="e">
        <f>IF(AND(' RIESGOS DE GESTION'!#REF!="Baja",' RIESGOS DE GESTION'!#REF!="Mayor"),CONCATENATE("R2C",' RIESGOS DE GESTION'!#REF!),"")</f>
        <v>#REF!</v>
      </c>
      <c r="AF37" s="41" t="e">
        <f>IF(AND(' RIESGOS DE GESTION'!#REF!="Baja",' RIESGOS DE GESTION'!#REF!="Mayor"),CONCATENATE("R2C",' RIESGOS DE GESTION'!#REF!),"")</f>
        <v>#REF!</v>
      </c>
      <c r="AG37" s="42" t="e">
        <f>IF(AND(' RIESGOS DE GESTION'!#REF!="Baja",' RIESGOS DE GESTION'!#REF!="Mayor"),CONCATENATE("R2C",' RIESGOS DE GESTION'!#REF!),"")</f>
        <v>#REF!</v>
      </c>
      <c r="AH37" s="43" t="e">
        <f>IF(AND(' RIESGOS DE GESTION'!#REF!="Baja",' RIESGOS DE GESTION'!#REF!="Catastrófico"),CONCATENATE("R2C",' RIESGOS DE GESTION'!#REF!),"")</f>
        <v>#REF!</v>
      </c>
      <c r="AI37" s="44" t="e">
        <f>IF(AND(' RIESGOS DE GESTION'!#REF!="Baja",' RIESGOS DE GESTION'!#REF!="Catastrófico"),CONCATENATE("R2C",' RIESGOS DE GESTION'!#REF!),"")</f>
        <v>#REF!</v>
      </c>
      <c r="AJ37" s="44" t="e">
        <f>IF(AND(' RIESGOS DE GESTION'!#REF!="Baja",' RIESGOS DE GESTION'!#REF!="Catastrófico"),CONCATENATE("R2C",' RIESGOS DE GESTION'!#REF!),"")</f>
        <v>#REF!</v>
      </c>
      <c r="AK37" s="44" t="e">
        <f>IF(AND(' RIESGOS DE GESTION'!#REF!="Baja",' RIESGOS DE GESTION'!#REF!="Catastrófico"),CONCATENATE("R2C",' RIESGOS DE GESTION'!#REF!),"")</f>
        <v>#REF!</v>
      </c>
      <c r="AL37" s="44" t="e">
        <f>IF(AND(' RIESGOS DE GESTION'!#REF!="Baja",' RIESGOS DE GESTION'!#REF!="Catastrófico"),CONCATENATE("R2C",' RIESGOS DE GESTION'!#REF!),"")</f>
        <v>#REF!</v>
      </c>
      <c r="AM37" s="45" t="e">
        <f>IF(AND(' RIESGOS DE GESTION'!#REF!="Baja",' RIESGOS DE GESTION'!#REF!="Catastrófico"),CONCATENATE("R2C",' RIESGOS DE GESTION'!#REF!),"")</f>
        <v>#REF!</v>
      </c>
      <c r="AN37" s="71"/>
      <c r="AO37" s="656"/>
      <c r="AP37" s="657"/>
      <c r="AQ37" s="657"/>
      <c r="AR37" s="657"/>
      <c r="AS37" s="657"/>
      <c r="AT37" s="658"/>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row>
    <row r="38" spans="1:80" ht="15" customHeight="1">
      <c r="A38" s="71"/>
      <c r="B38" s="537"/>
      <c r="C38" s="537"/>
      <c r="D38" s="538"/>
      <c r="E38" s="636"/>
      <c r="F38" s="635"/>
      <c r="G38" s="635"/>
      <c r="H38" s="635"/>
      <c r="I38" s="635"/>
      <c r="J38" s="64" t="e">
        <f>IF(AND(' RIESGOS DE GESTION'!#REF!="Baja",' RIESGOS DE GESTION'!#REF!="Leve"),CONCATENATE("R3C",' RIESGOS DE GESTION'!#REF!),"")</f>
        <v>#REF!</v>
      </c>
      <c r="K38" s="65" t="e">
        <f>IF(AND(' RIESGOS DE GESTION'!#REF!="Baja",' RIESGOS DE GESTION'!#REF!="Leve"),CONCATENATE("R3C",' RIESGOS DE GESTION'!#REF!),"")</f>
        <v>#REF!</v>
      </c>
      <c r="L38" s="65" t="e">
        <f>IF(AND(' RIESGOS DE GESTION'!#REF!="Baja",' RIESGOS DE GESTION'!#REF!="Leve"),CONCATENATE("R3C",' RIESGOS DE GESTION'!#REF!),"")</f>
        <v>#REF!</v>
      </c>
      <c r="M38" s="65" t="e">
        <f>IF(AND(' RIESGOS DE GESTION'!#REF!="Baja",' RIESGOS DE GESTION'!#REF!="Leve"),CONCATENATE("R3C",' RIESGOS DE GESTION'!#REF!),"")</f>
        <v>#REF!</v>
      </c>
      <c r="N38" s="65" t="e">
        <f>IF(AND(' RIESGOS DE GESTION'!#REF!="Baja",' RIESGOS DE GESTION'!#REF!="Leve"),CONCATENATE("R3C",' RIESGOS DE GESTION'!#REF!),"")</f>
        <v>#REF!</v>
      </c>
      <c r="O38" s="66" t="e">
        <f>IF(AND(' RIESGOS DE GESTION'!#REF!="Baja",' RIESGOS DE GESTION'!#REF!="Leve"),CONCATENATE("R3C",' RIESGOS DE GESTION'!#REF!),"")</f>
        <v>#REF!</v>
      </c>
      <c r="P38" s="55" t="e">
        <f>IF(AND(' RIESGOS DE GESTION'!#REF!="Baja",' RIESGOS DE GESTION'!#REF!="Menor"),CONCATENATE("R3C",' RIESGOS DE GESTION'!#REF!),"")</f>
        <v>#REF!</v>
      </c>
      <c r="Q38" s="56" t="e">
        <f>IF(AND(' RIESGOS DE GESTION'!#REF!="Baja",' RIESGOS DE GESTION'!#REF!="Menor"),CONCATENATE("R3C",' RIESGOS DE GESTION'!#REF!),"")</f>
        <v>#REF!</v>
      </c>
      <c r="R38" s="56" t="e">
        <f>IF(AND(' RIESGOS DE GESTION'!#REF!="Baja",' RIESGOS DE GESTION'!#REF!="Menor"),CONCATENATE("R3C",' RIESGOS DE GESTION'!#REF!),"")</f>
        <v>#REF!</v>
      </c>
      <c r="S38" s="56" t="e">
        <f>IF(AND(' RIESGOS DE GESTION'!#REF!="Baja",' RIESGOS DE GESTION'!#REF!="Menor"),CONCATENATE("R3C",' RIESGOS DE GESTION'!#REF!),"")</f>
        <v>#REF!</v>
      </c>
      <c r="T38" s="56" t="e">
        <f>IF(AND(' RIESGOS DE GESTION'!#REF!="Baja",' RIESGOS DE GESTION'!#REF!="Menor"),CONCATENATE("R3C",' RIESGOS DE GESTION'!#REF!),"")</f>
        <v>#REF!</v>
      </c>
      <c r="U38" s="57" t="e">
        <f>IF(AND(' RIESGOS DE GESTION'!#REF!="Baja",' RIESGOS DE GESTION'!#REF!="Menor"),CONCATENATE("R3C",' RIESGOS DE GESTION'!#REF!),"")</f>
        <v>#REF!</v>
      </c>
      <c r="V38" s="55" t="e">
        <f>IF(AND(' RIESGOS DE GESTION'!#REF!="Baja",' RIESGOS DE GESTION'!#REF!="Moderado"),CONCATENATE("R3C",' RIESGOS DE GESTION'!#REF!),"")</f>
        <v>#REF!</v>
      </c>
      <c r="W38" s="56" t="e">
        <f>IF(AND(' RIESGOS DE GESTION'!#REF!="Baja",' RIESGOS DE GESTION'!#REF!="Moderado"),CONCATENATE("R3C",' RIESGOS DE GESTION'!#REF!),"")</f>
        <v>#REF!</v>
      </c>
      <c r="X38" s="56" t="e">
        <f>IF(AND(' RIESGOS DE GESTION'!#REF!="Baja",' RIESGOS DE GESTION'!#REF!="Moderado"),CONCATENATE("R3C",' RIESGOS DE GESTION'!#REF!),"")</f>
        <v>#REF!</v>
      </c>
      <c r="Y38" s="56" t="e">
        <f>IF(AND(' RIESGOS DE GESTION'!#REF!="Baja",' RIESGOS DE GESTION'!#REF!="Moderado"),CONCATENATE("R3C",' RIESGOS DE GESTION'!#REF!),"")</f>
        <v>#REF!</v>
      </c>
      <c r="Z38" s="56" t="e">
        <f>IF(AND(' RIESGOS DE GESTION'!#REF!="Baja",' RIESGOS DE GESTION'!#REF!="Moderado"),CONCATENATE("R3C",' RIESGOS DE GESTION'!#REF!),"")</f>
        <v>#REF!</v>
      </c>
      <c r="AA38" s="57" t="e">
        <f>IF(AND(' RIESGOS DE GESTION'!#REF!="Baja",' RIESGOS DE GESTION'!#REF!="Moderado"),CONCATENATE("R3C",' RIESGOS DE GESTION'!#REF!),"")</f>
        <v>#REF!</v>
      </c>
      <c r="AB38" s="40" t="e">
        <f>IF(AND(' RIESGOS DE GESTION'!#REF!="Baja",' RIESGOS DE GESTION'!#REF!="Mayor"),CONCATENATE("R3C",' RIESGOS DE GESTION'!#REF!),"")</f>
        <v>#REF!</v>
      </c>
      <c r="AC38" s="41" t="e">
        <f>IF(AND(' RIESGOS DE GESTION'!#REF!="Baja",' RIESGOS DE GESTION'!#REF!="Mayor"),CONCATENATE("R3C",' RIESGOS DE GESTION'!#REF!),"")</f>
        <v>#REF!</v>
      </c>
      <c r="AD38" s="41" t="e">
        <f>IF(AND(' RIESGOS DE GESTION'!#REF!="Baja",' RIESGOS DE GESTION'!#REF!="Mayor"),CONCATENATE("R3C",' RIESGOS DE GESTION'!#REF!),"")</f>
        <v>#REF!</v>
      </c>
      <c r="AE38" s="41" t="e">
        <f>IF(AND(' RIESGOS DE GESTION'!#REF!="Baja",' RIESGOS DE GESTION'!#REF!="Mayor"),CONCATENATE("R3C",' RIESGOS DE GESTION'!#REF!),"")</f>
        <v>#REF!</v>
      </c>
      <c r="AF38" s="41" t="e">
        <f>IF(AND(' RIESGOS DE GESTION'!#REF!="Baja",' RIESGOS DE GESTION'!#REF!="Mayor"),CONCATENATE("R3C",' RIESGOS DE GESTION'!#REF!),"")</f>
        <v>#REF!</v>
      </c>
      <c r="AG38" s="42" t="e">
        <f>IF(AND(' RIESGOS DE GESTION'!#REF!="Baja",' RIESGOS DE GESTION'!#REF!="Mayor"),CONCATENATE("R3C",' RIESGOS DE GESTION'!#REF!),"")</f>
        <v>#REF!</v>
      </c>
      <c r="AH38" s="43" t="e">
        <f>IF(AND(' RIESGOS DE GESTION'!#REF!="Baja",' RIESGOS DE GESTION'!#REF!="Catastrófico"),CONCATENATE("R3C",' RIESGOS DE GESTION'!#REF!),"")</f>
        <v>#REF!</v>
      </c>
      <c r="AI38" s="44" t="e">
        <f>IF(AND(' RIESGOS DE GESTION'!#REF!="Baja",' RIESGOS DE GESTION'!#REF!="Catastrófico"),CONCATENATE("R3C",' RIESGOS DE GESTION'!#REF!),"")</f>
        <v>#REF!</v>
      </c>
      <c r="AJ38" s="44" t="e">
        <f>IF(AND(' RIESGOS DE GESTION'!#REF!="Baja",' RIESGOS DE GESTION'!#REF!="Catastrófico"),CONCATENATE("R3C",' RIESGOS DE GESTION'!#REF!),"")</f>
        <v>#REF!</v>
      </c>
      <c r="AK38" s="44" t="e">
        <f>IF(AND(' RIESGOS DE GESTION'!#REF!="Baja",' RIESGOS DE GESTION'!#REF!="Catastrófico"),CONCATENATE("R3C",' RIESGOS DE GESTION'!#REF!),"")</f>
        <v>#REF!</v>
      </c>
      <c r="AL38" s="44" t="e">
        <f>IF(AND(' RIESGOS DE GESTION'!#REF!="Baja",' RIESGOS DE GESTION'!#REF!="Catastrófico"),CONCATENATE("R3C",' RIESGOS DE GESTION'!#REF!),"")</f>
        <v>#REF!</v>
      </c>
      <c r="AM38" s="45" t="e">
        <f>IF(AND(' RIESGOS DE GESTION'!#REF!="Baja",' RIESGOS DE GESTION'!#REF!="Catastrófico"),CONCATENATE("R3C",' RIESGOS DE GESTION'!#REF!),"")</f>
        <v>#REF!</v>
      </c>
      <c r="AN38" s="71"/>
      <c r="AO38" s="656"/>
      <c r="AP38" s="657"/>
      <c r="AQ38" s="657"/>
      <c r="AR38" s="657"/>
      <c r="AS38" s="657"/>
      <c r="AT38" s="658"/>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row>
    <row r="39" spans="1:80" ht="15" customHeight="1">
      <c r="A39" s="71"/>
      <c r="B39" s="537"/>
      <c r="C39" s="537"/>
      <c r="D39" s="538"/>
      <c r="E39" s="636"/>
      <c r="F39" s="635"/>
      <c r="G39" s="635"/>
      <c r="H39" s="635"/>
      <c r="I39" s="635"/>
      <c r="J39" s="64" t="e">
        <f>IF(AND(' RIESGOS DE GESTION'!#REF!="Baja",' RIESGOS DE GESTION'!#REF!="Leve"),CONCATENATE("R4C",' RIESGOS DE GESTION'!#REF!),"")</f>
        <v>#REF!</v>
      </c>
      <c r="K39" s="65" t="e">
        <f>IF(AND(' RIESGOS DE GESTION'!#REF!="Baja",' RIESGOS DE GESTION'!#REF!="Leve"),CONCATENATE("R4C",' RIESGOS DE GESTION'!#REF!),"")</f>
        <v>#REF!</v>
      </c>
      <c r="L39" s="65" t="e">
        <f>IF(AND(' RIESGOS DE GESTION'!#REF!="Baja",' RIESGOS DE GESTION'!#REF!="Leve"),CONCATENATE("R4C",' RIESGOS DE GESTION'!#REF!),"")</f>
        <v>#REF!</v>
      </c>
      <c r="M39" s="65" t="e">
        <f>IF(AND(' RIESGOS DE GESTION'!#REF!="Baja",' RIESGOS DE GESTION'!#REF!="Leve"),CONCATENATE("R4C",' RIESGOS DE GESTION'!#REF!),"")</f>
        <v>#REF!</v>
      </c>
      <c r="N39" s="65" t="e">
        <f>IF(AND(' RIESGOS DE GESTION'!#REF!="Baja",' RIESGOS DE GESTION'!#REF!="Leve"),CONCATENATE("R4C",' RIESGOS DE GESTION'!#REF!),"")</f>
        <v>#REF!</v>
      </c>
      <c r="O39" s="66" t="e">
        <f>IF(AND(' RIESGOS DE GESTION'!#REF!="Baja",' RIESGOS DE GESTION'!#REF!="Leve"),CONCATENATE("R4C",' RIESGOS DE GESTION'!#REF!),"")</f>
        <v>#REF!</v>
      </c>
      <c r="P39" s="55" t="e">
        <f>IF(AND(' RIESGOS DE GESTION'!#REF!="Baja",' RIESGOS DE GESTION'!#REF!="Menor"),CONCATENATE("R4C",' RIESGOS DE GESTION'!#REF!),"")</f>
        <v>#REF!</v>
      </c>
      <c r="Q39" s="56" t="e">
        <f>IF(AND(' RIESGOS DE GESTION'!#REF!="Baja",' RIESGOS DE GESTION'!#REF!="Menor"),CONCATENATE("R4C",' RIESGOS DE GESTION'!#REF!),"")</f>
        <v>#REF!</v>
      </c>
      <c r="R39" s="56" t="e">
        <f>IF(AND(' RIESGOS DE GESTION'!#REF!="Baja",' RIESGOS DE GESTION'!#REF!="Menor"),CONCATENATE("R4C",' RIESGOS DE GESTION'!#REF!),"")</f>
        <v>#REF!</v>
      </c>
      <c r="S39" s="56" t="e">
        <f>IF(AND(' RIESGOS DE GESTION'!#REF!="Baja",' RIESGOS DE GESTION'!#REF!="Menor"),CONCATENATE("R4C",' RIESGOS DE GESTION'!#REF!),"")</f>
        <v>#REF!</v>
      </c>
      <c r="T39" s="56" t="e">
        <f>IF(AND(' RIESGOS DE GESTION'!#REF!="Baja",' RIESGOS DE GESTION'!#REF!="Menor"),CONCATENATE("R4C",' RIESGOS DE GESTION'!#REF!),"")</f>
        <v>#REF!</v>
      </c>
      <c r="U39" s="57" t="e">
        <f>IF(AND(' RIESGOS DE GESTION'!#REF!="Baja",' RIESGOS DE GESTION'!#REF!="Menor"),CONCATENATE("R4C",' RIESGOS DE GESTION'!#REF!),"")</f>
        <v>#REF!</v>
      </c>
      <c r="V39" s="55" t="e">
        <f>IF(AND(' RIESGOS DE GESTION'!#REF!="Baja",' RIESGOS DE GESTION'!#REF!="Moderado"),CONCATENATE("R4C",' RIESGOS DE GESTION'!#REF!),"")</f>
        <v>#REF!</v>
      </c>
      <c r="W39" s="56" t="e">
        <f>IF(AND(' RIESGOS DE GESTION'!#REF!="Baja",' RIESGOS DE GESTION'!#REF!="Moderado"),CONCATENATE("R4C",' RIESGOS DE GESTION'!#REF!),"")</f>
        <v>#REF!</v>
      </c>
      <c r="X39" s="56" t="e">
        <f>IF(AND(' RIESGOS DE GESTION'!#REF!="Baja",' RIESGOS DE GESTION'!#REF!="Moderado"),CONCATENATE("R4C",' RIESGOS DE GESTION'!#REF!),"")</f>
        <v>#REF!</v>
      </c>
      <c r="Y39" s="56" t="e">
        <f>IF(AND(' RIESGOS DE GESTION'!#REF!="Baja",' RIESGOS DE GESTION'!#REF!="Moderado"),CONCATENATE("R4C",' RIESGOS DE GESTION'!#REF!),"")</f>
        <v>#REF!</v>
      </c>
      <c r="Z39" s="56" t="e">
        <f>IF(AND(' RIESGOS DE GESTION'!#REF!="Baja",' RIESGOS DE GESTION'!#REF!="Moderado"),CONCATENATE("R4C",' RIESGOS DE GESTION'!#REF!),"")</f>
        <v>#REF!</v>
      </c>
      <c r="AA39" s="57" t="e">
        <f>IF(AND(' RIESGOS DE GESTION'!#REF!="Baja",' RIESGOS DE GESTION'!#REF!="Moderado"),CONCATENATE("R4C",' RIESGOS DE GESTION'!#REF!),"")</f>
        <v>#REF!</v>
      </c>
      <c r="AB39" s="40" t="e">
        <f>IF(AND(' RIESGOS DE GESTION'!#REF!="Baja",' RIESGOS DE GESTION'!#REF!="Mayor"),CONCATENATE("R4C",' RIESGOS DE GESTION'!#REF!),"")</f>
        <v>#REF!</v>
      </c>
      <c r="AC39" s="41" t="e">
        <f>IF(AND(' RIESGOS DE GESTION'!#REF!="Baja",' RIESGOS DE GESTION'!#REF!="Mayor"),CONCATENATE("R4C",' RIESGOS DE GESTION'!#REF!),"")</f>
        <v>#REF!</v>
      </c>
      <c r="AD39" s="41" t="e">
        <f>IF(AND(' RIESGOS DE GESTION'!#REF!="Baja",' RIESGOS DE GESTION'!#REF!="Mayor"),CONCATENATE("R4C",' RIESGOS DE GESTION'!#REF!),"")</f>
        <v>#REF!</v>
      </c>
      <c r="AE39" s="41" t="e">
        <f>IF(AND(' RIESGOS DE GESTION'!#REF!="Baja",' RIESGOS DE GESTION'!#REF!="Mayor"),CONCATENATE("R4C",' RIESGOS DE GESTION'!#REF!),"")</f>
        <v>#REF!</v>
      </c>
      <c r="AF39" s="41" t="e">
        <f>IF(AND(' RIESGOS DE GESTION'!#REF!="Baja",' RIESGOS DE GESTION'!#REF!="Mayor"),CONCATENATE("R4C",' RIESGOS DE GESTION'!#REF!),"")</f>
        <v>#REF!</v>
      </c>
      <c r="AG39" s="42" t="e">
        <f>IF(AND(' RIESGOS DE GESTION'!#REF!="Baja",' RIESGOS DE GESTION'!#REF!="Mayor"),CONCATENATE("R4C",' RIESGOS DE GESTION'!#REF!),"")</f>
        <v>#REF!</v>
      </c>
      <c r="AH39" s="43" t="e">
        <f>IF(AND(' RIESGOS DE GESTION'!#REF!="Baja",' RIESGOS DE GESTION'!#REF!="Catastrófico"),CONCATENATE("R4C",' RIESGOS DE GESTION'!#REF!),"")</f>
        <v>#REF!</v>
      </c>
      <c r="AI39" s="44" t="e">
        <f>IF(AND(' RIESGOS DE GESTION'!#REF!="Baja",' RIESGOS DE GESTION'!#REF!="Catastrófico"),CONCATENATE("R4C",' RIESGOS DE GESTION'!#REF!),"")</f>
        <v>#REF!</v>
      </c>
      <c r="AJ39" s="44" t="e">
        <f>IF(AND(' RIESGOS DE GESTION'!#REF!="Baja",' RIESGOS DE GESTION'!#REF!="Catastrófico"),CONCATENATE("R4C",' RIESGOS DE GESTION'!#REF!),"")</f>
        <v>#REF!</v>
      </c>
      <c r="AK39" s="44" t="e">
        <f>IF(AND(' RIESGOS DE GESTION'!#REF!="Baja",' RIESGOS DE GESTION'!#REF!="Catastrófico"),CONCATENATE("R4C",' RIESGOS DE GESTION'!#REF!),"")</f>
        <v>#REF!</v>
      </c>
      <c r="AL39" s="44" t="e">
        <f>IF(AND(' RIESGOS DE GESTION'!#REF!="Baja",' RIESGOS DE GESTION'!#REF!="Catastrófico"),CONCATENATE("R4C",' RIESGOS DE GESTION'!#REF!),"")</f>
        <v>#REF!</v>
      </c>
      <c r="AM39" s="45" t="e">
        <f>IF(AND(' RIESGOS DE GESTION'!#REF!="Baja",' RIESGOS DE GESTION'!#REF!="Catastrófico"),CONCATENATE("R4C",' RIESGOS DE GESTION'!#REF!),"")</f>
        <v>#REF!</v>
      </c>
      <c r="AN39" s="71"/>
      <c r="AO39" s="656"/>
      <c r="AP39" s="657"/>
      <c r="AQ39" s="657"/>
      <c r="AR39" s="657"/>
      <c r="AS39" s="657"/>
      <c r="AT39" s="658"/>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row>
    <row r="40" spans="1:80" ht="15" customHeight="1">
      <c r="A40" s="71"/>
      <c r="B40" s="537"/>
      <c r="C40" s="537"/>
      <c r="D40" s="538"/>
      <c r="E40" s="636"/>
      <c r="F40" s="635"/>
      <c r="G40" s="635"/>
      <c r="H40" s="635"/>
      <c r="I40" s="635"/>
      <c r="J40" s="64" t="e">
        <f>IF(AND(' RIESGOS DE GESTION'!#REF!="Baja",' RIESGOS DE GESTION'!#REF!="Leve"),CONCATENATE("R5C",' RIESGOS DE GESTION'!#REF!),"")</f>
        <v>#REF!</v>
      </c>
      <c r="K40" s="65" t="e">
        <f>IF(AND(' RIESGOS DE GESTION'!#REF!="Baja",' RIESGOS DE GESTION'!#REF!="Leve"),CONCATENATE("R5C",' RIESGOS DE GESTION'!#REF!),"")</f>
        <v>#REF!</v>
      </c>
      <c r="L40" s="65" t="e">
        <f>IF(AND(' RIESGOS DE GESTION'!#REF!="Baja",' RIESGOS DE GESTION'!#REF!="Leve"),CONCATENATE("R5C",' RIESGOS DE GESTION'!#REF!),"")</f>
        <v>#REF!</v>
      </c>
      <c r="M40" s="65" t="e">
        <f>IF(AND(' RIESGOS DE GESTION'!#REF!="Baja",' RIESGOS DE GESTION'!#REF!="Leve"),CONCATENATE("R5C",' RIESGOS DE GESTION'!#REF!),"")</f>
        <v>#REF!</v>
      </c>
      <c r="N40" s="65" t="e">
        <f>IF(AND(' RIESGOS DE GESTION'!#REF!="Baja",' RIESGOS DE GESTION'!#REF!="Leve"),CONCATENATE("R5C",' RIESGOS DE GESTION'!#REF!),"")</f>
        <v>#REF!</v>
      </c>
      <c r="O40" s="66" t="e">
        <f>IF(AND(' RIESGOS DE GESTION'!#REF!="Baja",' RIESGOS DE GESTION'!#REF!="Leve"),CONCATENATE("R5C",' RIESGOS DE GESTION'!#REF!),"")</f>
        <v>#REF!</v>
      </c>
      <c r="P40" s="55" t="e">
        <f>IF(AND(' RIESGOS DE GESTION'!#REF!="Baja",' RIESGOS DE GESTION'!#REF!="Menor"),CONCATENATE("R5C",' RIESGOS DE GESTION'!#REF!),"")</f>
        <v>#REF!</v>
      </c>
      <c r="Q40" s="56" t="e">
        <f>IF(AND(' RIESGOS DE GESTION'!#REF!="Baja",' RIESGOS DE GESTION'!#REF!="Menor"),CONCATENATE("R5C",' RIESGOS DE GESTION'!#REF!),"")</f>
        <v>#REF!</v>
      </c>
      <c r="R40" s="56" t="e">
        <f>IF(AND(' RIESGOS DE GESTION'!#REF!="Baja",' RIESGOS DE GESTION'!#REF!="Menor"),CONCATENATE("R5C",' RIESGOS DE GESTION'!#REF!),"")</f>
        <v>#REF!</v>
      </c>
      <c r="S40" s="56" t="e">
        <f>IF(AND(' RIESGOS DE GESTION'!#REF!="Baja",' RIESGOS DE GESTION'!#REF!="Menor"),CONCATENATE("R5C",' RIESGOS DE GESTION'!#REF!),"")</f>
        <v>#REF!</v>
      </c>
      <c r="T40" s="56" t="e">
        <f>IF(AND(' RIESGOS DE GESTION'!#REF!="Baja",' RIESGOS DE GESTION'!#REF!="Menor"),CONCATENATE("R5C",' RIESGOS DE GESTION'!#REF!),"")</f>
        <v>#REF!</v>
      </c>
      <c r="U40" s="57" t="e">
        <f>IF(AND(' RIESGOS DE GESTION'!#REF!="Baja",' RIESGOS DE GESTION'!#REF!="Menor"),CONCATENATE("R5C",' RIESGOS DE GESTION'!#REF!),"")</f>
        <v>#REF!</v>
      </c>
      <c r="V40" s="55" t="e">
        <f>IF(AND(' RIESGOS DE GESTION'!#REF!="Baja",' RIESGOS DE GESTION'!#REF!="Moderado"),CONCATENATE("R5C",' RIESGOS DE GESTION'!#REF!),"")</f>
        <v>#REF!</v>
      </c>
      <c r="W40" s="56" t="e">
        <f>IF(AND(' RIESGOS DE GESTION'!#REF!="Baja",' RIESGOS DE GESTION'!#REF!="Moderado"),CONCATENATE("R5C",' RIESGOS DE GESTION'!#REF!),"")</f>
        <v>#REF!</v>
      </c>
      <c r="X40" s="56" t="e">
        <f>IF(AND(' RIESGOS DE GESTION'!#REF!="Baja",' RIESGOS DE GESTION'!#REF!="Moderado"),CONCATENATE("R5C",' RIESGOS DE GESTION'!#REF!),"")</f>
        <v>#REF!</v>
      </c>
      <c r="Y40" s="56" t="e">
        <f>IF(AND(' RIESGOS DE GESTION'!#REF!="Baja",' RIESGOS DE GESTION'!#REF!="Moderado"),CONCATENATE("R5C",' RIESGOS DE GESTION'!#REF!),"")</f>
        <v>#REF!</v>
      </c>
      <c r="Z40" s="56" t="e">
        <f>IF(AND(' RIESGOS DE GESTION'!#REF!="Baja",' RIESGOS DE GESTION'!#REF!="Moderado"),CONCATENATE("R5C",' RIESGOS DE GESTION'!#REF!),"")</f>
        <v>#REF!</v>
      </c>
      <c r="AA40" s="57" t="e">
        <f>IF(AND(' RIESGOS DE GESTION'!#REF!="Baja",' RIESGOS DE GESTION'!#REF!="Moderado"),CONCATENATE("R5C",' RIESGOS DE GESTION'!#REF!),"")</f>
        <v>#REF!</v>
      </c>
      <c r="AB40" s="40" t="e">
        <f>IF(AND(' RIESGOS DE GESTION'!#REF!="Baja",' RIESGOS DE GESTION'!#REF!="Mayor"),CONCATENATE("R5C",' RIESGOS DE GESTION'!#REF!),"")</f>
        <v>#REF!</v>
      </c>
      <c r="AC40" s="41" t="e">
        <f>IF(AND(' RIESGOS DE GESTION'!#REF!="Baja",' RIESGOS DE GESTION'!#REF!="Mayor"),CONCATENATE("R5C",' RIESGOS DE GESTION'!#REF!),"")</f>
        <v>#REF!</v>
      </c>
      <c r="AD40" s="41" t="e">
        <f>IF(AND(' RIESGOS DE GESTION'!#REF!="Baja",' RIESGOS DE GESTION'!#REF!="Mayor"),CONCATENATE("R5C",' RIESGOS DE GESTION'!#REF!),"")</f>
        <v>#REF!</v>
      </c>
      <c r="AE40" s="41" t="e">
        <f>IF(AND(' RIESGOS DE GESTION'!#REF!="Baja",' RIESGOS DE GESTION'!#REF!="Mayor"),CONCATENATE("R5C",' RIESGOS DE GESTION'!#REF!),"")</f>
        <v>#REF!</v>
      </c>
      <c r="AF40" s="41" t="e">
        <f>IF(AND(' RIESGOS DE GESTION'!#REF!="Baja",' RIESGOS DE GESTION'!#REF!="Mayor"),CONCATENATE("R5C",' RIESGOS DE GESTION'!#REF!),"")</f>
        <v>#REF!</v>
      </c>
      <c r="AG40" s="42" t="e">
        <f>IF(AND(' RIESGOS DE GESTION'!#REF!="Baja",' RIESGOS DE GESTION'!#REF!="Mayor"),CONCATENATE("R5C",' RIESGOS DE GESTION'!#REF!),"")</f>
        <v>#REF!</v>
      </c>
      <c r="AH40" s="43" t="e">
        <f>IF(AND(' RIESGOS DE GESTION'!#REF!="Baja",' RIESGOS DE GESTION'!#REF!="Catastrófico"),CONCATENATE("R5C",' RIESGOS DE GESTION'!#REF!),"")</f>
        <v>#REF!</v>
      </c>
      <c r="AI40" s="44" t="e">
        <f>IF(AND(' RIESGOS DE GESTION'!#REF!="Baja",' RIESGOS DE GESTION'!#REF!="Catastrófico"),CONCATENATE("R5C",' RIESGOS DE GESTION'!#REF!),"")</f>
        <v>#REF!</v>
      </c>
      <c r="AJ40" s="44" t="e">
        <f>IF(AND(' RIESGOS DE GESTION'!#REF!="Baja",' RIESGOS DE GESTION'!#REF!="Catastrófico"),CONCATENATE("R5C",' RIESGOS DE GESTION'!#REF!),"")</f>
        <v>#REF!</v>
      </c>
      <c r="AK40" s="44" t="e">
        <f>IF(AND(' RIESGOS DE GESTION'!#REF!="Baja",' RIESGOS DE GESTION'!#REF!="Catastrófico"),CONCATENATE("R5C",' RIESGOS DE GESTION'!#REF!),"")</f>
        <v>#REF!</v>
      </c>
      <c r="AL40" s="44" t="e">
        <f>IF(AND(' RIESGOS DE GESTION'!#REF!="Baja",' RIESGOS DE GESTION'!#REF!="Catastrófico"),CONCATENATE("R5C",' RIESGOS DE GESTION'!#REF!),"")</f>
        <v>#REF!</v>
      </c>
      <c r="AM40" s="45" t="e">
        <f>IF(AND(' RIESGOS DE GESTION'!#REF!="Baja",' RIESGOS DE GESTION'!#REF!="Catastrófico"),CONCATENATE("R5C",' RIESGOS DE GESTION'!#REF!),"")</f>
        <v>#REF!</v>
      </c>
      <c r="AN40" s="71"/>
      <c r="AO40" s="656"/>
      <c r="AP40" s="657"/>
      <c r="AQ40" s="657"/>
      <c r="AR40" s="657"/>
      <c r="AS40" s="657"/>
      <c r="AT40" s="658"/>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row>
    <row r="41" spans="1:80" ht="15" customHeight="1">
      <c r="A41" s="71"/>
      <c r="B41" s="537"/>
      <c r="C41" s="537"/>
      <c r="D41" s="538"/>
      <c r="E41" s="636"/>
      <c r="F41" s="635"/>
      <c r="G41" s="635"/>
      <c r="H41" s="635"/>
      <c r="I41" s="635"/>
      <c r="J41" s="64" t="e">
        <f>IF(AND(' RIESGOS DE GESTION'!#REF!="Baja",' RIESGOS DE GESTION'!#REF!="Leve"),CONCATENATE("R6C",' RIESGOS DE GESTION'!#REF!),"")</f>
        <v>#REF!</v>
      </c>
      <c r="K41" s="65" t="e">
        <f>IF(AND(' RIESGOS DE GESTION'!#REF!="Baja",' RIESGOS DE GESTION'!#REF!="Leve"),CONCATENATE("R6C",' RIESGOS DE GESTION'!#REF!),"")</f>
        <v>#REF!</v>
      </c>
      <c r="L41" s="65" t="e">
        <f>IF(AND(' RIESGOS DE GESTION'!#REF!="Baja",' RIESGOS DE GESTION'!#REF!="Leve"),CONCATENATE("R6C",' RIESGOS DE GESTION'!#REF!),"")</f>
        <v>#REF!</v>
      </c>
      <c r="M41" s="65" t="e">
        <f>IF(AND(' RIESGOS DE GESTION'!#REF!="Baja",' RIESGOS DE GESTION'!#REF!="Leve"),CONCATENATE("R6C",' RIESGOS DE GESTION'!#REF!),"")</f>
        <v>#REF!</v>
      </c>
      <c r="N41" s="65" t="e">
        <f>IF(AND(' RIESGOS DE GESTION'!#REF!="Baja",' RIESGOS DE GESTION'!#REF!="Leve"),CONCATENATE("R6C",' RIESGOS DE GESTION'!#REF!),"")</f>
        <v>#REF!</v>
      </c>
      <c r="O41" s="66" t="e">
        <f>IF(AND(' RIESGOS DE GESTION'!#REF!="Baja",' RIESGOS DE GESTION'!#REF!="Leve"),CONCATENATE("R6C",' RIESGOS DE GESTION'!#REF!),"")</f>
        <v>#REF!</v>
      </c>
      <c r="P41" s="55" t="e">
        <f>IF(AND(' RIESGOS DE GESTION'!#REF!="Baja",' RIESGOS DE GESTION'!#REF!="Menor"),CONCATENATE("R6C",' RIESGOS DE GESTION'!#REF!),"")</f>
        <v>#REF!</v>
      </c>
      <c r="Q41" s="56" t="e">
        <f>IF(AND(' RIESGOS DE GESTION'!#REF!="Baja",' RIESGOS DE GESTION'!#REF!="Menor"),CONCATENATE("R6C",' RIESGOS DE GESTION'!#REF!),"")</f>
        <v>#REF!</v>
      </c>
      <c r="R41" s="56" t="e">
        <f>IF(AND(' RIESGOS DE GESTION'!#REF!="Baja",' RIESGOS DE GESTION'!#REF!="Menor"),CONCATENATE("R6C",' RIESGOS DE GESTION'!#REF!),"")</f>
        <v>#REF!</v>
      </c>
      <c r="S41" s="56" t="e">
        <f>IF(AND(' RIESGOS DE GESTION'!#REF!="Baja",' RIESGOS DE GESTION'!#REF!="Menor"),CONCATENATE("R6C",' RIESGOS DE GESTION'!#REF!),"")</f>
        <v>#REF!</v>
      </c>
      <c r="T41" s="56" t="e">
        <f>IF(AND(' RIESGOS DE GESTION'!#REF!="Baja",' RIESGOS DE GESTION'!#REF!="Menor"),CONCATENATE("R6C",' RIESGOS DE GESTION'!#REF!),"")</f>
        <v>#REF!</v>
      </c>
      <c r="U41" s="57" t="e">
        <f>IF(AND(' RIESGOS DE GESTION'!#REF!="Baja",' RIESGOS DE GESTION'!#REF!="Menor"),CONCATENATE("R6C",' RIESGOS DE GESTION'!#REF!),"")</f>
        <v>#REF!</v>
      </c>
      <c r="V41" s="55" t="e">
        <f>IF(AND(' RIESGOS DE GESTION'!#REF!="Baja",' RIESGOS DE GESTION'!#REF!="Moderado"),CONCATENATE("R6C",' RIESGOS DE GESTION'!#REF!),"")</f>
        <v>#REF!</v>
      </c>
      <c r="W41" s="56" t="e">
        <f>IF(AND(' RIESGOS DE GESTION'!#REF!="Baja",' RIESGOS DE GESTION'!#REF!="Moderado"),CONCATENATE("R6C",' RIESGOS DE GESTION'!#REF!),"")</f>
        <v>#REF!</v>
      </c>
      <c r="X41" s="56" t="e">
        <f>IF(AND(' RIESGOS DE GESTION'!#REF!="Baja",' RIESGOS DE GESTION'!#REF!="Moderado"),CONCATENATE("R6C",' RIESGOS DE GESTION'!#REF!),"")</f>
        <v>#REF!</v>
      </c>
      <c r="Y41" s="56" t="e">
        <f>IF(AND(' RIESGOS DE GESTION'!#REF!="Baja",' RIESGOS DE GESTION'!#REF!="Moderado"),CONCATENATE("R6C",' RIESGOS DE GESTION'!#REF!),"")</f>
        <v>#REF!</v>
      </c>
      <c r="Z41" s="56" t="e">
        <f>IF(AND(' RIESGOS DE GESTION'!#REF!="Baja",' RIESGOS DE GESTION'!#REF!="Moderado"),CONCATENATE("R6C",' RIESGOS DE GESTION'!#REF!),"")</f>
        <v>#REF!</v>
      </c>
      <c r="AA41" s="57" t="e">
        <f>IF(AND(' RIESGOS DE GESTION'!#REF!="Baja",' RIESGOS DE GESTION'!#REF!="Moderado"),CONCATENATE("R6C",' RIESGOS DE GESTION'!#REF!),"")</f>
        <v>#REF!</v>
      </c>
      <c r="AB41" s="40" t="e">
        <f>IF(AND(' RIESGOS DE GESTION'!#REF!="Baja",' RIESGOS DE GESTION'!#REF!="Mayor"),CONCATENATE("R6C",' RIESGOS DE GESTION'!#REF!),"")</f>
        <v>#REF!</v>
      </c>
      <c r="AC41" s="41" t="e">
        <f>IF(AND(' RIESGOS DE GESTION'!#REF!="Baja",' RIESGOS DE GESTION'!#REF!="Mayor"),CONCATENATE("R6C",' RIESGOS DE GESTION'!#REF!),"")</f>
        <v>#REF!</v>
      </c>
      <c r="AD41" s="41" t="e">
        <f>IF(AND(' RIESGOS DE GESTION'!#REF!="Baja",' RIESGOS DE GESTION'!#REF!="Mayor"),CONCATENATE("R6C",' RIESGOS DE GESTION'!#REF!),"")</f>
        <v>#REF!</v>
      </c>
      <c r="AE41" s="41" t="e">
        <f>IF(AND(' RIESGOS DE GESTION'!#REF!="Baja",' RIESGOS DE GESTION'!#REF!="Mayor"),CONCATENATE("R6C",' RIESGOS DE GESTION'!#REF!),"")</f>
        <v>#REF!</v>
      </c>
      <c r="AF41" s="41" t="e">
        <f>IF(AND(' RIESGOS DE GESTION'!#REF!="Baja",' RIESGOS DE GESTION'!#REF!="Mayor"),CONCATENATE("R6C",' RIESGOS DE GESTION'!#REF!),"")</f>
        <v>#REF!</v>
      </c>
      <c r="AG41" s="42" t="e">
        <f>IF(AND(' RIESGOS DE GESTION'!#REF!="Baja",' RIESGOS DE GESTION'!#REF!="Mayor"),CONCATENATE("R6C",' RIESGOS DE GESTION'!#REF!),"")</f>
        <v>#REF!</v>
      </c>
      <c r="AH41" s="43" t="e">
        <f>IF(AND(' RIESGOS DE GESTION'!#REF!="Baja",' RIESGOS DE GESTION'!#REF!="Catastrófico"),CONCATENATE("R6C",' RIESGOS DE GESTION'!#REF!),"")</f>
        <v>#REF!</v>
      </c>
      <c r="AI41" s="44" t="e">
        <f>IF(AND(' RIESGOS DE GESTION'!#REF!="Baja",' RIESGOS DE GESTION'!#REF!="Catastrófico"),CONCATENATE("R6C",' RIESGOS DE GESTION'!#REF!),"")</f>
        <v>#REF!</v>
      </c>
      <c r="AJ41" s="44" t="e">
        <f>IF(AND(' RIESGOS DE GESTION'!#REF!="Baja",' RIESGOS DE GESTION'!#REF!="Catastrófico"),CONCATENATE("R6C",' RIESGOS DE GESTION'!#REF!),"")</f>
        <v>#REF!</v>
      </c>
      <c r="AK41" s="44" t="e">
        <f>IF(AND(' RIESGOS DE GESTION'!#REF!="Baja",' RIESGOS DE GESTION'!#REF!="Catastrófico"),CONCATENATE("R6C",' RIESGOS DE GESTION'!#REF!),"")</f>
        <v>#REF!</v>
      </c>
      <c r="AL41" s="44" t="e">
        <f>IF(AND(' RIESGOS DE GESTION'!#REF!="Baja",' RIESGOS DE GESTION'!#REF!="Catastrófico"),CONCATENATE("R6C",' RIESGOS DE GESTION'!#REF!),"")</f>
        <v>#REF!</v>
      </c>
      <c r="AM41" s="45" t="e">
        <f>IF(AND(' RIESGOS DE GESTION'!#REF!="Baja",' RIESGOS DE GESTION'!#REF!="Catastrófico"),CONCATENATE("R6C",' RIESGOS DE GESTION'!#REF!),"")</f>
        <v>#REF!</v>
      </c>
      <c r="AN41" s="71"/>
      <c r="AO41" s="656"/>
      <c r="AP41" s="657"/>
      <c r="AQ41" s="657"/>
      <c r="AR41" s="657"/>
      <c r="AS41" s="657"/>
      <c r="AT41" s="658"/>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row>
    <row r="42" spans="1:80" ht="15" customHeight="1">
      <c r="A42" s="71"/>
      <c r="B42" s="537"/>
      <c r="C42" s="537"/>
      <c r="D42" s="538"/>
      <c r="E42" s="636"/>
      <c r="F42" s="635"/>
      <c r="G42" s="635"/>
      <c r="H42" s="635"/>
      <c r="I42" s="635"/>
      <c r="J42" s="64" t="e">
        <f>IF(AND(' RIESGOS DE GESTION'!#REF!="Baja",' RIESGOS DE GESTION'!#REF!="Leve"),CONCATENATE("R7C",' RIESGOS DE GESTION'!#REF!),"")</f>
        <v>#REF!</v>
      </c>
      <c r="K42" s="65" t="e">
        <f>IF(AND(' RIESGOS DE GESTION'!#REF!="Baja",' RIESGOS DE GESTION'!#REF!="Leve"),CONCATENATE("R7C",' RIESGOS DE GESTION'!#REF!),"")</f>
        <v>#REF!</v>
      </c>
      <c r="L42" s="65" t="e">
        <f>IF(AND(' RIESGOS DE GESTION'!#REF!="Baja",' RIESGOS DE GESTION'!#REF!="Leve"),CONCATENATE("R7C",' RIESGOS DE GESTION'!#REF!),"")</f>
        <v>#REF!</v>
      </c>
      <c r="M42" s="65" t="e">
        <f>IF(AND(' RIESGOS DE GESTION'!#REF!="Baja",' RIESGOS DE GESTION'!#REF!="Leve"),CONCATENATE("R7C",' RIESGOS DE GESTION'!#REF!),"")</f>
        <v>#REF!</v>
      </c>
      <c r="N42" s="65" t="e">
        <f>IF(AND(' RIESGOS DE GESTION'!#REF!="Baja",' RIESGOS DE GESTION'!#REF!="Leve"),CONCATENATE("R7C",' RIESGOS DE GESTION'!#REF!),"")</f>
        <v>#REF!</v>
      </c>
      <c r="O42" s="66" t="e">
        <f>IF(AND(' RIESGOS DE GESTION'!#REF!="Baja",' RIESGOS DE GESTION'!#REF!="Leve"),CONCATENATE("R7C",' RIESGOS DE GESTION'!#REF!),"")</f>
        <v>#REF!</v>
      </c>
      <c r="P42" s="55" t="e">
        <f>IF(AND(' RIESGOS DE GESTION'!#REF!="Baja",' RIESGOS DE GESTION'!#REF!="Menor"),CONCATENATE("R7C",' RIESGOS DE GESTION'!#REF!),"")</f>
        <v>#REF!</v>
      </c>
      <c r="Q42" s="56" t="e">
        <f>IF(AND(' RIESGOS DE GESTION'!#REF!="Baja",' RIESGOS DE GESTION'!#REF!="Menor"),CONCATENATE("R7C",' RIESGOS DE GESTION'!#REF!),"")</f>
        <v>#REF!</v>
      </c>
      <c r="R42" s="56" t="e">
        <f>IF(AND(' RIESGOS DE GESTION'!#REF!="Baja",' RIESGOS DE GESTION'!#REF!="Menor"),CONCATENATE("R7C",' RIESGOS DE GESTION'!#REF!),"")</f>
        <v>#REF!</v>
      </c>
      <c r="S42" s="56" t="e">
        <f>IF(AND(' RIESGOS DE GESTION'!#REF!="Baja",' RIESGOS DE GESTION'!#REF!="Menor"),CONCATENATE("R7C",' RIESGOS DE GESTION'!#REF!),"")</f>
        <v>#REF!</v>
      </c>
      <c r="T42" s="56" t="e">
        <f>IF(AND(' RIESGOS DE GESTION'!#REF!="Baja",' RIESGOS DE GESTION'!#REF!="Menor"),CONCATENATE("R7C",' RIESGOS DE GESTION'!#REF!),"")</f>
        <v>#REF!</v>
      </c>
      <c r="U42" s="57" t="e">
        <f>IF(AND(' RIESGOS DE GESTION'!#REF!="Baja",' RIESGOS DE GESTION'!#REF!="Menor"),CONCATENATE("R7C",' RIESGOS DE GESTION'!#REF!),"")</f>
        <v>#REF!</v>
      </c>
      <c r="V42" s="55" t="e">
        <f>IF(AND(' RIESGOS DE GESTION'!#REF!="Baja",' RIESGOS DE GESTION'!#REF!="Moderado"),CONCATENATE("R7C",' RIESGOS DE GESTION'!#REF!),"")</f>
        <v>#REF!</v>
      </c>
      <c r="W42" s="56" t="e">
        <f>IF(AND(' RIESGOS DE GESTION'!#REF!="Baja",' RIESGOS DE GESTION'!#REF!="Moderado"),CONCATENATE("R7C",' RIESGOS DE GESTION'!#REF!),"")</f>
        <v>#REF!</v>
      </c>
      <c r="X42" s="56" t="e">
        <f>IF(AND(' RIESGOS DE GESTION'!#REF!="Baja",' RIESGOS DE GESTION'!#REF!="Moderado"),CONCATENATE("R7C",' RIESGOS DE GESTION'!#REF!),"")</f>
        <v>#REF!</v>
      </c>
      <c r="Y42" s="56" t="e">
        <f>IF(AND(' RIESGOS DE GESTION'!#REF!="Baja",' RIESGOS DE GESTION'!#REF!="Moderado"),CONCATENATE("R7C",' RIESGOS DE GESTION'!#REF!),"")</f>
        <v>#REF!</v>
      </c>
      <c r="Z42" s="56" t="e">
        <f>IF(AND(' RIESGOS DE GESTION'!#REF!="Baja",' RIESGOS DE GESTION'!#REF!="Moderado"),CONCATENATE("R7C",' RIESGOS DE GESTION'!#REF!),"")</f>
        <v>#REF!</v>
      </c>
      <c r="AA42" s="57" t="e">
        <f>IF(AND(' RIESGOS DE GESTION'!#REF!="Baja",' RIESGOS DE GESTION'!#REF!="Moderado"),CONCATENATE("R7C",' RIESGOS DE GESTION'!#REF!),"")</f>
        <v>#REF!</v>
      </c>
      <c r="AB42" s="40" t="e">
        <f>IF(AND(' RIESGOS DE GESTION'!#REF!="Baja",' RIESGOS DE GESTION'!#REF!="Mayor"),CONCATENATE("R7C",' RIESGOS DE GESTION'!#REF!),"")</f>
        <v>#REF!</v>
      </c>
      <c r="AC42" s="41" t="e">
        <f>IF(AND(' RIESGOS DE GESTION'!#REF!="Baja",' RIESGOS DE GESTION'!#REF!="Mayor"),CONCATENATE("R7C",' RIESGOS DE GESTION'!#REF!),"")</f>
        <v>#REF!</v>
      </c>
      <c r="AD42" s="41" t="e">
        <f>IF(AND(' RIESGOS DE GESTION'!#REF!="Baja",' RIESGOS DE GESTION'!#REF!="Mayor"),CONCATENATE("R7C",' RIESGOS DE GESTION'!#REF!),"")</f>
        <v>#REF!</v>
      </c>
      <c r="AE42" s="41" t="e">
        <f>IF(AND(' RIESGOS DE GESTION'!#REF!="Baja",' RIESGOS DE GESTION'!#REF!="Mayor"),CONCATENATE("R7C",' RIESGOS DE GESTION'!#REF!),"")</f>
        <v>#REF!</v>
      </c>
      <c r="AF42" s="41" t="e">
        <f>IF(AND(' RIESGOS DE GESTION'!#REF!="Baja",' RIESGOS DE GESTION'!#REF!="Mayor"),CONCATENATE("R7C",' RIESGOS DE GESTION'!#REF!),"")</f>
        <v>#REF!</v>
      </c>
      <c r="AG42" s="42" t="e">
        <f>IF(AND(' RIESGOS DE GESTION'!#REF!="Baja",' RIESGOS DE GESTION'!#REF!="Mayor"),CONCATENATE("R7C",' RIESGOS DE GESTION'!#REF!),"")</f>
        <v>#REF!</v>
      </c>
      <c r="AH42" s="43" t="e">
        <f>IF(AND(' RIESGOS DE GESTION'!#REF!="Baja",' RIESGOS DE GESTION'!#REF!="Catastrófico"),CONCATENATE("R7C",' RIESGOS DE GESTION'!#REF!),"")</f>
        <v>#REF!</v>
      </c>
      <c r="AI42" s="44" t="e">
        <f>IF(AND(' RIESGOS DE GESTION'!#REF!="Baja",' RIESGOS DE GESTION'!#REF!="Catastrófico"),CONCATENATE("R7C",' RIESGOS DE GESTION'!#REF!),"")</f>
        <v>#REF!</v>
      </c>
      <c r="AJ42" s="44" t="e">
        <f>IF(AND(' RIESGOS DE GESTION'!#REF!="Baja",' RIESGOS DE GESTION'!#REF!="Catastrófico"),CONCATENATE("R7C",' RIESGOS DE GESTION'!#REF!),"")</f>
        <v>#REF!</v>
      </c>
      <c r="AK42" s="44" t="e">
        <f>IF(AND(' RIESGOS DE GESTION'!#REF!="Baja",' RIESGOS DE GESTION'!#REF!="Catastrófico"),CONCATENATE("R7C",' RIESGOS DE GESTION'!#REF!),"")</f>
        <v>#REF!</v>
      </c>
      <c r="AL42" s="44" t="e">
        <f>IF(AND(' RIESGOS DE GESTION'!#REF!="Baja",' RIESGOS DE GESTION'!#REF!="Catastrófico"),CONCATENATE("R7C",' RIESGOS DE GESTION'!#REF!),"")</f>
        <v>#REF!</v>
      </c>
      <c r="AM42" s="45" t="e">
        <f>IF(AND(' RIESGOS DE GESTION'!#REF!="Baja",' RIESGOS DE GESTION'!#REF!="Catastrófico"),CONCATENATE("R7C",' RIESGOS DE GESTION'!#REF!),"")</f>
        <v>#REF!</v>
      </c>
      <c r="AN42" s="71"/>
      <c r="AO42" s="656"/>
      <c r="AP42" s="657"/>
      <c r="AQ42" s="657"/>
      <c r="AR42" s="657"/>
      <c r="AS42" s="657"/>
      <c r="AT42" s="658"/>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row>
    <row r="43" spans="1:80" ht="15" customHeight="1">
      <c r="A43" s="71"/>
      <c r="B43" s="537"/>
      <c r="C43" s="537"/>
      <c r="D43" s="538"/>
      <c r="E43" s="636"/>
      <c r="F43" s="635"/>
      <c r="G43" s="635"/>
      <c r="H43" s="635"/>
      <c r="I43" s="635"/>
      <c r="J43" s="64" t="e">
        <f>IF(AND(' RIESGOS DE GESTION'!#REF!="Baja",' RIESGOS DE GESTION'!#REF!="Leve"),CONCATENATE("R8C",' RIESGOS DE GESTION'!#REF!),"")</f>
        <v>#REF!</v>
      </c>
      <c r="K43" s="65" t="e">
        <f>IF(AND(' RIESGOS DE GESTION'!#REF!="Baja",' RIESGOS DE GESTION'!#REF!="Leve"),CONCATENATE("R8C",' RIESGOS DE GESTION'!#REF!),"")</f>
        <v>#REF!</v>
      </c>
      <c r="L43" s="65" t="e">
        <f>IF(AND(' RIESGOS DE GESTION'!#REF!="Baja",' RIESGOS DE GESTION'!#REF!="Leve"),CONCATENATE("R8C",' RIESGOS DE GESTION'!#REF!),"")</f>
        <v>#REF!</v>
      </c>
      <c r="M43" s="65" t="e">
        <f>IF(AND(' RIESGOS DE GESTION'!#REF!="Baja",' RIESGOS DE GESTION'!#REF!="Leve"),CONCATENATE("R8C",' RIESGOS DE GESTION'!#REF!),"")</f>
        <v>#REF!</v>
      </c>
      <c r="N43" s="65" t="e">
        <f>IF(AND(' RIESGOS DE GESTION'!#REF!="Baja",' RIESGOS DE GESTION'!#REF!="Leve"),CONCATENATE("R8C",' RIESGOS DE GESTION'!#REF!),"")</f>
        <v>#REF!</v>
      </c>
      <c r="O43" s="66" t="e">
        <f>IF(AND(' RIESGOS DE GESTION'!#REF!="Baja",' RIESGOS DE GESTION'!#REF!="Leve"),CONCATENATE("R8C",' RIESGOS DE GESTION'!#REF!),"")</f>
        <v>#REF!</v>
      </c>
      <c r="P43" s="55" t="e">
        <f>IF(AND(' RIESGOS DE GESTION'!#REF!="Baja",' RIESGOS DE GESTION'!#REF!="Menor"),CONCATENATE("R8C",' RIESGOS DE GESTION'!#REF!),"")</f>
        <v>#REF!</v>
      </c>
      <c r="Q43" s="56" t="e">
        <f>IF(AND(' RIESGOS DE GESTION'!#REF!="Baja",' RIESGOS DE GESTION'!#REF!="Menor"),CONCATENATE("R8C",' RIESGOS DE GESTION'!#REF!),"")</f>
        <v>#REF!</v>
      </c>
      <c r="R43" s="56" t="e">
        <f>IF(AND(' RIESGOS DE GESTION'!#REF!="Baja",' RIESGOS DE GESTION'!#REF!="Menor"),CONCATENATE("R8C",' RIESGOS DE GESTION'!#REF!),"")</f>
        <v>#REF!</v>
      </c>
      <c r="S43" s="56" t="e">
        <f>IF(AND(' RIESGOS DE GESTION'!#REF!="Baja",' RIESGOS DE GESTION'!#REF!="Menor"),CONCATENATE("R8C",' RIESGOS DE GESTION'!#REF!),"")</f>
        <v>#REF!</v>
      </c>
      <c r="T43" s="56" t="e">
        <f>IF(AND(' RIESGOS DE GESTION'!#REF!="Baja",' RIESGOS DE GESTION'!#REF!="Menor"),CONCATENATE("R8C",' RIESGOS DE GESTION'!#REF!),"")</f>
        <v>#REF!</v>
      </c>
      <c r="U43" s="57" t="e">
        <f>IF(AND(' RIESGOS DE GESTION'!#REF!="Baja",' RIESGOS DE GESTION'!#REF!="Menor"),CONCATENATE("R8C",' RIESGOS DE GESTION'!#REF!),"")</f>
        <v>#REF!</v>
      </c>
      <c r="V43" s="55" t="e">
        <f>IF(AND(' RIESGOS DE GESTION'!#REF!="Baja",' RIESGOS DE GESTION'!#REF!="Moderado"),CONCATENATE("R8C",' RIESGOS DE GESTION'!#REF!),"")</f>
        <v>#REF!</v>
      </c>
      <c r="W43" s="56" t="e">
        <f>IF(AND(' RIESGOS DE GESTION'!#REF!="Baja",' RIESGOS DE GESTION'!#REF!="Moderado"),CONCATENATE("R8C",' RIESGOS DE GESTION'!#REF!),"")</f>
        <v>#REF!</v>
      </c>
      <c r="X43" s="56" t="e">
        <f>IF(AND(' RIESGOS DE GESTION'!#REF!="Baja",' RIESGOS DE GESTION'!#REF!="Moderado"),CONCATENATE("R8C",' RIESGOS DE GESTION'!#REF!),"")</f>
        <v>#REF!</v>
      </c>
      <c r="Y43" s="56" t="e">
        <f>IF(AND(' RIESGOS DE GESTION'!#REF!="Baja",' RIESGOS DE GESTION'!#REF!="Moderado"),CONCATENATE("R8C",' RIESGOS DE GESTION'!#REF!),"")</f>
        <v>#REF!</v>
      </c>
      <c r="Z43" s="56" t="e">
        <f>IF(AND(' RIESGOS DE GESTION'!#REF!="Baja",' RIESGOS DE GESTION'!#REF!="Moderado"),CONCATENATE("R8C",' RIESGOS DE GESTION'!#REF!),"")</f>
        <v>#REF!</v>
      </c>
      <c r="AA43" s="57" t="e">
        <f>IF(AND(' RIESGOS DE GESTION'!#REF!="Baja",' RIESGOS DE GESTION'!#REF!="Moderado"),CONCATENATE("R8C",' RIESGOS DE GESTION'!#REF!),"")</f>
        <v>#REF!</v>
      </c>
      <c r="AB43" s="40" t="e">
        <f>IF(AND(' RIESGOS DE GESTION'!#REF!="Baja",' RIESGOS DE GESTION'!#REF!="Mayor"),CONCATENATE("R8C",' RIESGOS DE GESTION'!#REF!),"")</f>
        <v>#REF!</v>
      </c>
      <c r="AC43" s="41" t="e">
        <f>IF(AND(' RIESGOS DE GESTION'!#REF!="Baja",' RIESGOS DE GESTION'!#REF!="Mayor"),CONCATENATE("R8C",' RIESGOS DE GESTION'!#REF!),"")</f>
        <v>#REF!</v>
      </c>
      <c r="AD43" s="41" t="e">
        <f>IF(AND(' RIESGOS DE GESTION'!#REF!="Baja",' RIESGOS DE GESTION'!#REF!="Mayor"),CONCATENATE("R8C",' RIESGOS DE GESTION'!#REF!),"")</f>
        <v>#REF!</v>
      </c>
      <c r="AE43" s="41" t="e">
        <f>IF(AND(' RIESGOS DE GESTION'!#REF!="Baja",' RIESGOS DE GESTION'!#REF!="Mayor"),CONCATENATE("R8C",' RIESGOS DE GESTION'!#REF!),"")</f>
        <v>#REF!</v>
      </c>
      <c r="AF43" s="41" t="e">
        <f>IF(AND(' RIESGOS DE GESTION'!#REF!="Baja",' RIESGOS DE GESTION'!#REF!="Mayor"),CONCATENATE("R8C",' RIESGOS DE GESTION'!#REF!),"")</f>
        <v>#REF!</v>
      </c>
      <c r="AG43" s="42" t="e">
        <f>IF(AND(' RIESGOS DE GESTION'!#REF!="Baja",' RIESGOS DE GESTION'!#REF!="Mayor"),CONCATENATE("R8C",' RIESGOS DE GESTION'!#REF!),"")</f>
        <v>#REF!</v>
      </c>
      <c r="AH43" s="43" t="e">
        <f>IF(AND(' RIESGOS DE GESTION'!#REF!="Baja",' RIESGOS DE GESTION'!#REF!="Catastrófico"),CONCATENATE("R8C",' RIESGOS DE GESTION'!#REF!),"")</f>
        <v>#REF!</v>
      </c>
      <c r="AI43" s="44" t="e">
        <f>IF(AND(' RIESGOS DE GESTION'!#REF!="Baja",' RIESGOS DE GESTION'!#REF!="Catastrófico"),CONCATENATE("R8C",' RIESGOS DE GESTION'!#REF!),"")</f>
        <v>#REF!</v>
      </c>
      <c r="AJ43" s="44" t="e">
        <f>IF(AND(' RIESGOS DE GESTION'!#REF!="Baja",' RIESGOS DE GESTION'!#REF!="Catastrófico"),CONCATENATE("R8C",' RIESGOS DE GESTION'!#REF!),"")</f>
        <v>#REF!</v>
      </c>
      <c r="AK43" s="44" t="e">
        <f>IF(AND(' RIESGOS DE GESTION'!#REF!="Baja",' RIESGOS DE GESTION'!#REF!="Catastrófico"),CONCATENATE("R8C",' RIESGOS DE GESTION'!#REF!),"")</f>
        <v>#REF!</v>
      </c>
      <c r="AL43" s="44" t="e">
        <f>IF(AND(' RIESGOS DE GESTION'!#REF!="Baja",' RIESGOS DE GESTION'!#REF!="Catastrófico"),CONCATENATE("R8C",' RIESGOS DE GESTION'!#REF!),"")</f>
        <v>#REF!</v>
      </c>
      <c r="AM43" s="45" t="e">
        <f>IF(AND(' RIESGOS DE GESTION'!#REF!="Baja",' RIESGOS DE GESTION'!#REF!="Catastrófico"),CONCATENATE("R8C",' RIESGOS DE GESTION'!#REF!),"")</f>
        <v>#REF!</v>
      </c>
      <c r="AN43" s="71"/>
      <c r="AO43" s="656"/>
      <c r="AP43" s="657"/>
      <c r="AQ43" s="657"/>
      <c r="AR43" s="657"/>
      <c r="AS43" s="657"/>
      <c r="AT43" s="658"/>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row>
    <row r="44" spans="1:80" ht="15" customHeight="1">
      <c r="A44" s="71"/>
      <c r="B44" s="537"/>
      <c r="C44" s="537"/>
      <c r="D44" s="538"/>
      <c r="E44" s="636"/>
      <c r="F44" s="635"/>
      <c r="G44" s="635"/>
      <c r="H44" s="635"/>
      <c r="I44" s="635"/>
      <c r="J44" s="64" t="e">
        <f>IF(AND(' RIESGOS DE GESTION'!#REF!="Baja",' RIESGOS DE GESTION'!#REF!="Leve"),CONCATENATE("R9C",' RIESGOS DE GESTION'!#REF!),"")</f>
        <v>#REF!</v>
      </c>
      <c r="K44" s="65" t="e">
        <f>IF(AND(' RIESGOS DE GESTION'!#REF!="Baja",' RIESGOS DE GESTION'!#REF!="Leve"),CONCATENATE("R9C",' RIESGOS DE GESTION'!#REF!),"")</f>
        <v>#REF!</v>
      </c>
      <c r="L44" s="65" t="e">
        <f>IF(AND(' RIESGOS DE GESTION'!#REF!="Baja",' RIESGOS DE GESTION'!#REF!="Leve"),CONCATENATE("R9C",' RIESGOS DE GESTION'!#REF!),"")</f>
        <v>#REF!</v>
      </c>
      <c r="M44" s="65" t="e">
        <f>IF(AND(' RIESGOS DE GESTION'!#REF!="Baja",' RIESGOS DE GESTION'!#REF!="Leve"),CONCATENATE("R9C",' RIESGOS DE GESTION'!#REF!),"")</f>
        <v>#REF!</v>
      </c>
      <c r="N44" s="65" t="e">
        <f>IF(AND(' RIESGOS DE GESTION'!#REF!="Baja",' RIESGOS DE GESTION'!#REF!="Leve"),CONCATENATE("R9C",' RIESGOS DE GESTION'!#REF!),"")</f>
        <v>#REF!</v>
      </c>
      <c r="O44" s="66" t="e">
        <f>IF(AND(' RIESGOS DE GESTION'!#REF!="Baja",' RIESGOS DE GESTION'!#REF!="Leve"),CONCATENATE("R9C",' RIESGOS DE GESTION'!#REF!),"")</f>
        <v>#REF!</v>
      </c>
      <c r="P44" s="55" t="e">
        <f>IF(AND(' RIESGOS DE GESTION'!#REF!="Baja",' RIESGOS DE GESTION'!#REF!="Menor"),CONCATENATE("R9C",' RIESGOS DE GESTION'!#REF!),"")</f>
        <v>#REF!</v>
      </c>
      <c r="Q44" s="56" t="e">
        <f>IF(AND(' RIESGOS DE GESTION'!#REF!="Baja",' RIESGOS DE GESTION'!#REF!="Menor"),CONCATENATE("R9C",' RIESGOS DE GESTION'!#REF!),"")</f>
        <v>#REF!</v>
      </c>
      <c r="R44" s="56" t="e">
        <f>IF(AND(' RIESGOS DE GESTION'!#REF!="Baja",' RIESGOS DE GESTION'!#REF!="Menor"),CONCATENATE("R9C",' RIESGOS DE GESTION'!#REF!),"")</f>
        <v>#REF!</v>
      </c>
      <c r="S44" s="56" t="e">
        <f>IF(AND(' RIESGOS DE GESTION'!#REF!="Baja",' RIESGOS DE GESTION'!#REF!="Menor"),CONCATENATE("R9C",' RIESGOS DE GESTION'!#REF!),"")</f>
        <v>#REF!</v>
      </c>
      <c r="T44" s="56" t="e">
        <f>IF(AND(' RIESGOS DE GESTION'!#REF!="Baja",' RIESGOS DE GESTION'!#REF!="Menor"),CONCATENATE("R9C",' RIESGOS DE GESTION'!#REF!),"")</f>
        <v>#REF!</v>
      </c>
      <c r="U44" s="57" t="e">
        <f>IF(AND(' RIESGOS DE GESTION'!#REF!="Baja",' RIESGOS DE GESTION'!#REF!="Menor"),CONCATENATE("R9C",' RIESGOS DE GESTION'!#REF!),"")</f>
        <v>#REF!</v>
      </c>
      <c r="V44" s="55" t="e">
        <f>IF(AND(' RIESGOS DE GESTION'!#REF!="Baja",' RIESGOS DE GESTION'!#REF!="Moderado"),CONCATENATE("R9C",' RIESGOS DE GESTION'!#REF!),"")</f>
        <v>#REF!</v>
      </c>
      <c r="W44" s="56" t="e">
        <f>IF(AND(' RIESGOS DE GESTION'!#REF!="Baja",' RIESGOS DE GESTION'!#REF!="Moderado"),CONCATENATE("R9C",' RIESGOS DE GESTION'!#REF!),"")</f>
        <v>#REF!</v>
      </c>
      <c r="X44" s="56" t="e">
        <f>IF(AND(' RIESGOS DE GESTION'!#REF!="Baja",' RIESGOS DE GESTION'!#REF!="Moderado"),CONCATENATE("R9C",' RIESGOS DE GESTION'!#REF!),"")</f>
        <v>#REF!</v>
      </c>
      <c r="Y44" s="56" t="e">
        <f>IF(AND(' RIESGOS DE GESTION'!#REF!="Baja",' RIESGOS DE GESTION'!#REF!="Moderado"),CONCATENATE("R9C",' RIESGOS DE GESTION'!#REF!),"")</f>
        <v>#REF!</v>
      </c>
      <c r="Z44" s="56" t="e">
        <f>IF(AND(' RIESGOS DE GESTION'!#REF!="Baja",' RIESGOS DE GESTION'!#REF!="Moderado"),CONCATENATE("R9C",' RIESGOS DE GESTION'!#REF!),"")</f>
        <v>#REF!</v>
      </c>
      <c r="AA44" s="57" t="e">
        <f>IF(AND(' RIESGOS DE GESTION'!#REF!="Baja",' RIESGOS DE GESTION'!#REF!="Moderado"),CONCATENATE("R9C",' RIESGOS DE GESTION'!#REF!),"")</f>
        <v>#REF!</v>
      </c>
      <c r="AB44" s="40" t="e">
        <f>IF(AND(' RIESGOS DE GESTION'!#REF!="Baja",' RIESGOS DE GESTION'!#REF!="Mayor"),CONCATENATE("R9C",' RIESGOS DE GESTION'!#REF!),"")</f>
        <v>#REF!</v>
      </c>
      <c r="AC44" s="41" t="e">
        <f>IF(AND(' RIESGOS DE GESTION'!#REF!="Baja",' RIESGOS DE GESTION'!#REF!="Mayor"),CONCATENATE("R9C",' RIESGOS DE GESTION'!#REF!),"")</f>
        <v>#REF!</v>
      </c>
      <c r="AD44" s="41" t="e">
        <f>IF(AND(' RIESGOS DE GESTION'!#REF!="Baja",' RIESGOS DE GESTION'!#REF!="Mayor"),CONCATENATE("R9C",' RIESGOS DE GESTION'!#REF!),"")</f>
        <v>#REF!</v>
      </c>
      <c r="AE44" s="41" t="e">
        <f>IF(AND(' RIESGOS DE GESTION'!#REF!="Baja",' RIESGOS DE GESTION'!#REF!="Mayor"),CONCATENATE("R9C",' RIESGOS DE GESTION'!#REF!),"")</f>
        <v>#REF!</v>
      </c>
      <c r="AF44" s="41" t="e">
        <f>IF(AND(' RIESGOS DE GESTION'!#REF!="Baja",' RIESGOS DE GESTION'!#REF!="Mayor"),CONCATENATE("R9C",' RIESGOS DE GESTION'!#REF!),"")</f>
        <v>#REF!</v>
      </c>
      <c r="AG44" s="42" t="e">
        <f>IF(AND(' RIESGOS DE GESTION'!#REF!="Baja",' RIESGOS DE GESTION'!#REF!="Mayor"),CONCATENATE("R9C",' RIESGOS DE GESTION'!#REF!),"")</f>
        <v>#REF!</v>
      </c>
      <c r="AH44" s="43" t="e">
        <f>IF(AND(' RIESGOS DE GESTION'!#REF!="Baja",' RIESGOS DE GESTION'!#REF!="Catastrófico"),CONCATENATE("R9C",' RIESGOS DE GESTION'!#REF!),"")</f>
        <v>#REF!</v>
      </c>
      <c r="AI44" s="44" t="e">
        <f>IF(AND(' RIESGOS DE GESTION'!#REF!="Baja",' RIESGOS DE GESTION'!#REF!="Catastrófico"),CONCATENATE("R9C",' RIESGOS DE GESTION'!#REF!),"")</f>
        <v>#REF!</v>
      </c>
      <c r="AJ44" s="44" t="e">
        <f>IF(AND(' RIESGOS DE GESTION'!#REF!="Baja",' RIESGOS DE GESTION'!#REF!="Catastrófico"),CONCATENATE("R9C",' RIESGOS DE GESTION'!#REF!),"")</f>
        <v>#REF!</v>
      </c>
      <c r="AK44" s="44" t="e">
        <f>IF(AND(' RIESGOS DE GESTION'!#REF!="Baja",' RIESGOS DE GESTION'!#REF!="Catastrófico"),CONCATENATE("R9C",' RIESGOS DE GESTION'!#REF!),"")</f>
        <v>#REF!</v>
      </c>
      <c r="AL44" s="44" t="e">
        <f>IF(AND(' RIESGOS DE GESTION'!#REF!="Baja",' RIESGOS DE GESTION'!#REF!="Catastrófico"),CONCATENATE("R9C",' RIESGOS DE GESTION'!#REF!),"")</f>
        <v>#REF!</v>
      </c>
      <c r="AM44" s="45" t="e">
        <f>IF(AND(' RIESGOS DE GESTION'!#REF!="Baja",' RIESGOS DE GESTION'!#REF!="Catastrófico"),CONCATENATE("R9C",' RIESGOS DE GESTION'!#REF!),"")</f>
        <v>#REF!</v>
      </c>
      <c r="AN44" s="71"/>
      <c r="AO44" s="656"/>
      <c r="AP44" s="657"/>
      <c r="AQ44" s="657"/>
      <c r="AR44" s="657"/>
      <c r="AS44" s="657"/>
      <c r="AT44" s="658"/>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row>
    <row r="45" spans="1:80" ht="15.75" customHeight="1" thickBot="1">
      <c r="A45" s="71"/>
      <c r="B45" s="537"/>
      <c r="C45" s="537"/>
      <c r="D45" s="538"/>
      <c r="E45" s="637"/>
      <c r="F45" s="638"/>
      <c r="G45" s="638"/>
      <c r="H45" s="638"/>
      <c r="I45" s="638"/>
      <c r="J45" s="67" t="e">
        <f>IF(AND(' RIESGOS DE GESTION'!#REF!="Baja",' RIESGOS DE GESTION'!#REF!="Leve"),CONCATENATE("R10C",' RIESGOS DE GESTION'!#REF!),"")</f>
        <v>#REF!</v>
      </c>
      <c r="K45" s="68" t="e">
        <f>IF(AND(' RIESGOS DE GESTION'!#REF!="Baja",' RIESGOS DE GESTION'!#REF!="Leve"),CONCATENATE("R10C",' RIESGOS DE GESTION'!#REF!),"")</f>
        <v>#REF!</v>
      </c>
      <c r="L45" s="68" t="e">
        <f>IF(AND(' RIESGOS DE GESTION'!#REF!="Baja",' RIESGOS DE GESTION'!#REF!="Leve"),CONCATENATE("R10C",' RIESGOS DE GESTION'!#REF!),"")</f>
        <v>#REF!</v>
      </c>
      <c r="M45" s="68" t="e">
        <f>IF(AND(' RIESGOS DE GESTION'!#REF!="Baja",' RIESGOS DE GESTION'!#REF!="Leve"),CONCATENATE("R10C",' RIESGOS DE GESTION'!#REF!),"")</f>
        <v>#REF!</v>
      </c>
      <c r="N45" s="68" t="e">
        <f>IF(AND(' RIESGOS DE GESTION'!#REF!="Baja",' RIESGOS DE GESTION'!#REF!="Leve"),CONCATENATE("R10C",' RIESGOS DE GESTION'!#REF!),"")</f>
        <v>#REF!</v>
      </c>
      <c r="O45" s="69" t="e">
        <f>IF(AND(' RIESGOS DE GESTION'!#REF!="Baja",' RIESGOS DE GESTION'!#REF!="Leve"),CONCATENATE("R10C",' RIESGOS DE GESTION'!#REF!),"")</f>
        <v>#REF!</v>
      </c>
      <c r="P45" s="55" t="e">
        <f>IF(AND(' RIESGOS DE GESTION'!#REF!="Baja",' RIESGOS DE GESTION'!#REF!="Menor"),CONCATENATE("R10C",' RIESGOS DE GESTION'!#REF!),"")</f>
        <v>#REF!</v>
      </c>
      <c r="Q45" s="56" t="e">
        <f>IF(AND(' RIESGOS DE GESTION'!#REF!="Baja",' RIESGOS DE GESTION'!#REF!="Menor"),CONCATENATE("R10C",' RIESGOS DE GESTION'!#REF!),"")</f>
        <v>#REF!</v>
      </c>
      <c r="R45" s="56" t="e">
        <f>IF(AND(' RIESGOS DE GESTION'!#REF!="Baja",' RIESGOS DE GESTION'!#REF!="Menor"),CONCATENATE("R10C",' RIESGOS DE GESTION'!#REF!),"")</f>
        <v>#REF!</v>
      </c>
      <c r="S45" s="56" t="e">
        <f>IF(AND(' RIESGOS DE GESTION'!#REF!="Baja",' RIESGOS DE GESTION'!#REF!="Menor"),CONCATENATE("R10C",' RIESGOS DE GESTION'!#REF!),"")</f>
        <v>#REF!</v>
      </c>
      <c r="T45" s="56" t="e">
        <f>IF(AND(' RIESGOS DE GESTION'!#REF!="Baja",' RIESGOS DE GESTION'!#REF!="Menor"),CONCATENATE("R10C",' RIESGOS DE GESTION'!#REF!),"")</f>
        <v>#REF!</v>
      </c>
      <c r="U45" s="57" t="e">
        <f>IF(AND(' RIESGOS DE GESTION'!#REF!="Baja",' RIESGOS DE GESTION'!#REF!="Menor"),CONCATENATE("R10C",' RIESGOS DE GESTION'!#REF!),"")</f>
        <v>#REF!</v>
      </c>
      <c r="V45" s="58" t="e">
        <f>IF(AND(' RIESGOS DE GESTION'!#REF!="Baja",' RIESGOS DE GESTION'!#REF!="Moderado"),CONCATENATE("R10C",' RIESGOS DE GESTION'!#REF!),"")</f>
        <v>#REF!</v>
      </c>
      <c r="W45" s="59" t="e">
        <f>IF(AND(' RIESGOS DE GESTION'!#REF!="Baja",' RIESGOS DE GESTION'!#REF!="Moderado"),CONCATENATE("R10C",' RIESGOS DE GESTION'!#REF!),"")</f>
        <v>#REF!</v>
      </c>
      <c r="X45" s="59" t="e">
        <f>IF(AND(' RIESGOS DE GESTION'!#REF!="Baja",' RIESGOS DE GESTION'!#REF!="Moderado"),CONCATENATE("R10C",' RIESGOS DE GESTION'!#REF!),"")</f>
        <v>#REF!</v>
      </c>
      <c r="Y45" s="59" t="e">
        <f>IF(AND(' RIESGOS DE GESTION'!#REF!="Baja",' RIESGOS DE GESTION'!#REF!="Moderado"),CONCATENATE("R10C",' RIESGOS DE GESTION'!#REF!),"")</f>
        <v>#REF!</v>
      </c>
      <c r="Z45" s="59" t="e">
        <f>IF(AND(' RIESGOS DE GESTION'!#REF!="Baja",' RIESGOS DE GESTION'!#REF!="Moderado"),CONCATENATE("R10C",' RIESGOS DE GESTION'!#REF!),"")</f>
        <v>#REF!</v>
      </c>
      <c r="AA45" s="60" t="e">
        <f>IF(AND(' RIESGOS DE GESTION'!#REF!="Baja",' RIESGOS DE GESTION'!#REF!="Moderado"),CONCATENATE("R10C",' RIESGOS DE GESTION'!#REF!),"")</f>
        <v>#REF!</v>
      </c>
      <c r="AB45" s="46" t="e">
        <f>IF(AND(' RIESGOS DE GESTION'!#REF!="Baja",' RIESGOS DE GESTION'!#REF!="Mayor"),CONCATENATE("R10C",' RIESGOS DE GESTION'!#REF!),"")</f>
        <v>#REF!</v>
      </c>
      <c r="AC45" s="47" t="e">
        <f>IF(AND(' RIESGOS DE GESTION'!#REF!="Baja",' RIESGOS DE GESTION'!#REF!="Mayor"),CONCATENATE("R10C",' RIESGOS DE GESTION'!#REF!),"")</f>
        <v>#REF!</v>
      </c>
      <c r="AD45" s="47" t="e">
        <f>IF(AND(' RIESGOS DE GESTION'!#REF!="Baja",' RIESGOS DE GESTION'!#REF!="Mayor"),CONCATENATE("R10C",' RIESGOS DE GESTION'!#REF!),"")</f>
        <v>#REF!</v>
      </c>
      <c r="AE45" s="47" t="e">
        <f>IF(AND(' RIESGOS DE GESTION'!#REF!="Baja",' RIESGOS DE GESTION'!#REF!="Mayor"),CONCATENATE("R10C",' RIESGOS DE GESTION'!#REF!),"")</f>
        <v>#REF!</v>
      </c>
      <c r="AF45" s="47" t="e">
        <f>IF(AND(' RIESGOS DE GESTION'!#REF!="Baja",' RIESGOS DE GESTION'!#REF!="Mayor"),CONCATENATE("R10C",' RIESGOS DE GESTION'!#REF!),"")</f>
        <v>#REF!</v>
      </c>
      <c r="AG45" s="48" t="e">
        <f>IF(AND(' RIESGOS DE GESTION'!#REF!="Baja",' RIESGOS DE GESTION'!#REF!="Mayor"),CONCATENATE("R10C",' RIESGOS DE GESTION'!#REF!),"")</f>
        <v>#REF!</v>
      </c>
      <c r="AH45" s="49" t="e">
        <f>IF(AND(' RIESGOS DE GESTION'!#REF!="Baja",' RIESGOS DE GESTION'!#REF!="Catastrófico"),CONCATENATE("R10C",' RIESGOS DE GESTION'!#REF!),"")</f>
        <v>#REF!</v>
      </c>
      <c r="AI45" s="50" t="e">
        <f>IF(AND(' RIESGOS DE GESTION'!#REF!="Baja",' RIESGOS DE GESTION'!#REF!="Catastrófico"),CONCATENATE("R10C",' RIESGOS DE GESTION'!#REF!),"")</f>
        <v>#REF!</v>
      </c>
      <c r="AJ45" s="50" t="e">
        <f>IF(AND(' RIESGOS DE GESTION'!#REF!="Baja",' RIESGOS DE GESTION'!#REF!="Catastrófico"),CONCATENATE("R10C",' RIESGOS DE GESTION'!#REF!),"")</f>
        <v>#REF!</v>
      </c>
      <c r="AK45" s="50" t="e">
        <f>IF(AND(' RIESGOS DE GESTION'!#REF!="Baja",' RIESGOS DE GESTION'!#REF!="Catastrófico"),CONCATENATE("R10C",' RIESGOS DE GESTION'!#REF!),"")</f>
        <v>#REF!</v>
      </c>
      <c r="AL45" s="50" t="e">
        <f>IF(AND(' RIESGOS DE GESTION'!#REF!="Baja",' RIESGOS DE GESTION'!#REF!="Catastrófico"),CONCATENATE("R10C",' RIESGOS DE GESTION'!#REF!),"")</f>
        <v>#REF!</v>
      </c>
      <c r="AM45" s="51" t="e">
        <f>IF(AND(' RIESGOS DE GESTION'!#REF!="Baja",' RIESGOS DE GESTION'!#REF!="Catastrófico"),CONCATENATE("R10C",' RIESGOS DE GESTION'!#REF!),"")</f>
        <v>#REF!</v>
      </c>
      <c r="AN45" s="71"/>
      <c r="AO45" s="659"/>
      <c r="AP45" s="660"/>
      <c r="AQ45" s="660"/>
      <c r="AR45" s="660"/>
      <c r="AS45" s="660"/>
      <c r="AT45" s="661"/>
    </row>
    <row r="46" spans="1:80" ht="46.5" customHeight="1">
      <c r="A46" s="71"/>
      <c r="B46" s="537"/>
      <c r="C46" s="537"/>
      <c r="D46" s="538"/>
      <c r="E46" s="632" t="s">
        <v>571</v>
      </c>
      <c r="F46" s="633"/>
      <c r="G46" s="633"/>
      <c r="H46" s="633"/>
      <c r="I46" s="650"/>
      <c r="J46" s="61" t="e">
        <f>IF(AND(' RIESGOS DE GESTION'!#REF!="Muy Baja",' RIESGOS DE GESTION'!#REF!="Leve"),CONCATENATE("R1C",' RIESGOS DE GESTION'!#REF!),"")</f>
        <v>#REF!</v>
      </c>
      <c r="K46" s="62" t="e">
        <f>IF(AND(' RIESGOS DE GESTION'!#REF!="Muy Baja",' RIESGOS DE GESTION'!#REF!="Leve"),CONCATENATE("R1C",' RIESGOS DE GESTION'!#REF!),"")</f>
        <v>#REF!</v>
      </c>
      <c r="L46" s="62" t="e">
        <f>IF(AND(' RIESGOS DE GESTION'!#REF!="Muy Baja",' RIESGOS DE GESTION'!#REF!="Leve"),CONCATENATE("R1C",' RIESGOS DE GESTION'!#REF!),"")</f>
        <v>#REF!</v>
      </c>
      <c r="M46" s="62" t="e">
        <f>IF(AND(' RIESGOS DE GESTION'!#REF!="Muy Baja",' RIESGOS DE GESTION'!#REF!="Leve"),CONCATENATE("R1C",' RIESGOS DE GESTION'!#REF!),"")</f>
        <v>#REF!</v>
      </c>
      <c r="N46" s="62" t="e">
        <f>IF(AND(' RIESGOS DE GESTION'!#REF!="Muy Baja",' RIESGOS DE GESTION'!#REF!="Leve"),CONCATENATE("R1C",' RIESGOS DE GESTION'!#REF!),"")</f>
        <v>#REF!</v>
      </c>
      <c r="O46" s="63" t="e">
        <f>IF(AND(' RIESGOS DE GESTION'!#REF!="Muy Baja",' RIESGOS DE GESTION'!#REF!="Leve"),CONCATENATE("R1C",' RIESGOS DE GESTION'!#REF!),"")</f>
        <v>#REF!</v>
      </c>
      <c r="P46" s="61" t="e">
        <f>IF(AND(' RIESGOS DE GESTION'!#REF!="Muy Baja",' RIESGOS DE GESTION'!#REF!="Menor"),CONCATENATE("R1C",' RIESGOS DE GESTION'!#REF!),"")</f>
        <v>#REF!</v>
      </c>
      <c r="Q46" s="62" t="e">
        <f>IF(AND(' RIESGOS DE GESTION'!#REF!="Muy Baja",' RIESGOS DE GESTION'!#REF!="Menor"),CONCATENATE("R1C",' RIESGOS DE GESTION'!#REF!),"")</f>
        <v>#REF!</v>
      </c>
      <c r="R46" s="62" t="e">
        <f>IF(AND(' RIESGOS DE GESTION'!#REF!="Muy Baja",' RIESGOS DE GESTION'!#REF!="Menor"),CONCATENATE("R1C",' RIESGOS DE GESTION'!#REF!),"")</f>
        <v>#REF!</v>
      </c>
      <c r="S46" s="62" t="e">
        <f>IF(AND(' RIESGOS DE GESTION'!#REF!="Muy Baja",' RIESGOS DE GESTION'!#REF!="Menor"),CONCATENATE("R1C",' RIESGOS DE GESTION'!#REF!),"")</f>
        <v>#REF!</v>
      </c>
      <c r="T46" s="62" t="e">
        <f>IF(AND(' RIESGOS DE GESTION'!#REF!="Muy Baja",' RIESGOS DE GESTION'!#REF!="Menor"),CONCATENATE("R1C",' RIESGOS DE GESTION'!#REF!),"")</f>
        <v>#REF!</v>
      </c>
      <c r="U46" s="63" t="e">
        <f>IF(AND(' RIESGOS DE GESTION'!#REF!="Muy Baja",' RIESGOS DE GESTION'!#REF!="Menor"),CONCATENATE("R1C",' RIESGOS DE GESTION'!#REF!),"")</f>
        <v>#REF!</v>
      </c>
      <c r="V46" s="52" t="e">
        <f>IF(AND(' RIESGOS DE GESTION'!#REF!="Muy Baja",' RIESGOS DE GESTION'!#REF!="Moderado"),CONCATENATE("R1C",' RIESGOS DE GESTION'!#REF!),"")</f>
        <v>#REF!</v>
      </c>
      <c r="W46" s="70" t="e">
        <f>IF(AND(' RIESGOS DE GESTION'!#REF!="Muy Baja",' RIESGOS DE GESTION'!#REF!="Moderado"),CONCATENATE("R1C",' RIESGOS DE GESTION'!#REF!),"")</f>
        <v>#REF!</v>
      </c>
      <c r="X46" s="53" t="e">
        <f>IF(AND(' RIESGOS DE GESTION'!#REF!="Muy Baja",' RIESGOS DE GESTION'!#REF!="Moderado"),CONCATENATE("R1C",' RIESGOS DE GESTION'!#REF!),"")</f>
        <v>#REF!</v>
      </c>
      <c r="Y46" s="53" t="e">
        <f>IF(AND(' RIESGOS DE GESTION'!#REF!="Muy Baja",' RIESGOS DE GESTION'!#REF!="Moderado"),CONCATENATE("R1C",' RIESGOS DE GESTION'!#REF!),"")</f>
        <v>#REF!</v>
      </c>
      <c r="Z46" s="53" t="e">
        <f>IF(AND(' RIESGOS DE GESTION'!#REF!="Muy Baja",' RIESGOS DE GESTION'!#REF!="Moderado"),CONCATENATE("R1C",' RIESGOS DE GESTION'!#REF!),"")</f>
        <v>#REF!</v>
      </c>
      <c r="AA46" s="54" t="e">
        <f>IF(AND(' RIESGOS DE GESTION'!#REF!="Muy Baja",' RIESGOS DE GESTION'!#REF!="Moderado"),CONCATENATE("R1C",' RIESGOS DE GESTION'!#REF!),"")</f>
        <v>#REF!</v>
      </c>
      <c r="AB46" s="34" t="e">
        <f>IF(AND(' RIESGOS DE GESTION'!#REF!="Muy Baja",' RIESGOS DE GESTION'!#REF!="Mayor"),CONCATENATE("R1C",' RIESGOS DE GESTION'!#REF!),"")</f>
        <v>#REF!</v>
      </c>
      <c r="AC46" s="35" t="e">
        <f>IF(AND(' RIESGOS DE GESTION'!#REF!="Muy Baja",' RIESGOS DE GESTION'!#REF!="Mayor"),CONCATENATE("R1C",' RIESGOS DE GESTION'!#REF!),"")</f>
        <v>#REF!</v>
      </c>
      <c r="AD46" s="35" t="e">
        <f>IF(AND(' RIESGOS DE GESTION'!#REF!="Muy Baja",' RIESGOS DE GESTION'!#REF!="Mayor"),CONCATENATE("R1C",' RIESGOS DE GESTION'!#REF!),"")</f>
        <v>#REF!</v>
      </c>
      <c r="AE46" s="35" t="e">
        <f>IF(AND(' RIESGOS DE GESTION'!#REF!="Muy Baja",' RIESGOS DE GESTION'!#REF!="Mayor"),CONCATENATE("R1C",' RIESGOS DE GESTION'!#REF!),"")</f>
        <v>#REF!</v>
      </c>
      <c r="AF46" s="35" t="e">
        <f>IF(AND(' RIESGOS DE GESTION'!#REF!="Muy Baja",' RIESGOS DE GESTION'!#REF!="Mayor"),CONCATENATE("R1C",' RIESGOS DE GESTION'!#REF!),"")</f>
        <v>#REF!</v>
      </c>
      <c r="AG46" s="36" t="e">
        <f>IF(AND(' RIESGOS DE GESTION'!#REF!="Muy Baja",' RIESGOS DE GESTION'!#REF!="Mayor"),CONCATENATE("R1C",' RIESGOS DE GESTION'!#REF!),"")</f>
        <v>#REF!</v>
      </c>
      <c r="AH46" s="37" t="e">
        <f>IF(AND(' RIESGOS DE GESTION'!#REF!="Muy Baja",' RIESGOS DE GESTION'!#REF!="Catastrófico"),CONCATENATE("R1C",' RIESGOS DE GESTION'!#REF!),"")</f>
        <v>#REF!</v>
      </c>
      <c r="AI46" s="38" t="e">
        <f>IF(AND(' RIESGOS DE GESTION'!#REF!="Muy Baja",' RIESGOS DE GESTION'!#REF!="Catastrófico"),CONCATENATE("R1C",' RIESGOS DE GESTION'!#REF!),"")</f>
        <v>#REF!</v>
      </c>
      <c r="AJ46" s="38" t="e">
        <f>IF(AND(' RIESGOS DE GESTION'!#REF!="Muy Baja",' RIESGOS DE GESTION'!#REF!="Catastrófico"),CONCATENATE("R1C",' RIESGOS DE GESTION'!#REF!),"")</f>
        <v>#REF!</v>
      </c>
      <c r="AK46" s="38" t="e">
        <f>IF(AND(' RIESGOS DE GESTION'!#REF!="Muy Baja",' RIESGOS DE GESTION'!#REF!="Catastrófico"),CONCATENATE("R1C",' RIESGOS DE GESTION'!#REF!),"")</f>
        <v>#REF!</v>
      </c>
      <c r="AL46" s="38" t="e">
        <f>IF(AND(' RIESGOS DE GESTION'!#REF!="Muy Baja",' RIESGOS DE GESTION'!#REF!="Catastrófico"),CONCATENATE("R1C",' RIESGOS DE GESTION'!#REF!),"")</f>
        <v>#REF!</v>
      </c>
      <c r="AM46" s="39" t="e">
        <f>IF(AND(' RIESGOS DE GESTION'!#REF!="Muy Baja",' RIESGOS DE GESTION'!#REF!="Catastrófico"),CONCATENATE("R1C",' RIESGOS DE GESTION'!#REF!),"")</f>
        <v>#REF!</v>
      </c>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ht="46.5" customHeight="1">
      <c r="A47" s="71"/>
      <c r="B47" s="537"/>
      <c r="C47" s="537"/>
      <c r="D47" s="538"/>
      <c r="E47" s="634"/>
      <c r="F47" s="635"/>
      <c r="G47" s="635"/>
      <c r="H47" s="635"/>
      <c r="I47" s="651"/>
      <c r="J47" s="64" t="e">
        <f>IF(AND(' RIESGOS DE GESTION'!#REF!="Muy Baja",' RIESGOS DE GESTION'!#REF!="Leve"),CONCATENATE("R2C",' RIESGOS DE GESTION'!#REF!),"")</f>
        <v>#REF!</v>
      </c>
      <c r="K47" s="65" t="e">
        <f>IF(AND(' RIESGOS DE GESTION'!#REF!="Muy Baja",' RIESGOS DE GESTION'!#REF!="Leve"),CONCATENATE("R2C",' RIESGOS DE GESTION'!#REF!),"")</f>
        <v>#REF!</v>
      </c>
      <c r="L47" s="65" t="e">
        <f>IF(AND(' RIESGOS DE GESTION'!#REF!="Muy Baja",' RIESGOS DE GESTION'!#REF!="Leve"),CONCATENATE("R2C",' RIESGOS DE GESTION'!#REF!),"")</f>
        <v>#REF!</v>
      </c>
      <c r="M47" s="65" t="e">
        <f>IF(AND(' RIESGOS DE GESTION'!#REF!="Muy Baja",' RIESGOS DE GESTION'!#REF!="Leve"),CONCATENATE("R2C",' RIESGOS DE GESTION'!#REF!),"")</f>
        <v>#REF!</v>
      </c>
      <c r="N47" s="65" t="e">
        <f>IF(AND(' RIESGOS DE GESTION'!#REF!="Muy Baja",' RIESGOS DE GESTION'!#REF!="Leve"),CONCATENATE("R2C",' RIESGOS DE GESTION'!#REF!),"")</f>
        <v>#REF!</v>
      </c>
      <c r="O47" s="66" t="e">
        <f>IF(AND(' RIESGOS DE GESTION'!#REF!="Muy Baja",' RIESGOS DE GESTION'!#REF!="Leve"),CONCATENATE("R2C",' RIESGOS DE GESTION'!#REF!),"")</f>
        <v>#REF!</v>
      </c>
      <c r="P47" s="64" t="e">
        <f>IF(AND(' RIESGOS DE GESTION'!#REF!="Muy Baja",' RIESGOS DE GESTION'!#REF!="Menor"),CONCATENATE("R2C",' RIESGOS DE GESTION'!#REF!),"")</f>
        <v>#REF!</v>
      </c>
      <c r="Q47" s="65" t="e">
        <f>IF(AND(' RIESGOS DE GESTION'!#REF!="Muy Baja",' RIESGOS DE GESTION'!#REF!="Menor"),CONCATENATE("R2C",' RIESGOS DE GESTION'!#REF!),"")</f>
        <v>#REF!</v>
      </c>
      <c r="R47" s="65" t="e">
        <f>IF(AND(' RIESGOS DE GESTION'!#REF!="Muy Baja",' RIESGOS DE GESTION'!#REF!="Menor"),CONCATENATE("R2C",' RIESGOS DE GESTION'!#REF!),"")</f>
        <v>#REF!</v>
      </c>
      <c r="S47" s="65" t="e">
        <f>IF(AND(' RIESGOS DE GESTION'!#REF!="Muy Baja",' RIESGOS DE GESTION'!#REF!="Menor"),CONCATENATE("R2C",' RIESGOS DE GESTION'!#REF!),"")</f>
        <v>#REF!</v>
      </c>
      <c r="T47" s="65" t="e">
        <f>IF(AND(' RIESGOS DE GESTION'!#REF!="Muy Baja",' RIESGOS DE GESTION'!#REF!="Menor"),CONCATENATE("R2C",' RIESGOS DE GESTION'!#REF!),"")</f>
        <v>#REF!</v>
      </c>
      <c r="U47" s="66" t="e">
        <f>IF(AND(' RIESGOS DE GESTION'!#REF!="Muy Baja",' RIESGOS DE GESTION'!#REF!="Menor"),CONCATENATE("R2C",' RIESGOS DE GESTION'!#REF!),"")</f>
        <v>#REF!</v>
      </c>
      <c r="V47" s="55" t="e">
        <f>IF(AND(' RIESGOS DE GESTION'!#REF!="Muy Baja",' RIESGOS DE GESTION'!#REF!="Moderado"),CONCATENATE("R2C",' RIESGOS DE GESTION'!#REF!),"")</f>
        <v>#REF!</v>
      </c>
      <c r="W47" s="56" t="e">
        <f>IF(AND(' RIESGOS DE GESTION'!#REF!="Muy Baja",' RIESGOS DE GESTION'!#REF!="Moderado"),CONCATENATE("R2C",' RIESGOS DE GESTION'!#REF!),"")</f>
        <v>#REF!</v>
      </c>
      <c r="X47" s="56" t="e">
        <f>IF(AND(' RIESGOS DE GESTION'!#REF!="Muy Baja",' RIESGOS DE GESTION'!#REF!="Moderado"),CONCATENATE("R2C",' RIESGOS DE GESTION'!#REF!),"")</f>
        <v>#REF!</v>
      </c>
      <c r="Y47" s="56" t="e">
        <f>IF(AND(' RIESGOS DE GESTION'!#REF!="Muy Baja",' RIESGOS DE GESTION'!#REF!="Moderado"),CONCATENATE("R2C",' RIESGOS DE GESTION'!#REF!),"")</f>
        <v>#REF!</v>
      </c>
      <c r="Z47" s="56" t="e">
        <f>IF(AND(' RIESGOS DE GESTION'!#REF!="Muy Baja",' RIESGOS DE GESTION'!#REF!="Moderado"),CONCATENATE("R2C",' RIESGOS DE GESTION'!#REF!),"")</f>
        <v>#REF!</v>
      </c>
      <c r="AA47" s="57" t="e">
        <f>IF(AND(' RIESGOS DE GESTION'!#REF!="Muy Baja",' RIESGOS DE GESTION'!#REF!="Moderado"),CONCATENATE("R2C",' RIESGOS DE GESTION'!#REF!),"")</f>
        <v>#REF!</v>
      </c>
      <c r="AB47" s="40" t="e">
        <f>IF(AND(' RIESGOS DE GESTION'!#REF!="Muy Baja",' RIESGOS DE GESTION'!#REF!="Mayor"),CONCATENATE("R2C",' RIESGOS DE GESTION'!#REF!),"")</f>
        <v>#REF!</v>
      </c>
      <c r="AC47" s="41" t="e">
        <f>IF(AND(' RIESGOS DE GESTION'!#REF!="Muy Baja",' RIESGOS DE GESTION'!#REF!="Mayor"),CONCATENATE("R2C",' RIESGOS DE GESTION'!#REF!),"")</f>
        <v>#REF!</v>
      </c>
      <c r="AD47" s="41" t="e">
        <f>IF(AND(' RIESGOS DE GESTION'!#REF!="Muy Baja",' RIESGOS DE GESTION'!#REF!="Mayor"),CONCATENATE("R2C",' RIESGOS DE GESTION'!#REF!),"")</f>
        <v>#REF!</v>
      </c>
      <c r="AE47" s="41" t="e">
        <f>IF(AND(' RIESGOS DE GESTION'!#REF!="Muy Baja",' RIESGOS DE GESTION'!#REF!="Mayor"),CONCATENATE("R2C",' RIESGOS DE GESTION'!#REF!),"")</f>
        <v>#REF!</v>
      </c>
      <c r="AF47" s="41" t="e">
        <f>IF(AND(' RIESGOS DE GESTION'!#REF!="Muy Baja",' RIESGOS DE GESTION'!#REF!="Mayor"),CONCATENATE("R2C",' RIESGOS DE GESTION'!#REF!),"")</f>
        <v>#REF!</v>
      </c>
      <c r="AG47" s="42" t="e">
        <f>IF(AND(' RIESGOS DE GESTION'!#REF!="Muy Baja",' RIESGOS DE GESTION'!#REF!="Mayor"),CONCATENATE("R2C",' RIESGOS DE GESTION'!#REF!),"")</f>
        <v>#REF!</v>
      </c>
      <c r="AH47" s="43" t="e">
        <f>IF(AND(' RIESGOS DE GESTION'!#REF!="Muy Baja",' RIESGOS DE GESTION'!#REF!="Catastrófico"),CONCATENATE("R2C",' RIESGOS DE GESTION'!#REF!),"")</f>
        <v>#REF!</v>
      </c>
      <c r="AI47" s="44" t="e">
        <f>IF(AND(' RIESGOS DE GESTION'!#REF!="Muy Baja",' RIESGOS DE GESTION'!#REF!="Catastrófico"),CONCATENATE("R2C",' RIESGOS DE GESTION'!#REF!),"")</f>
        <v>#REF!</v>
      </c>
      <c r="AJ47" s="44" t="e">
        <f>IF(AND(' RIESGOS DE GESTION'!#REF!="Muy Baja",' RIESGOS DE GESTION'!#REF!="Catastrófico"),CONCATENATE("R2C",' RIESGOS DE GESTION'!#REF!),"")</f>
        <v>#REF!</v>
      </c>
      <c r="AK47" s="44" t="e">
        <f>IF(AND(' RIESGOS DE GESTION'!#REF!="Muy Baja",' RIESGOS DE GESTION'!#REF!="Catastrófico"),CONCATENATE("R2C",' RIESGOS DE GESTION'!#REF!),"")</f>
        <v>#REF!</v>
      </c>
      <c r="AL47" s="44" t="e">
        <f>IF(AND(' RIESGOS DE GESTION'!#REF!="Muy Baja",' RIESGOS DE GESTION'!#REF!="Catastrófico"),CONCATENATE("R2C",' RIESGOS DE GESTION'!#REF!),"")</f>
        <v>#REF!</v>
      </c>
      <c r="AM47" s="45" t="e">
        <f>IF(AND(' RIESGOS DE GESTION'!#REF!="Muy Baja",' RIESGOS DE GESTION'!#REF!="Catastrófico"),CONCATENATE("R2C",' RIESGOS DE GESTION'!#REF!),"")</f>
        <v>#REF!</v>
      </c>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ht="15" customHeight="1">
      <c r="A48" s="71"/>
      <c r="B48" s="537"/>
      <c r="C48" s="537"/>
      <c r="D48" s="538"/>
      <c r="E48" s="634"/>
      <c r="F48" s="635"/>
      <c r="G48" s="635"/>
      <c r="H48" s="635"/>
      <c r="I48" s="651"/>
      <c r="J48" s="64" t="e">
        <f>IF(AND(' RIESGOS DE GESTION'!#REF!="Muy Baja",' RIESGOS DE GESTION'!#REF!="Leve"),CONCATENATE("R3C",' RIESGOS DE GESTION'!#REF!),"")</f>
        <v>#REF!</v>
      </c>
      <c r="K48" s="65" t="e">
        <f>IF(AND(' RIESGOS DE GESTION'!#REF!="Muy Baja",' RIESGOS DE GESTION'!#REF!="Leve"),CONCATENATE("R3C",' RIESGOS DE GESTION'!#REF!),"")</f>
        <v>#REF!</v>
      </c>
      <c r="L48" s="65" t="e">
        <f>IF(AND(' RIESGOS DE GESTION'!#REF!="Muy Baja",' RIESGOS DE GESTION'!#REF!="Leve"),CONCATENATE("R3C",' RIESGOS DE GESTION'!#REF!),"")</f>
        <v>#REF!</v>
      </c>
      <c r="M48" s="65" t="e">
        <f>IF(AND(' RIESGOS DE GESTION'!#REF!="Muy Baja",' RIESGOS DE GESTION'!#REF!="Leve"),CONCATENATE("R3C",' RIESGOS DE GESTION'!#REF!),"")</f>
        <v>#REF!</v>
      </c>
      <c r="N48" s="65" t="e">
        <f>IF(AND(' RIESGOS DE GESTION'!#REF!="Muy Baja",' RIESGOS DE GESTION'!#REF!="Leve"),CONCATENATE("R3C",' RIESGOS DE GESTION'!#REF!),"")</f>
        <v>#REF!</v>
      </c>
      <c r="O48" s="66" t="e">
        <f>IF(AND(' RIESGOS DE GESTION'!#REF!="Muy Baja",' RIESGOS DE GESTION'!#REF!="Leve"),CONCATENATE("R3C",' RIESGOS DE GESTION'!#REF!),"")</f>
        <v>#REF!</v>
      </c>
      <c r="P48" s="64" t="e">
        <f>IF(AND(' RIESGOS DE GESTION'!#REF!="Muy Baja",' RIESGOS DE GESTION'!#REF!="Menor"),CONCATENATE("R3C",' RIESGOS DE GESTION'!#REF!),"")</f>
        <v>#REF!</v>
      </c>
      <c r="Q48" s="65" t="e">
        <f>IF(AND(' RIESGOS DE GESTION'!#REF!="Muy Baja",' RIESGOS DE GESTION'!#REF!="Menor"),CONCATENATE("R3C",' RIESGOS DE GESTION'!#REF!),"")</f>
        <v>#REF!</v>
      </c>
      <c r="R48" s="65" t="e">
        <f>IF(AND(' RIESGOS DE GESTION'!#REF!="Muy Baja",' RIESGOS DE GESTION'!#REF!="Menor"),CONCATENATE("R3C",' RIESGOS DE GESTION'!#REF!),"")</f>
        <v>#REF!</v>
      </c>
      <c r="S48" s="65" t="e">
        <f>IF(AND(' RIESGOS DE GESTION'!#REF!="Muy Baja",' RIESGOS DE GESTION'!#REF!="Menor"),CONCATENATE("R3C",' RIESGOS DE GESTION'!#REF!),"")</f>
        <v>#REF!</v>
      </c>
      <c r="T48" s="65" t="e">
        <f>IF(AND(' RIESGOS DE GESTION'!#REF!="Muy Baja",' RIESGOS DE GESTION'!#REF!="Menor"),CONCATENATE("R3C",' RIESGOS DE GESTION'!#REF!),"")</f>
        <v>#REF!</v>
      </c>
      <c r="U48" s="66" t="e">
        <f>IF(AND(' RIESGOS DE GESTION'!#REF!="Muy Baja",' RIESGOS DE GESTION'!#REF!="Menor"),CONCATENATE("R3C",' RIESGOS DE GESTION'!#REF!),"")</f>
        <v>#REF!</v>
      </c>
      <c r="V48" s="55" t="e">
        <f>IF(AND(' RIESGOS DE GESTION'!#REF!="Muy Baja",' RIESGOS DE GESTION'!#REF!="Moderado"),CONCATENATE("R3C",' RIESGOS DE GESTION'!#REF!),"")</f>
        <v>#REF!</v>
      </c>
      <c r="W48" s="56" t="e">
        <f>IF(AND(' RIESGOS DE GESTION'!#REF!="Muy Baja",' RIESGOS DE GESTION'!#REF!="Moderado"),CONCATENATE("R3C",' RIESGOS DE GESTION'!#REF!),"")</f>
        <v>#REF!</v>
      </c>
      <c r="X48" s="56" t="e">
        <f>IF(AND(' RIESGOS DE GESTION'!#REF!="Muy Baja",' RIESGOS DE GESTION'!#REF!="Moderado"),CONCATENATE("R3C",' RIESGOS DE GESTION'!#REF!),"")</f>
        <v>#REF!</v>
      </c>
      <c r="Y48" s="56" t="e">
        <f>IF(AND(' RIESGOS DE GESTION'!#REF!="Muy Baja",' RIESGOS DE GESTION'!#REF!="Moderado"),CONCATENATE("R3C",' RIESGOS DE GESTION'!#REF!),"")</f>
        <v>#REF!</v>
      </c>
      <c r="Z48" s="56" t="e">
        <f>IF(AND(' RIESGOS DE GESTION'!#REF!="Muy Baja",' RIESGOS DE GESTION'!#REF!="Moderado"),CONCATENATE("R3C",' RIESGOS DE GESTION'!#REF!),"")</f>
        <v>#REF!</v>
      </c>
      <c r="AA48" s="57" t="e">
        <f>IF(AND(' RIESGOS DE GESTION'!#REF!="Muy Baja",' RIESGOS DE GESTION'!#REF!="Moderado"),CONCATENATE("R3C",' RIESGOS DE GESTION'!#REF!),"")</f>
        <v>#REF!</v>
      </c>
      <c r="AB48" s="40" t="e">
        <f>IF(AND(' RIESGOS DE GESTION'!#REF!="Muy Baja",' RIESGOS DE GESTION'!#REF!="Mayor"),CONCATENATE("R3C",' RIESGOS DE GESTION'!#REF!),"")</f>
        <v>#REF!</v>
      </c>
      <c r="AC48" s="41" t="e">
        <f>IF(AND(' RIESGOS DE GESTION'!#REF!="Muy Baja",' RIESGOS DE GESTION'!#REF!="Mayor"),CONCATENATE("R3C",' RIESGOS DE GESTION'!#REF!),"")</f>
        <v>#REF!</v>
      </c>
      <c r="AD48" s="41" t="e">
        <f>IF(AND(' RIESGOS DE GESTION'!#REF!="Muy Baja",' RIESGOS DE GESTION'!#REF!="Mayor"),CONCATENATE("R3C",' RIESGOS DE GESTION'!#REF!),"")</f>
        <v>#REF!</v>
      </c>
      <c r="AE48" s="41" t="e">
        <f>IF(AND(' RIESGOS DE GESTION'!#REF!="Muy Baja",' RIESGOS DE GESTION'!#REF!="Mayor"),CONCATENATE("R3C",' RIESGOS DE GESTION'!#REF!),"")</f>
        <v>#REF!</v>
      </c>
      <c r="AF48" s="41" t="e">
        <f>IF(AND(' RIESGOS DE GESTION'!#REF!="Muy Baja",' RIESGOS DE GESTION'!#REF!="Mayor"),CONCATENATE("R3C",' RIESGOS DE GESTION'!#REF!),"")</f>
        <v>#REF!</v>
      </c>
      <c r="AG48" s="42" t="e">
        <f>IF(AND(' RIESGOS DE GESTION'!#REF!="Muy Baja",' RIESGOS DE GESTION'!#REF!="Mayor"),CONCATENATE("R3C",' RIESGOS DE GESTION'!#REF!),"")</f>
        <v>#REF!</v>
      </c>
      <c r="AH48" s="43" t="e">
        <f>IF(AND(' RIESGOS DE GESTION'!#REF!="Muy Baja",' RIESGOS DE GESTION'!#REF!="Catastrófico"),CONCATENATE("R3C",' RIESGOS DE GESTION'!#REF!),"")</f>
        <v>#REF!</v>
      </c>
      <c r="AI48" s="44" t="e">
        <f>IF(AND(' RIESGOS DE GESTION'!#REF!="Muy Baja",' RIESGOS DE GESTION'!#REF!="Catastrófico"),CONCATENATE("R3C",' RIESGOS DE GESTION'!#REF!),"")</f>
        <v>#REF!</v>
      </c>
      <c r="AJ48" s="44" t="e">
        <f>IF(AND(' RIESGOS DE GESTION'!#REF!="Muy Baja",' RIESGOS DE GESTION'!#REF!="Catastrófico"),CONCATENATE("R3C",' RIESGOS DE GESTION'!#REF!),"")</f>
        <v>#REF!</v>
      </c>
      <c r="AK48" s="44" t="e">
        <f>IF(AND(' RIESGOS DE GESTION'!#REF!="Muy Baja",' RIESGOS DE GESTION'!#REF!="Catastrófico"),CONCATENATE("R3C",' RIESGOS DE GESTION'!#REF!),"")</f>
        <v>#REF!</v>
      </c>
      <c r="AL48" s="44" t="e">
        <f>IF(AND(' RIESGOS DE GESTION'!#REF!="Muy Baja",' RIESGOS DE GESTION'!#REF!="Catastrófico"),CONCATENATE("R3C",' RIESGOS DE GESTION'!#REF!),"")</f>
        <v>#REF!</v>
      </c>
      <c r="AM48" s="45" t="e">
        <f>IF(AND(' RIESGOS DE GESTION'!#REF!="Muy Baja",' RIESGOS DE GESTION'!#REF!="Catastrófico"),CONCATENATE("R3C",' RIESGOS DE GESTION'!#REF!),"")</f>
        <v>#REF!</v>
      </c>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ht="15" customHeight="1">
      <c r="A49" s="71"/>
      <c r="B49" s="537"/>
      <c r="C49" s="537"/>
      <c r="D49" s="538"/>
      <c r="E49" s="636"/>
      <c r="F49" s="635"/>
      <c r="G49" s="635"/>
      <c r="H49" s="635"/>
      <c r="I49" s="651"/>
      <c r="J49" s="64" t="e">
        <f>IF(AND(' RIESGOS DE GESTION'!#REF!="Muy Baja",' RIESGOS DE GESTION'!#REF!="Leve"),CONCATENATE("R4C",' RIESGOS DE GESTION'!#REF!),"")</f>
        <v>#REF!</v>
      </c>
      <c r="K49" s="65" t="e">
        <f>IF(AND(' RIESGOS DE GESTION'!#REF!="Muy Baja",' RIESGOS DE GESTION'!#REF!="Leve"),CONCATENATE("R4C",' RIESGOS DE GESTION'!#REF!),"")</f>
        <v>#REF!</v>
      </c>
      <c r="L49" s="65" t="e">
        <f>IF(AND(' RIESGOS DE GESTION'!#REF!="Muy Baja",' RIESGOS DE GESTION'!#REF!="Leve"),CONCATENATE("R4C",' RIESGOS DE GESTION'!#REF!),"")</f>
        <v>#REF!</v>
      </c>
      <c r="M49" s="65" t="e">
        <f>IF(AND(' RIESGOS DE GESTION'!#REF!="Muy Baja",' RIESGOS DE GESTION'!#REF!="Leve"),CONCATENATE("R4C",' RIESGOS DE GESTION'!#REF!),"")</f>
        <v>#REF!</v>
      </c>
      <c r="N49" s="65" t="e">
        <f>IF(AND(' RIESGOS DE GESTION'!#REF!="Muy Baja",' RIESGOS DE GESTION'!#REF!="Leve"),CONCATENATE("R4C",' RIESGOS DE GESTION'!#REF!),"")</f>
        <v>#REF!</v>
      </c>
      <c r="O49" s="66" t="e">
        <f>IF(AND(' RIESGOS DE GESTION'!#REF!="Muy Baja",' RIESGOS DE GESTION'!#REF!="Leve"),CONCATENATE("R4C",' RIESGOS DE GESTION'!#REF!),"")</f>
        <v>#REF!</v>
      </c>
      <c r="P49" s="64" t="e">
        <f>IF(AND(' RIESGOS DE GESTION'!#REF!="Muy Baja",' RIESGOS DE GESTION'!#REF!="Menor"),CONCATENATE("R4C",' RIESGOS DE GESTION'!#REF!),"")</f>
        <v>#REF!</v>
      </c>
      <c r="Q49" s="65" t="e">
        <f>IF(AND(' RIESGOS DE GESTION'!#REF!="Muy Baja",' RIESGOS DE GESTION'!#REF!="Menor"),CONCATENATE("R4C",' RIESGOS DE GESTION'!#REF!),"")</f>
        <v>#REF!</v>
      </c>
      <c r="R49" s="65" t="e">
        <f>IF(AND(' RIESGOS DE GESTION'!#REF!="Muy Baja",' RIESGOS DE GESTION'!#REF!="Menor"),CONCATENATE("R4C",' RIESGOS DE GESTION'!#REF!),"")</f>
        <v>#REF!</v>
      </c>
      <c r="S49" s="65" t="e">
        <f>IF(AND(' RIESGOS DE GESTION'!#REF!="Muy Baja",' RIESGOS DE GESTION'!#REF!="Menor"),CONCATENATE("R4C",' RIESGOS DE GESTION'!#REF!),"")</f>
        <v>#REF!</v>
      </c>
      <c r="T49" s="65" t="e">
        <f>IF(AND(' RIESGOS DE GESTION'!#REF!="Muy Baja",' RIESGOS DE GESTION'!#REF!="Menor"),CONCATENATE("R4C",' RIESGOS DE GESTION'!#REF!),"")</f>
        <v>#REF!</v>
      </c>
      <c r="U49" s="66" t="e">
        <f>IF(AND(' RIESGOS DE GESTION'!#REF!="Muy Baja",' RIESGOS DE GESTION'!#REF!="Menor"),CONCATENATE("R4C",' RIESGOS DE GESTION'!#REF!),"")</f>
        <v>#REF!</v>
      </c>
      <c r="V49" s="55" t="e">
        <f>IF(AND(' RIESGOS DE GESTION'!#REF!="Muy Baja",' RIESGOS DE GESTION'!#REF!="Moderado"),CONCATENATE("R4C",' RIESGOS DE GESTION'!#REF!),"")</f>
        <v>#REF!</v>
      </c>
      <c r="W49" s="56" t="e">
        <f>IF(AND(' RIESGOS DE GESTION'!#REF!="Muy Baja",' RIESGOS DE GESTION'!#REF!="Moderado"),CONCATENATE("R4C",' RIESGOS DE GESTION'!#REF!),"")</f>
        <v>#REF!</v>
      </c>
      <c r="X49" s="56" t="e">
        <f>IF(AND(' RIESGOS DE GESTION'!#REF!="Muy Baja",' RIESGOS DE GESTION'!#REF!="Moderado"),CONCATENATE("R4C",' RIESGOS DE GESTION'!#REF!),"")</f>
        <v>#REF!</v>
      </c>
      <c r="Y49" s="56" t="e">
        <f>IF(AND(' RIESGOS DE GESTION'!#REF!="Muy Baja",' RIESGOS DE GESTION'!#REF!="Moderado"),CONCATENATE("R4C",' RIESGOS DE GESTION'!#REF!),"")</f>
        <v>#REF!</v>
      </c>
      <c r="Z49" s="56" t="e">
        <f>IF(AND(' RIESGOS DE GESTION'!#REF!="Muy Baja",' RIESGOS DE GESTION'!#REF!="Moderado"),CONCATENATE("R4C",' RIESGOS DE GESTION'!#REF!),"")</f>
        <v>#REF!</v>
      </c>
      <c r="AA49" s="57" t="e">
        <f>IF(AND(' RIESGOS DE GESTION'!#REF!="Muy Baja",' RIESGOS DE GESTION'!#REF!="Moderado"),CONCATENATE("R4C",' RIESGOS DE GESTION'!#REF!),"")</f>
        <v>#REF!</v>
      </c>
      <c r="AB49" s="40" t="e">
        <f>IF(AND(' RIESGOS DE GESTION'!#REF!="Muy Baja",' RIESGOS DE GESTION'!#REF!="Mayor"),CONCATENATE("R4C",' RIESGOS DE GESTION'!#REF!),"")</f>
        <v>#REF!</v>
      </c>
      <c r="AC49" s="41" t="e">
        <f>IF(AND(' RIESGOS DE GESTION'!#REF!="Muy Baja",' RIESGOS DE GESTION'!#REF!="Mayor"),CONCATENATE("R4C",' RIESGOS DE GESTION'!#REF!),"")</f>
        <v>#REF!</v>
      </c>
      <c r="AD49" s="41" t="e">
        <f>IF(AND(' RIESGOS DE GESTION'!#REF!="Muy Baja",' RIESGOS DE GESTION'!#REF!="Mayor"),CONCATENATE("R4C",' RIESGOS DE GESTION'!#REF!),"")</f>
        <v>#REF!</v>
      </c>
      <c r="AE49" s="41" t="e">
        <f>IF(AND(' RIESGOS DE GESTION'!#REF!="Muy Baja",' RIESGOS DE GESTION'!#REF!="Mayor"),CONCATENATE("R4C",' RIESGOS DE GESTION'!#REF!),"")</f>
        <v>#REF!</v>
      </c>
      <c r="AF49" s="41" t="e">
        <f>IF(AND(' RIESGOS DE GESTION'!#REF!="Muy Baja",' RIESGOS DE GESTION'!#REF!="Mayor"),CONCATENATE("R4C",' RIESGOS DE GESTION'!#REF!),"")</f>
        <v>#REF!</v>
      </c>
      <c r="AG49" s="42" t="e">
        <f>IF(AND(' RIESGOS DE GESTION'!#REF!="Muy Baja",' RIESGOS DE GESTION'!#REF!="Mayor"),CONCATENATE("R4C",' RIESGOS DE GESTION'!#REF!),"")</f>
        <v>#REF!</v>
      </c>
      <c r="AH49" s="43" t="e">
        <f>IF(AND(' RIESGOS DE GESTION'!#REF!="Muy Baja",' RIESGOS DE GESTION'!#REF!="Catastrófico"),CONCATENATE("R4C",' RIESGOS DE GESTION'!#REF!),"")</f>
        <v>#REF!</v>
      </c>
      <c r="AI49" s="44" t="e">
        <f>IF(AND(' RIESGOS DE GESTION'!#REF!="Muy Baja",' RIESGOS DE GESTION'!#REF!="Catastrófico"),CONCATENATE("R4C",' RIESGOS DE GESTION'!#REF!),"")</f>
        <v>#REF!</v>
      </c>
      <c r="AJ49" s="44" t="e">
        <f>IF(AND(' RIESGOS DE GESTION'!#REF!="Muy Baja",' RIESGOS DE GESTION'!#REF!="Catastrófico"),CONCATENATE("R4C",' RIESGOS DE GESTION'!#REF!),"")</f>
        <v>#REF!</v>
      </c>
      <c r="AK49" s="44" t="e">
        <f>IF(AND(' RIESGOS DE GESTION'!#REF!="Muy Baja",' RIESGOS DE GESTION'!#REF!="Catastrófico"),CONCATENATE("R4C",' RIESGOS DE GESTION'!#REF!),"")</f>
        <v>#REF!</v>
      </c>
      <c r="AL49" s="44" t="e">
        <f>IF(AND(' RIESGOS DE GESTION'!#REF!="Muy Baja",' RIESGOS DE GESTION'!#REF!="Catastrófico"),CONCATENATE("R4C",' RIESGOS DE GESTION'!#REF!),"")</f>
        <v>#REF!</v>
      </c>
      <c r="AM49" s="45" t="e">
        <f>IF(AND(' RIESGOS DE GESTION'!#REF!="Muy Baja",' RIESGOS DE GESTION'!#REF!="Catastrófico"),CONCATENATE("R4C",' RIESGOS DE GESTION'!#REF!),"")</f>
        <v>#REF!</v>
      </c>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ht="15" customHeight="1">
      <c r="A50" s="71"/>
      <c r="B50" s="537"/>
      <c r="C50" s="537"/>
      <c r="D50" s="538"/>
      <c r="E50" s="636"/>
      <c r="F50" s="635"/>
      <c r="G50" s="635"/>
      <c r="H50" s="635"/>
      <c r="I50" s="651"/>
      <c r="J50" s="64" t="e">
        <f>IF(AND(' RIESGOS DE GESTION'!#REF!="Muy Baja",' RIESGOS DE GESTION'!#REF!="Leve"),CONCATENATE("R5C",' RIESGOS DE GESTION'!#REF!),"")</f>
        <v>#REF!</v>
      </c>
      <c r="K50" s="65" t="e">
        <f>IF(AND(' RIESGOS DE GESTION'!#REF!="Muy Baja",' RIESGOS DE GESTION'!#REF!="Leve"),CONCATENATE("R5C",' RIESGOS DE GESTION'!#REF!),"")</f>
        <v>#REF!</v>
      </c>
      <c r="L50" s="65" t="e">
        <f>IF(AND(' RIESGOS DE GESTION'!#REF!="Muy Baja",' RIESGOS DE GESTION'!#REF!="Leve"),CONCATENATE("R5C",' RIESGOS DE GESTION'!#REF!),"")</f>
        <v>#REF!</v>
      </c>
      <c r="M50" s="65" t="e">
        <f>IF(AND(' RIESGOS DE GESTION'!#REF!="Muy Baja",' RIESGOS DE GESTION'!#REF!="Leve"),CONCATENATE("R5C",' RIESGOS DE GESTION'!#REF!),"")</f>
        <v>#REF!</v>
      </c>
      <c r="N50" s="65" t="e">
        <f>IF(AND(' RIESGOS DE GESTION'!#REF!="Muy Baja",' RIESGOS DE GESTION'!#REF!="Leve"),CONCATENATE("R5C",' RIESGOS DE GESTION'!#REF!),"")</f>
        <v>#REF!</v>
      </c>
      <c r="O50" s="66" t="e">
        <f>IF(AND(' RIESGOS DE GESTION'!#REF!="Muy Baja",' RIESGOS DE GESTION'!#REF!="Leve"),CONCATENATE("R5C",' RIESGOS DE GESTION'!#REF!),"")</f>
        <v>#REF!</v>
      </c>
      <c r="P50" s="64" t="e">
        <f>IF(AND(' RIESGOS DE GESTION'!#REF!="Muy Baja",' RIESGOS DE GESTION'!#REF!="Menor"),CONCATENATE("R5C",' RIESGOS DE GESTION'!#REF!),"")</f>
        <v>#REF!</v>
      </c>
      <c r="Q50" s="65" t="e">
        <f>IF(AND(' RIESGOS DE GESTION'!#REF!="Muy Baja",' RIESGOS DE GESTION'!#REF!="Menor"),CONCATENATE("R5C",' RIESGOS DE GESTION'!#REF!),"")</f>
        <v>#REF!</v>
      </c>
      <c r="R50" s="65" t="e">
        <f>IF(AND(' RIESGOS DE GESTION'!#REF!="Muy Baja",' RIESGOS DE GESTION'!#REF!="Menor"),CONCATENATE("R5C",' RIESGOS DE GESTION'!#REF!),"")</f>
        <v>#REF!</v>
      </c>
      <c r="S50" s="65" t="e">
        <f>IF(AND(' RIESGOS DE GESTION'!#REF!="Muy Baja",' RIESGOS DE GESTION'!#REF!="Menor"),CONCATENATE("R5C",' RIESGOS DE GESTION'!#REF!),"")</f>
        <v>#REF!</v>
      </c>
      <c r="T50" s="65" t="e">
        <f>IF(AND(' RIESGOS DE GESTION'!#REF!="Muy Baja",' RIESGOS DE GESTION'!#REF!="Menor"),CONCATENATE("R5C",' RIESGOS DE GESTION'!#REF!),"")</f>
        <v>#REF!</v>
      </c>
      <c r="U50" s="66" t="e">
        <f>IF(AND(' RIESGOS DE GESTION'!#REF!="Muy Baja",' RIESGOS DE GESTION'!#REF!="Menor"),CONCATENATE("R5C",' RIESGOS DE GESTION'!#REF!),"")</f>
        <v>#REF!</v>
      </c>
      <c r="V50" s="55" t="e">
        <f>IF(AND(' RIESGOS DE GESTION'!#REF!="Muy Baja",' RIESGOS DE GESTION'!#REF!="Moderado"),CONCATENATE("R5C",' RIESGOS DE GESTION'!#REF!),"")</f>
        <v>#REF!</v>
      </c>
      <c r="W50" s="56" t="e">
        <f>IF(AND(' RIESGOS DE GESTION'!#REF!="Muy Baja",' RIESGOS DE GESTION'!#REF!="Moderado"),CONCATENATE("R5C",' RIESGOS DE GESTION'!#REF!),"")</f>
        <v>#REF!</v>
      </c>
      <c r="X50" s="56" t="e">
        <f>IF(AND(' RIESGOS DE GESTION'!#REF!="Muy Baja",' RIESGOS DE GESTION'!#REF!="Moderado"),CONCATENATE("R5C",' RIESGOS DE GESTION'!#REF!),"")</f>
        <v>#REF!</v>
      </c>
      <c r="Y50" s="56" t="e">
        <f>IF(AND(' RIESGOS DE GESTION'!#REF!="Muy Baja",' RIESGOS DE GESTION'!#REF!="Moderado"),CONCATENATE("R5C",' RIESGOS DE GESTION'!#REF!),"")</f>
        <v>#REF!</v>
      </c>
      <c r="Z50" s="56" t="e">
        <f>IF(AND(' RIESGOS DE GESTION'!#REF!="Muy Baja",' RIESGOS DE GESTION'!#REF!="Moderado"),CONCATENATE("R5C",' RIESGOS DE GESTION'!#REF!),"")</f>
        <v>#REF!</v>
      </c>
      <c r="AA50" s="57" t="e">
        <f>IF(AND(' RIESGOS DE GESTION'!#REF!="Muy Baja",' RIESGOS DE GESTION'!#REF!="Moderado"),CONCATENATE("R5C",' RIESGOS DE GESTION'!#REF!),"")</f>
        <v>#REF!</v>
      </c>
      <c r="AB50" s="40" t="e">
        <f>IF(AND(' RIESGOS DE GESTION'!#REF!="Muy Baja",' RIESGOS DE GESTION'!#REF!="Mayor"),CONCATENATE("R5C",' RIESGOS DE GESTION'!#REF!),"")</f>
        <v>#REF!</v>
      </c>
      <c r="AC50" s="41" t="e">
        <f>IF(AND(' RIESGOS DE GESTION'!#REF!="Muy Baja",' RIESGOS DE GESTION'!#REF!="Mayor"),CONCATENATE("R5C",' RIESGOS DE GESTION'!#REF!),"")</f>
        <v>#REF!</v>
      </c>
      <c r="AD50" s="41" t="e">
        <f>IF(AND(' RIESGOS DE GESTION'!#REF!="Muy Baja",' RIESGOS DE GESTION'!#REF!="Mayor"),CONCATENATE("R5C",' RIESGOS DE GESTION'!#REF!),"")</f>
        <v>#REF!</v>
      </c>
      <c r="AE50" s="41" t="e">
        <f>IF(AND(' RIESGOS DE GESTION'!#REF!="Muy Baja",' RIESGOS DE GESTION'!#REF!="Mayor"),CONCATENATE("R5C",' RIESGOS DE GESTION'!#REF!),"")</f>
        <v>#REF!</v>
      </c>
      <c r="AF50" s="41" t="e">
        <f>IF(AND(' RIESGOS DE GESTION'!#REF!="Muy Baja",' RIESGOS DE GESTION'!#REF!="Mayor"),CONCATENATE("R5C",' RIESGOS DE GESTION'!#REF!),"")</f>
        <v>#REF!</v>
      </c>
      <c r="AG50" s="42" t="e">
        <f>IF(AND(' RIESGOS DE GESTION'!#REF!="Muy Baja",' RIESGOS DE GESTION'!#REF!="Mayor"),CONCATENATE("R5C",' RIESGOS DE GESTION'!#REF!),"")</f>
        <v>#REF!</v>
      </c>
      <c r="AH50" s="43" t="e">
        <f>IF(AND(' RIESGOS DE GESTION'!#REF!="Muy Baja",' RIESGOS DE GESTION'!#REF!="Catastrófico"),CONCATENATE("R5C",' RIESGOS DE GESTION'!#REF!),"")</f>
        <v>#REF!</v>
      </c>
      <c r="AI50" s="44" t="e">
        <f>IF(AND(' RIESGOS DE GESTION'!#REF!="Muy Baja",' RIESGOS DE GESTION'!#REF!="Catastrófico"),CONCATENATE("R5C",' RIESGOS DE GESTION'!#REF!),"")</f>
        <v>#REF!</v>
      </c>
      <c r="AJ50" s="44" t="e">
        <f>IF(AND(' RIESGOS DE GESTION'!#REF!="Muy Baja",' RIESGOS DE GESTION'!#REF!="Catastrófico"),CONCATENATE("R5C",' RIESGOS DE GESTION'!#REF!),"")</f>
        <v>#REF!</v>
      </c>
      <c r="AK50" s="44" t="e">
        <f>IF(AND(' RIESGOS DE GESTION'!#REF!="Muy Baja",' RIESGOS DE GESTION'!#REF!="Catastrófico"),CONCATENATE("R5C",' RIESGOS DE GESTION'!#REF!),"")</f>
        <v>#REF!</v>
      </c>
      <c r="AL50" s="44" t="e">
        <f>IF(AND(' RIESGOS DE GESTION'!#REF!="Muy Baja",' RIESGOS DE GESTION'!#REF!="Catastrófico"),CONCATENATE("R5C",' RIESGOS DE GESTION'!#REF!),"")</f>
        <v>#REF!</v>
      </c>
      <c r="AM50" s="45" t="e">
        <f>IF(AND(' RIESGOS DE GESTION'!#REF!="Muy Baja",' RIESGOS DE GESTION'!#REF!="Catastrófico"),CONCATENATE("R5C",' RIESGOS DE GESTION'!#REF!),"")</f>
        <v>#REF!</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 customHeight="1">
      <c r="A51" s="71"/>
      <c r="B51" s="537"/>
      <c r="C51" s="537"/>
      <c r="D51" s="538"/>
      <c r="E51" s="636"/>
      <c r="F51" s="635"/>
      <c r="G51" s="635"/>
      <c r="H51" s="635"/>
      <c r="I51" s="651"/>
      <c r="J51" s="64" t="e">
        <f>IF(AND(' RIESGOS DE GESTION'!#REF!="Muy Baja",' RIESGOS DE GESTION'!#REF!="Leve"),CONCATENATE("R6C",' RIESGOS DE GESTION'!#REF!),"")</f>
        <v>#REF!</v>
      </c>
      <c r="K51" s="65" t="e">
        <f>IF(AND(' RIESGOS DE GESTION'!#REF!="Muy Baja",' RIESGOS DE GESTION'!#REF!="Leve"),CONCATENATE("R6C",' RIESGOS DE GESTION'!#REF!),"")</f>
        <v>#REF!</v>
      </c>
      <c r="L51" s="65" t="e">
        <f>IF(AND(' RIESGOS DE GESTION'!#REF!="Muy Baja",' RIESGOS DE GESTION'!#REF!="Leve"),CONCATENATE("R6C",' RIESGOS DE GESTION'!#REF!),"")</f>
        <v>#REF!</v>
      </c>
      <c r="M51" s="65" t="e">
        <f>IF(AND(' RIESGOS DE GESTION'!#REF!="Muy Baja",' RIESGOS DE GESTION'!#REF!="Leve"),CONCATENATE("R6C",' RIESGOS DE GESTION'!#REF!),"")</f>
        <v>#REF!</v>
      </c>
      <c r="N51" s="65" t="e">
        <f>IF(AND(' RIESGOS DE GESTION'!#REF!="Muy Baja",' RIESGOS DE GESTION'!#REF!="Leve"),CONCATENATE("R6C",' RIESGOS DE GESTION'!#REF!),"")</f>
        <v>#REF!</v>
      </c>
      <c r="O51" s="66" t="e">
        <f>IF(AND(' RIESGOS DE GESTION'!#REF!="Muy Baja",' RIESGOS DE GESTION'!#REF!="Leve"),CONCATENATE("R6C",' RIESGOS DE GESTION'!#REF!),"")</f>
        <v>#REF!</v>
      </c>
      <c r="P51" s="64" t="e">
        <f>IF(AND(' RIESGOS DE GESTION'!#REF!="Muy Baja",' RIESGOS DE GESTION'!#REF!="Menor"),CONCATENATE("R6C",' RIESGOS DE GESTION'!#REF!),"")</f>
        <v>#REF!</v>
      </c>
      <c r="Q51" s="65" t="e">
        <f>IF(AND(' RIESGOS DE GESTION'!#REF!="Muy Baja",' RIESGOS DE GESTION'!#REF!="Menor"),CONCATENATE("R6C",' RIESGOS DE GESTION'!#REF!),"")</f>
        <v>#REF!</v>
      </c>
      <c r="R51" s="65" t="e">
        <f>IF(AND(' RIESGOS DE GESTION'!#REF!="Muy Baja",' RIESGOS DE GESTION'!#REF!="Menor"),CONCATENATE("R6C",' RIESGOS DE GESTION'!#REF!),"")</f>
        <v>#REF!</v>
      </c>
      <c r="S51" s="65" t="e">
        <f>IF(AND(' RIESGOS DE GESTION'!#REF!="Muy Baja",' RIESGOS DE GESTION'!#REF!="Menor"),CONCATENATE("R6C",' RIESGOS DE GESTION'!#REF!),"")</f>
        <v>#REF!</v>
      </c>
      <c r="T51" s="65" t="e">
        <f>IF(AND(' RIESGOS DE GESTION'!#REF!="Muy Baja",' RIESGOS DE GESTION'!#REF!="Menor"),CONCATENATE("R6C",' RIESGOS DE GESTION'!#REF!),"")</f>
        <v>#REF!</v>
      </c>
      <c r="U51" s="66" t="e">
        <f>IF(AND(' RIESGOS DE GESTION'!#REF!="Muy Baja",' RIESGOS DE GESTION'!#REF!="Menor"),CONCATENATE("R6C",' RIESGOS DE GESTION'!#REF!),"")</f>
        <v>#REF!</v>
      </c>
      <c r="V51" s="55" t="e">
        <f>IF(AND(' RIESGOS DE GESTION'!#REF!="Muy Baja",' RIESGOS DE GESTION'!#REF!="Moderado"),CONCATENATE("R6C",' RIESGOS DE GESTION'!#REF!),"")</f>
        <v>#REF!</v>
      </c>
      <c r="W51" s="56" t="e">
        <f>IF(AND(' RIESGOS DE GESTION'!#REF!="Muy Baja",' RIESGOS DE GESTION'!#REF!="Moderado"),CONCATENATE("R6C",' RIESGOS DE GESTION'!#REF!),"")</f>
        <v>#REF!</v>
      </c>
      <c r="X51" s="56" t="e">
        <f>IF(AND(' RIESGOS DE GESTION'!#REF!="Muy Baja",' RIESGOS DE GESTION'!#REF!="Moderado"),CONCATENATE("R6C",' RIESGOS DE GESTION'!#REF!),"")</f>
        <v>#REF!</v>
      </c>
      <c r="Y51" s="56" t="e">
        <f>IF(AND(' RIESGOS DE GESTION'!#REF!="Muy Baja",' RIESGOS DE GESTION'!#REF!="Moderado"),CONCATENATE("R6C",' RIESGOS DE GESTION'!#REF!),"")</f>
        <v>#REF!</v>
      </c>
      <c r="Z51" s="56" t="e">
        <f>IF(AND(' RIESGOS DE GESTION'!#REF!="Muy Baja",' RIESGOS DE GESTION'!#REF!="Moderado"),CONCATENATE("R6C",' RIESGOS DE GESTION'!#REF!),"")</f>
        <v>#REF!</v>
      </c>
      <c r="AA51" s="57" t="e">
        <f>IF(AND(' RIESGOS DE GESTION'!#REF!="Muy Baja",' RIESGOS DE GESTION'!#REF!="Moderado"),CONCATENATE("R6C",' RIESGOS DE GESTION'!#REF!),"")</f>
        <v>#REF!</v>
      </c>
      <c r="AB51" s="40" t="e">
        <f>IF(AND(' RIESGOS DE GESTION'!#REF!="Muy Baja",' RIESGOS DE GESTION'!#REF!="Mayor"),CONCATENATE("R6C",' RIESGOS DE GESTION'!#REF!),"")</f>
        <v>#REF!</v>
      </c>
      <c r="AC51" s="41" t="e">
        <f>IF(AND(' RIESGOS DE GESTION'!#REF!="Muy Baja",' RIESGOS DE GESTION'!#REF!="Mayor"),CONCATENATE("R6C",' RIESGOS DE GESTION'!#REF!),"")</f>
        <v>#REF!</v>
      </c>
      <c r="AD51" s="41" t="e">
        <f>IF(AND(' RIESGOS DE GESTION'!#REF!="Muy Baja",' RIESGOS DE GESTION'!#REF!="Mayor"),CONCATENATE("R6C",' RIESGOS DE GESTION'!#REF!),"")</f>
        <v>#REF!</v>
      </c>
      <c r="AE51" s="41" t="e">
        <f>IF(AND(' RIESGOS DE GESTION'!#REF!="Muy Baja",' RIESGOS DE GESTION'!#REF!="Mayor"),CONCATENATE("R6C",' RIESGOS DE GESTION'!#REF!),"")</f>
        <v>#REF!</v>
      </c>
      <c r="AF51" s="41" t="e">
        <f>IF(AND(' RIESGOS DE GESTION'!#REF!="Muy Baja",' RIESGOS DE GESTION'!#REF!="Mayor"),CONCATENATE("R6C",' RIESGOS DE GESTION'!#REF!),"")</f>
        <v>#REF!</v>
      </c>
      <c r="AG51" s="42" t="e">
        <f>IF(AND(' RIESGOS DE GESTION'!#REF!="Muy Baja",' RIESGOS DE GESTION'!#REF!="Mayor"),CONCATENATE("R6C",' RIESGOS DE GESTION'!#REF!),"")</f>
        <v>#REF!</v>
      </c>
      <c r="AH51" s="43" t="e">
        <f>IF(AND(' RIESGOS DE GESTION'!#REF!="Muy Baja",' RIESGOS DE GESTION'!#REF!="Catastrófico"),CONCATENATE("R6C",' RIESGOS DE GESTION'!#REF!),"")</f>
        <v>#REF!</v>
      </c>
      <c r="AI51" s="44" t="e">
        <f>IF(AND(' RIESGOS DE GESTION'!#REF!="Muy Baja",' RIESGOS DE GESTION'!#REF!="Catastrófico"),CONCATENATE("R6C",' RIESGOS DE GESTION'!#REF!),"")</f>
        <v>#REF!</v>
      </c>
      <c r="AJ51" s="44" t="e">
        <f>IF(AND(' RIESGOS DE GESTION'!#REF!="Muy Baja",' RIESGOS DE GESTION'!#REF!="Catastrófico"),CONCATENATE("R6C",' RIESGOS DE GESTION'!#REF!),"")</f>
        <v>#REF!</v>
      </c>
      <c r="AK51" s="44" t="e">
        <f>IF(AND(' RIESGOS DE GESTION'!#REF!="Muy Baja",' RIESGOS DE GESTION'!#REF!="Catastrófico"),CONCATENATE("R6C",' RIESGOS DE GESTION'!#REF!),"")</f>
        <v>#REF!</v>
      </c>
      <c r="AL51" s="44" t="e">
        <f>IF(AND(' RIESGOS DE GESTION'!#REF!="Muy Baja",' RIESGOS DE GESTION'!#REF!="Catastrófico"),CONCATENATE("R6C",' RIESGOS DE GESTION'!#REF!),"")</f>
        <v>#REF!</v>
      </c>
      <c r="AM51" s="45" t="e">
        <f>IF(AND(' RIESGOS DE GESTION'!#REF!="Muy Baja",' RIESGOS DE GESTION'!#REF!="Catastrófico"),CONCATENATE("R6C",' RIESGOS DE GESTION'!#REF!),"")</f>
        <v>#REF!</v>
      </c>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ht="15" customHeight="1">
      <c r="A52" s="71"/>
      <c r="B52" s="537"/>
      <c r="C52" s="537"/>
      <c r="D52" s="538"/>
      <c r="E52" s="636"/>
      <c r="F52" s="635"/>
      <c r="G52" s="635"/>
      <c r="H52" s="635"/>
      <c r="I52" s="651"/>
      <c r="J52" s="64" t="e">
        <f>IF(AND(' RIESGOS DE GESTION'!#REF!="Muy Baja",' RIESGOS DE GESTION'!#REF!="Leve"),CONCATENATE("R7C",' RIESGOS DE GESTION'!#REF!),"")</f>
        <v>#REF!</v>
      </c>
      <c r="K52" s="65" t="e">
        <f>IF(AND(' RIESGOS DE GESTION'!#REF!="Muy Baja",' RIESGOS DE GESTION'!#REF!="Leve"),CONCATENATE("R7C",' RIESGOS DE GESTION'!#REF!),"")</f>
        <v>#REF!</v>
      </c>
      <c r="L52" s="65" t="e">
        <f>IF(AND(' RIESGOS DE GESTION'!#REF!="Muy Baja",' RIESGOS DE GESTION'!#REF!="Leve"),CONCATENATE("R7C",' RIESGOS DE GESTION'!#REF!),"")</f>
        <v>#REF!</v>
      </c>
      <c r="M52" s="65" t="e">
        <f>IF(AND(' RIESGOS DE GESTION'!#REF!="Muy Baja",' RIESGOS DE GESTION'!#REF!="Leve"),CONCATENATE("R7C",' RIESGOS DE GESTION'!#REF!),"")</f>
        <v>#REF!</v>
      </c>
      <c r="N52" s="65" t="e">
        <f>IF(AND(' RIESGOS DE GESTION'!#REF!="Muy Baja",' RIESGOS DE GESTION'!#REF!="Leve"),CONCATENATE("R7C",' RIESGOS DE GESTION'!#REF!),"")</f>
        <v>#REF!</v>
      </c>
      <c r="O52" s="66" t="e">
        <f>IF(AND(' RIESGOS DE GESTION'!#REF!="Muy Baja",' RIESGOS DE GESTION'!#REF!="Leve"),CONCATENATE("R7C",' RIESGOS DE GESTION'!#REF!),"")</f>
        <v>#REF!</v>
      </c>
      <c r="P52" s="64" t="e">
        <f>IF(AND(' RIESGOS DE GESTION'!#REF!="Muy Baja",' RIESGOS DE GESTION'!#REF!="Menor"),CONCATENATE("R7C",' RIESGOS DE GESTION'!#REF!),"")</f>
        <v>#REF!</v>
      </c>
      <c r="Q52" s="65" t="e">
        <f>IF(AND(' RIESGOS DE GESTION'!#REF!="Muy Baja",' RIESGOS DE GESTION'!#REF!="Menor"),CONCATENATE("R7C",' RIESGOS DE GESTION'!#REF!),"")</f>
        <v>#REF!</v>
      </c>
      <c r="R52" s="65" t="e">
        <f>IF(AND(' RIESGOS DE GESTION'!#REF!="Muy Baja",' RIESGOS DE GESTION'!#REF!="Menor"),CONCATENATE("R7C",' RIESGOS DE GESTION'!#REF!),"")</f>
        <v>#REF!</v>
      </c>
      <c r="S52" s="65" t="e">
        <f>IF(AND(' RIESGOS DE GESTION'!#REF!="Muy Baja",' RIESGOS DE GESTION'!#REF!="Menor"),CONCATENATE("R7C",' RIESGOS DE GESTION'!#REF!),"")</f>
        <v>#REF!</v>
      </c>
      <c r="T52" s="65" t="e">
        <f>IF(AND(' RIESGOS DE GESTION'!#REF!="Muy Baja",' RIESGOS DE GESTION'!#REF!="Menor"),CONCATENATE("R7C",' RIESGOS DE GESTION'!#REF!),"")</f>
        <v>#REF!</v>
      </c>
      <c r="U52" s="66" t="e">
        <f>IF(AND(' RIESGOS DE GESTION'!#REF!="Muy Baja",' RIESGOS DE GESTION'!#REF!="Menor"),CONCATENATE("R7C",' RIESGOS DE GESTION'!#REF!),"")</f>
        <v>#REF!</v>
      </c>
      <c r="V52" s="55" t="e">
        <f>IF(AND(' RIESGOS DE GESTION'!#REF!="Muy Baja",' RIESGOS DE GESTION'!#REF!="Moderado"),CONCATENATE("R7C",' RIESGOS DE GESTION'!#REF!),"")</f>
        <v>#REF!</v>
      </c>
      <c r="W52" s="56" t="e">
        <f>IF(AND(' RIESGOS DE GESTION'!#REF!="Muy Baja",' RIESGOS DE GESTION'!#REF!="Moderado"),CONCATENATE("R7C",' RIESGOS DE GESTION'!#REF!),"")</f>
        <v>#REF!</v>
      </c>
      <c r="X52" s="56" t="e">
        <f>IF(AND(' RIESGOS DE GESTION'!#REF!="Muy Baja",' RIESGOS DE GESTION'!#REF!="Moderado"),CONCATENATE("R7C",' RIESGOS DE GESTION'!#REF!),"")</f>
        <v>#REF!</v>
      </c>
      <c r="Y52" s="56" t="e">
        <f>IF(AND(' RIESGOS DE GESTION'!#REF!="Muy Baja",' RIESGOS DE GESTION'!#REF!="Moderado"),CONCATENATE("R7C",' RIESGOS DE GESTION'!#REF!),"")</f>
        <v>#REF!</v>
      </c>
      <c r="Z52" s="56" t="e">
        <f>IF(AND(' RIESGOS DE GESTION'!#REF!="Muy Baja",' RIESGOS DE GESTION'!#REF!="Moderado"),CONCATENATE("R7C",' RIESGOS DE GESTION'!#REF!),"")</f>
        <v>#REF!</v>
      </c>
      <c r="AA52" s="57" t="e">
        <f>IF(AND(' RIESGOS DE GESTION'!#REF!="Muy Baja",' RIESGOS DE GESTION'!#REF!="Moderado"),CONCATENATE("R7C",' RIESGOS DE GESTION'!#REF!),"")</f>
        <v>#REF!</v>
      </c>
      <c r="AB52" s="40" t="e">
        <f>IF(AND(' RIESGOS DE GESTION'!#REF!="Muy Baja",' RIESGOS DE GESTION'!#REF!="Mayor"),CONCATENATE("R7C",' RIESGOS DE GESTION'!#REF!),"")</f>
        <v>#REF!</v>
      </c>
      <c r="AC52" s="41" t="e">
        <f>IF(AND(' RIESGOS DE GESTION'!#REF!="Muy Baja",' RIESGOS DE GESTION'!#REF!="Mayor"),CONCATENATE("R7C",' RIESGOS DE GESTION'!#REF!),"")</f>
        <v>#REF!</v>
      </c>
      <c r="AD52" s="41" t="e">
        <f>IF(AND(' RIESGOS DE GESTION'!#REF!="Muy Baja",' RIESGOS DE GESTION'!#REF!="Mayor"),CONCATENATE("R7C",' RIESGOS DE GESTION'!#REF!),"")</f>
        <v>#REF!</v>
      </c>
      <c r="AE52" s="41" t="e">
        <f>IF(AND(' RIESGOS DE GESTION'!#REF!="Muy Baja",' RIESGOS DE GESTION'!#REF!="Mayor"),CONCATENATE("R7C",' RIESGOS DE GESTION'!#REF!),"")</f>
        <v>#REF!</v>
      </c>
      <c r="AF52" s="41" t="e">
        <f>IF(AND(' RIESGOS DE GESTION'!#REF!="Muy Baja",' RIESGOS DE GESTION'!#REF!="Mayor"),CONCATENATE("R7C",' RIESGOS DE GESTION'!#REF!),"")</f>
        <v>#REF!</v>
      </c>
      <c r="AG52" s="42" t="e">
        <f>IF(AND(' RIESGOS DE GESTION'!#REF!="Muy Baja",' RIESGOS DE GESTION'!#REF!="Mayor"),CONCATENATE("R7C",' RIESGOS DE GESTION'!#REF!),"")</f>
        <v>#REF!</v>
      </c>
      <c r="AH52" s="43" t="e">
        <f>IF(AND(' RIESGOS DE GESTION'!#REF!="Muy Baja",' RIESGOS DE GESTION'!#REF!="Catastrófico"),CONCATENATE("R7C",' RIESGOS DE GESTION'!#REF!),"")</f>
        <v>#REF!</v>
      </c>
      <c r="AI52" s="44" t="e">
        <f>IF(AND(' RIESGOS DE GESTION'!#REF!="Muy Baja",' RIESGOS DE GESTION'!#REF!="Catastrófico"),CONCATENATE("R7C",' RIESGOS DE GESTION'!#REF!),"")</f>
        <v>#REF!</v>
      </c>
      <c r="AJ52" s="44" t="e">
        <f>IF(AND(' RIESGOS DE GESTION'!#REF!="Muy Baja",' RIESGOS DE GESTION'!#REF!="Catastrófico"),CONCATENATE("R7C",' RIESGOS DE GESTION'!#REF!),"")</f>
        <v>#REF!</v>
      </c>
      <c r="AK52" s="44" t="e">
        <f>IF(AND(' RIESGOS DE GESTION'!#REF!="Muy Baja",' RIESGOS DE GESTION'!#REF!="Catastrófico"),CONCATENATE("R7C",' RIESGOS DE GESTION'!#REF!),"")</f>
        <v>#REF!</v>
      </c>
      <c r="AL52" s="44" t="e">
        <f>IF(AND(' RIESGOS DE GESTION'!#REF!="Muy Baja",' RIESGOS DE GESTION'!#REF!="Catastrófico"),CONCATENATE("R7C",' RIESGOS DE GESTION'!#REF!),"")</f>
        <v>#REF!</v>
      </c>
      <c r="AM52" s="45" t="e">
        <f>IF(AND(' RIESGOS DE GESTION'!#REF!="Muy Baja",' RIESGOS DE GESTION'!#REF!="Catastrófico"),CONCATENATE("R7C",' RIESGOS DE GESTION'!#REF!),"")</f>
        <v>#REF!</v>
      </c>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c r="A53" s="71"/>
      <c r="B53" s="537"/>
      <c r="C53" s="537"/>
      <c r="D53" s="538"/>
      <c r="E53" s="636"/>
      <c r="F53" s="635"/>
      <c r="G53" s="635"/>
      <c r="H53" s="635"/>
      <c r="I53" s="651"/>
      <c r="J53" s="64" t="e">
        <f>IF(AND(' RIESGOS DE GESTION'!#REF!="Muy Baja",' RIESGOS DE GESTION'!#REF!="Leve"),CONCATENATE("R8C",' RIESGOS DE GESTION'!#REF!),"")</f>
        <v>#REF!</v>
      </c>
      <c r="K53" s="65" t="e">
        <f>IF(AND(' RIESGOS DE GESTION'!#REF!="Muy Baja",' RIESGOS DE GESTION'!#REF!="Leve"),CONCATENATE("R8C",' RIESGOS DE GESTION'!#REF!),"")</f>
        <v>#REF!</v>
      </c>
      <c r="L53" s="65" t="e">
        <f>IF(AND(' RIESGOS DE GESTION'!#REF!="Muy Baja",' RIESGOS DE GESTION'!#REF!="Leve"),CONCATENATE("R8C",' RIESGOS DE GESTION'!#REF!),"")</f>
        <v>#REF!</v>
      </c>
      <c r="M53" s="65" t="e">
        <f>IF(AND(' RIESGOS DE GESTION'!#REF!="Muy Baja",' RIESGOS DE GESTION'!#REF!="Leve"),CONCATENATE("R8C",' RIESGOS DE GESTION'!#REF!),"")</f>
        <v>#REF!</v>
      </c>
      <c r="N53" s="65" t="e">
        <f>IF(AND(' RIESGOS DE GESTION'!#REF!="Muy Baja",' RIESGOS DE GESTION'!#REF!="Leve"),CONCATENATE("R8C",' RIESGOS DE GESTION'!#REF!),"")</f>
        <v>#REF!</v>
      </c>
      <c r="O53" s="66" t="e">
        <f>IF(AND(' RIESGOS DE GESTION'!#REF!="Muy Baja",' RIESGOS DE GESTION'!#REF!="Leve"),CONCATENATE("R8C",' RIESGOS DE GESTION'!#REF!),"")</f>
        <v>#REF!</v>
      </c>
      <c r="P53" s="64" t="e">
        <f>IF(AND(' RIESGOS DE GESTION'!#REF!="Muy Baja",' RIESGOS DE GESTION'!#REF!="Menor"),CONCATENATE("R8C",' RIESGOS DE GESTION'!#REF!),"")</f>
        <v>#REF!</v>
      </c>
      <c r="Q53" s="65" t="e">
        <f>IF(AND(' RIESGOS DE GESTION'!#REF!="Muy Baja",' RIESGOS DE GESTION'!#REF!="Menor"),CONCATENATE("R8C",' RIESGOS DE GESTION'!#REF!),"")</f>
        <v>#REF!</v>
      </c>
      <c r="R53" s="65" t="e">
        <f>IF(AND(' RIESGOS DE GESTION'!#REF!="Muy Baja",' RIESGOS DE GESTION'!#REF!="Menor"),CONCATENATE("R8C",' RIESGOS DE GESTION'!#REF!),"")</f>
        <v>#REF!</v>
      </c>
      <c r="S53" s="65" t="e">
        <f>IF(AND(' RIESGOS DE GESTION'!#REF!="Muy Baja",' RIESGOS DE GESTION'!#REF!="Menor"),CONCATENATE("R8C",' RIESGOS DE GESTION'!#REF!),"")</f>
        <v>#REF!</v>
      </c>
      <c r="T53" s="65" t="e">
        <f>IF(AND(' RIESGOS DE GESTION'!#REF!="Muy Baja",' RIESGOS DE GESTION'!#REF!="Menor"),CONCATENATE("R8C",' RIESGOS DE GESTION'!#REF!),"")</f>
        <v>#REF!</v>
      </c>
      <c r="U53" s="66" t="e">
        <f>IF(AND(' RIESGOS DE GESTION'!#REF!="Muy Baja",' RIESGOS DE GESTION'!#REF!="Menor"),CONCATENATE("R8C",' RIESGOS DE GESTION'!#REF!),"")</f>
        <v>#REF!</v>
      </c>
      <c r="V53" s="55" t="e">
        <f>IF(AND(' RIESGOS DE GESTION'!#REF!="Muy Baja",' RIESGOS DE GESTION'!#REF!="Moderado"),CONCATENATE("R8C",' RIESGOS DE GESTION'!#REF!),"")</f>
        <v>#REF!</v>
      </c>
      <c r="W53" s="56" t="e">
        <f>IF(AND(' RIESGOS DE GESTION'!#REF!="Muy Baja",' RIESGOS DE GESTION'!#REF!="Moderado"),CONCATENATE("R8C",' RIESGOS DE GESTION'!#REF!),"")</f>
        <v>#REF!</v>
      </c>
      <c r="X53" s="56" t="e">
        <f>IF(AND(' RIESGOS DE GESTION'!#REF!="Muy Baja",' RIESGOS DE GESTION'!#REF!="Moderado"),CONCATENATE("R8C",' RIESGOS DE GESTION'!#REF!),"")</f>
        <v>#REF!</v>
      </c>
      <c r="Y53" s="56" t="e">
        <f>IF(AND(' RIESGOS DE GESTION'!#REF!="Muy Baja",' RIESGOS DE GESTION'!#REF!="Moderado"),CONCATENATE("R8C",' RIESGOS DE GESTION'!#REF!),"")</f>
        <v>#REF!</v>
      </c>
      <c r="Z53" s="56" t="e">
        <f>IF(AND(' RIESGOS DE GESTION'!#REF!="Muy Baja",' RIESGOS DE GESTION'!#REF!="Moderado"),CONCATENATE("R8C",' RIESGOS DE GESTION'!#REF!),"")</f>
        <v>#REF!</v>
      </c>
      <c r="AA53" s="57" t="e">
        <f>IF(AND(' RIESGOS DE GESTION'!#REF!="Muy Baja",' RIESGOS DE GESTION'!#REF!="Moderado"),CONCATENATE("R8C",' RIESGOS DE GESTION'!#REF!),"")</f>
        <v>#REF!</v>
      </c>
      <c r="AB53" s="40" t="e">
        <f>IF(AND(' RIESGOS DE GESTION'!#REF!="Muy Baja",' RIESGOS DE GESTION'!#REF!="Mayor"),CONCATENATE("R8C",' RIESGOS DE GESTION'!#REF!),"")</f>
        <v>#REF!</v>
      </c>
      <c r="AC53" s="41" t="e">
        <f>IF(AND(' RIESGOS DE GESTION'!#REF!="Muy Baja",' RIESGOS DE GESTION'!#REF!="Mayor"),CONCATENATE("R8C",' RIESGOS DE GESTION'!#REF!),"")</f>
        <v>#REF!</v>
      </c>
      <c r="AD53" s="41" t="e">
        <f>IF(AND(' RIESGOS DE GESTION'!#REF!="Muy Baja",' RIESGOS DE GESTION'!#REF!="Mayor"),CONCATENATE("R8C",' RIESGOS DE GESTION'!#REF!),"")</f>
        <v>#REF!</v>
      </c>
      <c r="AE53" s="41" t="e">
        <f>IF(AND(' RIESGOS DE GESTION'!#REF!="Muy Baja",' RIESGOS DE GESTION'!#REF!="Mayor"),CONCATENATE("R8C",' RIESGOS DE GESTION'!#REF!),"")</f>
        <v>#REF!</v>
      </c>
      <c r="AF53" s="41" t="e">
        <f>IF(AND(' RIESGOS DE GESTION'!#REF!="Muy Baja",' RIESGOS DE GESTION'!#REF!="Mayor"),CONCATENATE("R8C",' RIESGOS DE GESTION'!#REF!),"")</f>
        <v>#REF!</v>
      </c>
      <c r="AG53" s="42" t="e">
        <f>IF(AND(' RIESGOS DE GESTION'!#REF!="Muy Baja",' RIESGOS DE GESTION'!#REF!="Mayor"),CONCATENATE("R8C",' RIESGOS DE GESTION'!#REF!),"")</f>
        <v>#REF!</v>
      </c>
      <c r="AH53" s="43" t="e">
        <f>IF(AND(' RIESGOS DE GESTION'!#REF!="Muy Baja",' RIESGOS DE GESTION'!#REF!="Catastrófico"),CONCATENATE("R8C",' RIESGOS DE GESTION'!#REF!),"")</f>
        <v>#REF!</v>
      </c>
      <c r="AI53" s="44" t="e">
        <f>IF(AND(' RIESGOS DE GESTION'!#REF!="Muy Baja",' RIESGOS DE GESTION'!#REF!="Catastrófico"),CONCATENATE("R8C",' RIESGOS DE GESTION'!#REF!),"")</f>
        <v>#REF!</v>
      </c>
      <c r="AJ53" s="44" t="e">
        <f>IF(AND(' RIESGOS DE GESTION'!#REF!="Muy Baja",' RIESGOS DE GESTION'!#REF!="Catastrófico"),CONCATENATE("R8C",' RIESGOS DE GESTION'!#REF!),"")</f>
        <v>#REF!</v>
      </c>
      <c r="AK53" s="44" t="e">
        <f>IF(AND(' RIESGOS DE GESTION'!#REF!="Muy Baja",' RIESGOS DE GESTION'!#REF!="Catastrófico"),CONCATENATE("R8C",' RIESGOS DE GESTION'!#REF!),"")</f>
        <v>#REF!</v>
      </c>
      <c r="AL53" s="44" t="e">
        <f>IF(AND(' RIESGOS DE GESTION'!#REF!="Muy Baja",' RIESGOS DE GESTION'!#REF!="Catastrófico"),CONCATENATE("R8C",' RIESGOS DE GESTION'!#REF!),"")</f>
        <v>#REF!</v>
      </c>
      <c r="AM53" s="45" t="e">
        <f>IF(AND(' RIESGOS DE GESTION'!#REF!="Muy Baja",' RIESGOS DE GESTION'!#REF!="Catastrófico"),CONCATENATE("R8C",' RIESGOS DE GESTION'!#REF!),"")</f>
        <v>#REF!</v>
      </c>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c r="A54" s="71"/>
      <c r="B54" s="537"/>
      <c r="C54" s="537"/>
      <c r="D54" s="538"/>
      <c r="E54" s="636"/>
      <c r="F54" s="635"/>
      <c r="G54" s="635"/>
      <c r="H54" s="635"/>
      <c r="I54" s="651"/>
      <c r="J54" s="64" t="e">
        <f>IF(AND(' RIESGOS DE GESTION'!#REF!="Muy Baja",' RIESGOS DE GESTION'!#REF!="Leve"),CONCATENATE("R9C",' RIESGOS DE GESTION'!#REF!),"")</f>
        <v>#REF!</v>
      </c>
      <c r="K54" s="65" t="e">
        <f>IF(AND(' RIESGOS DE GESTION'!#REF!="Muy Baja",' RIESGOS DE GESTION'!#REF!="Leve"),CONCATENATE("R9C",' RIESGOS DE GESTION'!#REF!),"")</f>
        <v>#REF!</v>
      </c>
      <c r="L54" s="65" t="e">
        <f>IF(AND(' RIESGOS DE GESTION'!#REF!="Muy Baja",' RIESGOS DE GESTION'!#REF!="Leve"),CONCATENATE("R9C",' RIESGOS DE GESTION'!#REF!),"")</f>
        <v>#REF!</v>
      </c>
      <c r="M54" s="65" t="e">
        <f>IF(AND(' RIESGOS DE GESTION'!#REF!="Muy Baja",' RIESGOS DE GESTION'!#REF!="Leve"),CONCATENATE("R9C",' RIESGOS DE GESTION'!#REF!),"")</f>
        <v>#REF!</v>
      </c>
      <c r="N54" s="65" t="e">
        <f>IF(AND(' RIESGOS DE GESTION'!#REF!="Muy Baja",' RIESGOS DE GESTION'!#REF!="Leve"),CONCATENATE("R9C",' RIESGOS DE GESTION'!#REF!),"")</f>
        <v>#REF!</v>
      </c>
      <c r="O54" s="66" t="e">
        <f>IF(AND(' RIESGOS DE GESTION'!#REF!="Muy Baja",' RIESGOS DE GESTION'!#REF!="Leve"),CONCATENATE("R9C",' RIESGOS DE GESTION'!#REF!),"")</f>
        <v>#REF!</v>
      </c>
      <c r="P54" s="64" t="e">
        <f>IF(AND(' RIESGOS DE GESTION'!#REF!="Muy Baja",' RIESGOS DE GESTION'!#REF!="Menor"),CONCATENATE("R9C",' RIESGOS DE GESTION'!#REF!),"")</f>
        <v>#REF!</v>
      </c>
      <c r="Q54" s="65" t="e">
        <f>IF(AND(' RIESGOS DE GESTION'!#REF!="Muy Baja",' RIESGOS DE GESTION'!#REF!="Menor"),CONCATENATE("R9C",' RIESGOS DE GESTION'!#REF!),"")</f>
        <v>#REF!</v>
      </c>
      <c r="R54" s="65" t="e">
        <f>IF(AND(' RIESGOS DE GESTION'!#REF!="Muy Baja",' RIESGOS DE GESTION'!#REF!="Menor"),CONCATENATE("R9C",' RIESGOS DE GESTION'!#REF!),"")</f>
        <v>#REF!</v>
      </c>
      <c r="S54" s="65" t="e">
        <f>IF(AND(' RIESGOS DE GESTION'!#REF!="Muy Baja",' RIESGOS DE GESTION'!#REF!="Menor"),CONCATENATE("R9C",' RIESGOS DE GESTION'!#REF!),"")</f>
        <v>#REF!</v>
      </c>
      <c r="T54" s="65" t="e">
        <f>IF(AND(' RIESGOS DE GESTION'!#REF!="Muy Baja",' RIESGOS DE GESTION'!#REF!="Menor"),CONCATENATE("R9C",' RIESGOS DE GESTION'!#REF!),"")</f>
        <v>#REF!</v>
      </c>
      <c r="U54" s="66" t="e">
        <f>IF(AND(' RIESGOS DE GESTION'!#REF!="Muy Baja",' RIESGOS DE GESTION'!#REF!="Menor"),CONCATENATE("R9C",' RIESGOS DE GESTION'!#REF!),"")</f>
        <v>#REF!</v>
      </c>
      <c r="V54" s="55" t="e">
        <f>IF(AND(' RIESGOS DE GESTION'!#REF!="Muy Baja",' RIESGOS DE GESTION'!#REF!="Moderado"),CONCATENATE("R9C",' RIESGOS DE GESTION'!#REF!),"")</f>
        <v>#REF!</v>
      </c>
      <c r="W54" s="56" t="e">
        <f>IF(AND(' RIESGOS DE GESTION'!#REF!="Muy Baja",' RIESGOS DE GESTION'!#REF!="Moderado"),CONCATENATE("R9C",' RIESGOS DE GESTION'!#REF!),"")</f>
        <v>#REF!</v>
      </c>
      <c r="X54" s="56" t="e">
        <f>IF(AND(' RIESGOS DE GESTION'!#REF!="Muy Baja",' RIESGOS DE GESTION'!#REF!="Moderado"),CONCATENATE("R9C",' RIESGOS DE GESTION'!#REF!),"")</f>
        <v>#REF!</v>
      </c>
      <c r="Y54" s="56" t="e">
        <f>IF(AND(' RIESGOS DE GESTION'!#REF!="Muy Baja",' RIESGOS DE GESTION'!#REF!="Moderado"),CONCATENATE("R9C",' RIESGOS DE GESTION'!#REF!),"")</f>
        <v>#REF!</v>
      </c>
      <c r="Z54" s="56" t="e">
        <f>IF(AND(' RIESGOS DE GESTION'!#REF!="Muy Baja",' RIESGOS DE GESTION'!#REF!="Moderado"),CONCATENATE("R9C",' RIESGOS DE GESTION'!#REF!),"")</f>
        <v>#REF!</v>
      </c>
      <c r="AA54" s="57" t="e">
        <f>IF(AND(' RIESGOS DE GESTION'!#REF!="Muy Baja",' RIESGOS DE GESTION'!#REF!="Moderado"),CONCATENATE("R9C",' RIESGOS DE GESTION'!#REF!),"")</f>
        <v>#REF!</v>
      </c>
      <c r="AB54" s="40" t="e">
        <f>IF(AND(' RIESGOS DE GESTION'!#REF!="Muy Baja",' RIESGOS DE GESTION'!#REF!="Mayor"),CONCATENATE("R9C",' RIESGOS DE GESTION'!#REF!),"")</f>
        <v>#REF!</v>
      </c>
      <c r="AC54" s="41" t="e">
        <f>IF(AND(' RIESGOS DE GESTION'!#REF!="Muy Baja",' RIESGOS DE GESTION'!#REF!="Mayor"),CONCATENATE("R9C",' RIESGOS DE GESTION'!#REF!),"")</f>
        <v>#REF!</v>
      </c>
      <c r="AD54" s="41" t="e">
        <f>IF(AND(' RIESGOS DE GESTION'!#REF!="Muy Baja",' RIESGOS DE GESTION'!#REF!="Mayor"),CONCATENATE("R9C",' RIESGOS DE GESTION'!#REF!),"")</f>
        <v>#REF!</v>
      </c>
      <c r="AE54" s="41" t="e">
        <f>IF(AND(' RIESGOS DE GESTION'!#REF!="Muy Baja",' RIESGOS DE GESTION'!#REF!="Mayor"),CONCATENATE("R9C",' RIESGOS DE GESTION'!#REF!),"")</f>
        <v>#REF!</v>
      </c>
      <c r="AF54" s="41" t="e">
        <f>IF(AND(' RIESGOS DE GESTION'!#REF!="Muy Baja",' RIESGOS DE GESTION'!#REF!="Mayor"),CONCATENATE("R9C",' RIESGOS DE GESTION'!#REF!),"")</f>
        <v>#REF!</v>
      </c>
      <c r="AG54" s="42" t="e">
        <f>IF(AND(' RIESGOS DE GESTION'!#REF!="Muy Baja",' RIESGOS DE GESTION'!#REF!="Mayor"),CONCATENATE("R9C",' RIESGOS DE GESTION'!#REF!),"")</f>
        <v>#REF!</v>
      </c>
      <c r="AH54" s="43" t="e">
        <f>IF(AND(' RIESGOS DE GESTION'!#REF!="Muy Baja",' RIESGOS DE GESTION'!#REF!="Catastrófico"),CONCATENATE("R9C",' RIESGOS DE GESTION'!#REF!),"")</f>
        <v>#REF!</v>
      </c>
      <c r="AI54" s="44" t="e">
        <f>IF(AND(' RIESGOS DE GESTION'!#REF!="Muy Baja",' RIESGOS DE GESTION'!#REF!="Catastrófico"),CONCATENATE("R9C",' RIESGOS DE GESTION'!#REF!),"")</f>
        <v>#REF!</v>
      </c>
      <c r="AJ54" s="44" t="e">
        <f>IF(AND(' RIESGOS DE GESTION'!#REF!="Muy Baja",' RIESGOS DE GESTION'!#REF!="Catastrófico"),CONCATENATE("R9C",' RIESGOS DE GESTION'!#REF!),"")</f>
        <v>#REF!</v>
      </c>
      <c r="AK54" s="44" t="e">
        <f>IF(AND(' RIESGOS DE GESTION'!#REF!="Muy Baja",' RIESGOS DE GESTION'!#REF!="Catastrófico"),CONCATENATE("R9C",' RIESGOS DE GESTION'!#REF!),"")</f>
        <v>#REF!</v>
      </c>
      <c r="AL54" s="44" t="e">
        <f>IF(AND(' RIESGOS DE GESTION'!#REF!="Muy Baja",' RIESGOS DE GESTION'!#REF!="Catastrófico"),CONCATENATE("R9C",' RIESGOS DE GESTION'!#REF!),"")</f>
        <v>#REF!</v>
      </c>
      <c r="AM54" s="45" t="e">
        <f>IF(AND(' RIESGOS DE GESTION'!#REF!="Muy Baja",' RIESGOS DE GESTION'!#REF!="Catastrófico"),CONCATENATE("R9C",' RIESGOS DE GESTION'!#REF!),"")</f>
        <v>#REF!</v>
      </c>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ht="15.75" customHeight="1" thickBot="1">
      <c r="A55" s="71"/>
      <c r="B55" s="537"/>
      <c r="C55" s="537"/>
      <c r="D55" s="538"/>
      <c r="E55" s="637"/>
      <c r="F55" s="638"/>
      <c r="G55" s="638"/>
      <c r="H55" s="638"/>
      <c r="I55" s="652"/>
      <c r="J55" s="67" t="e">
        <f>IF(AND(' RIESGOS DE GESTION'!#REF!="Muy Baja",' RIESGOS DE GESTION'!#REF!="Leve"),CONCATENATE("R10C",' RIESGOS DE GESTION'!#REF!),"")</f>
        <v>#REF!</v>
      </c>
      <c r="K55" s="68" t="e">
        <f>IF(AND(' RIESGOS DE GESTION'!#REF!="Muy Baja",' RIESGOS DE GESTION'!#REF!="Leve"),CONCATENATE("R10C",' RIESGOS DE GESTION'!#REF!),"")</f>
        <v>#REF!</v>
      </c>
      <c r="L55" s="68" t="e">
        <f>IF(AND(' RIESGOS DE GESTION'!#REF!="Muy Baja",' RIESGOS DE GESTION'!#REF!="Leve"),CONCATENATE("R10C",' RIESGOS DE GESTION'!#REF!),"")</f>
        <v>#REF!</v>
      </c>
      <c r="M55" s="68" t="e">
        <f>IF(AND(' RIESGOS DE GESTION'!#REF!="Muy Baja",' RIESGOS DE GESTION'!#REF!="Leve"),CONCATENATE("R10C",' RIESGOS DE GESTION'!#REF!),"")</f>
        <v>#REF!</v>
      </c>
      <c r="N55" s="68" t="e">
        <f>IF(AND(' RIESGOS DE GESTION'!#REF!="Muy Baja",' RIESGOS DE GESTION'!#REF!="Leve"),CONCATENATE("R10C",' RIESGOS DE GESTION'!#REF!),"")</f>
        <v>#REF!</v>
      </c>
      <c r="O55" s="69" t="e">
        <f>IF(AND(' RIESGOS DE GESTION'!#REF!="Muy Baja",' RIESGOS DE GESTION'!#REF!="Leve"),CONCATENATE("R10C",' RIESGOS DE GESTION'!#REF!),"")</f>
        <v>#REF!</v>
      </c>
      <c r="P55" s="67" t="e">
        <f>IF(AND(' RIESGOS DE GESTION'!#REF!="Muy Baja",' RIESGOS DE GESTION'!#REF!="Menor"),CONCATENATE("R10C",' RIESGOS DE GESTION'!#REF!),"")</f>
        <v>#REF!</v>
      </c>
      <c r="Q55" s="68" t="e">
        <f>IF(AND(' RIESGOS DE GESTION'!#REF!="Muy Baja",' RIESGOS DE GESTION'!#REF!="Menor"),CONCATENATE("R10C",' RIESGOS DE GESTION'!#REF!),"")</f>
        <v>#REF!</v>
      </c>
      <c r="R55" s="68" t="e">
        <f>IF(AND(' RIESGOS DE GESTION'!#REF!="Muy Baja",' RIESGOS DE GESTION'!#REF!="Menor"),CONCATENATE("R10C",' RIESGOS DE GESTION'!#REF!),"")</f>
        <v>#REF!</v>
      </c>
      <c r="S55" s="68" t="e">
        <f>IF(AND(' RIESGOS DE GESTION'!#REF!="Muy Baja",' RIESGOS DE GESTION'!#REF!="Menor"),CONCATENATE("R10C",' RIESGOS DE GESTION'!#REF!),"")</f>
        <v>#REF!</v>
      </c>
      <c r="T55" s="68" t="e">
        <f>IF(AND(' RIESGOS DE GESTION'!#REF!="Muy Baja",' RIESGOS DE GESTION'!#REF!="Menor"),CONCATENATE("R10C",' RIESGOS DE GESTION'!#REF!),"")</f>
        <v>#REF!</v>
      </c>
      <c r="U55" s="69" t="e">
        <f>IF(AND(' RIESGOS DE GESTION'!#REF!="Muy Baja",' RIESGOS DE GESTION'!#REF!="Menor"),CONCATENATE("R10C",' RIESGOS DE GESTION'!#REF!),"")</f>
        <v>#REF!</v>
      </c>
      <c r="V55" s="58" t="e">
        <f>IF(AND(' RIESGOS DE GESTION'!#REF!="Muy Baja",' RIESGOS DE GESTION'!#REF!="Moderado"),CONCATENATE("R10C",' RIESGOS DE GESTION'!#REF!),"")</f>
        <v>#REF!</v>
      </c>
      <c r="W55" s="59" t="e">
        <f>IF(AND(' RIESGOS DE GESTION'!#REF!="Muy Baja",' RIESGOS DE GESTION'!#REF!="Moderado"),CONCATENATE("R10C",' RIESGOS DE GESTION'!#REF!),"")</f>
        <v>#REF!</v>
      </c>
      <c r="X55" s="59" t="e">
        <f>IF(AND(' RIESGOS DE GESTION'!#REF!="Muy Baja",' RIESGOS DE GESTION'!#REF!="Moderado"),CONCATENATE("R10C",' RIESGOS DE GESTION'!#REF!),"")</f>
        <v>#REF!</v>
      </c>
      <c r="Y55" s="59" t="e">
        <f>IF(AND(' RIESGOS DE GESTION'!#REF!="Muy Baja",' RIESGOS DE GESTION'!#REF!="Moderado"),CONCATENATE("R10C",' RIESGOS DE GESTION'!#REF!),"")</f>
        <v>#REF!</v>
      </c>
      <c r="Z55" s="59" t="e">
        <f>IF(AND(' RIESGOS DE GESTION'!#REF!="Muy Baja",' RIESGOS DE GESTION'!#REF!="Moderado"),CONCATENATE("R10C",' RIESGOS DE GESTION'!#REF!),"")</f>
        <v>#REF!</v>
      </c>
      <c r="AA55" s="60" t="e">
        <f>IF(AND(' RIESGOS DE GESTION'!#REF!="Muy Baja",' RIESGOS DE GESTION'!#REF!="Moderado"),CONCATENATE("R10C",' RIESGOS DE GESTION'!#REF!),"")</f>
        <v>#REF!</v>
      </c>
      <c r="AB55" s="46" t="e">
        <f>IF(AND(' RIESGOS DE GESTION'!#REF!="Muy Baja",' RIESGOS DE GESTION'!#REF!="Mayor"),CONCATENATE("R10C",' RIESGOS DE GESTION'!#REF!),"")</f>
        <v>#REF!</v>
      </c>
      <c r="AC55" s="47" t="e">
        <f>IF(AND(' RIESGOS DE GESTION'!#REF!="Muy Baja",' RIESGOS DE GESTION'!#REF!="Mayor"),CONCATENATE("R10C",' RIESGOS DE GESTION'!#REF!),"")</f>
        <v>#REF!</v>
      </c>
      <c r="AD55" s="47" t="e">
        <f>IF(AND(' RIESGOS DE GESTION'!#REF!="Muy Baja",' RIESGOS DE GESTION'!#REF!="Mayor"),CONCATENATE("R10C",' RIESGOS DE GESTION'!#REF!),"")</f>
        <v>#REF!</v>
      </c>
      <c r="AE55" s="47" t="e">
        <f>IF(AND(' RIESGOS DE GESTION'!#REF!="Muy Baja",' RIESGOS DE GESTION'!#REF!="Mayor"),CONCATENATE("R10C",' RIESGOS DE GESTION'!#REF!),"")</f>
        <v>#REF!</v>
      </c>
      <c r="AF55" s="47" t="e">
        <f>IF(AND(' RIESGOS DE GESTION'!#REF!="Muy Baja",' RIESGOS DE GESTION'!#REF!="Mayor"),CONCATENATE("R10C",' RIESGOS DE GESTION'!#REF!),"")</f>
        <v>#REF!</v>
      </c>
      <c r="AG55" s="48" t="e">
        <f>IF(AND(' RIESGOS DE GESTION'!#REF!="Muy Baja",' RIESGOS DE GESTION'!#REF!="Mayor"),CONCATENATE("R10C",' RIESGOS DE GESTION'!#REF!),"")</f>
        <v>#REF!</v>
      </c>
      <c r="AH55" s="49" t="e">
        <f>IF(AND(' RIESGOS DE GESTION'!#REF!="Muy Baja",' RIESGOS DE GESTION'!#REF!="Catastrófico"),CONCATENATE("R10C",' RIESGOS DE GESTION'!#REF!),"")</f>
        <v>#REF!</v>
      </c>
      <c r="AI55" s="50" t="e">
        <f>IF(AND(' RIESGOS DE GESTION'!#REF!="Muy Baja",' RIESGOS DE GESTION'!#REF!="Catastrófico"),CONCATENATE("R10C",' RIESGOS DE GESTION'!#REF!),"")</f>
        <v>#REF!</v>
      </c>
      <c r="AJ55" s="50" t="e">
        <f>IF(AND(' RIESGOS DE GESTION'!#REF!="Muy Baja",' RIESGOS DE GESTION'!#REF!="Catastrófico"),CONCATENATE("R10C",' RIESGOS DE GESTION'!#REF!),"")</f>
        <v>#REF!</v>
      </c>
      <c r="AK55" s="50" t="e">
        <f>IF(AND(' RIESGOS DE GESTION'!#REF!="Muy Baja",' RIESGOS DE GESTION'!#REF!="Catastrófico"),CONCATENATE("R10C",' RIESGOS DE GESTION'!#REF!),"")</f>
        <v>#REF!</v>
      </c>
      <c r="AL55" s="50" t="e">
        <f>IF(AND(' RIESGOS DE GESTION'!#REF!="Muy Baja",' RIESGOS DE GESTION'!#REF!="Catastrófico"),CONCATENATE("R10C",' RIESGOS DE GESTION'!#REF!),"")</f>
        <v>#REF!</v>
      </c>
      <c r="AM55" s="51" t="e">
        <f>IF(AND(' RIESGOS DE GESTION'!#REF!="Muy Baja",' RIESGOS DE GESTION'!#REF!="Catastrófico"),CONCATENATE("R10C",' RIESGOS DE GESTION'!#REF!),"")</f>
        <v>#REF!</v>
      </c>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c r="A56" s="71"/>
      <c r="B56" s="71"/>
      <c r="C56" s="71"/>
      <c r="D56" s="71"/>
      <c r="E56" s="71"/>
      <c r="F56" s="71"/>
      <c r="G56" s="71"/>
      <c r="H56" s="71"/>
      <c r="I56" s="71"/>
      <c r="J56" s="632" t="s">
        <v>572</v>
      </c>
      <c r="K56" s="633"/>
      <c r="L56" s="633"/>
      <c r="M56" s="633"/>
      <c r="N56" s="633"/>
      <c r="O56" s="650"/>
      <c r="P56" s="632" t="s">
        <v>573</v>
      </c>
      <c r="Q56" s="633"/>
      <c r="R56" s="633"/>
      <c r="S56" s="633"/>
      <c r="T56" s="633"/>
      <c r="U56" s="650"/>
      <c r="V56" s="632" t="s">
        <v>574</v>
      </c>
      <c r="W56" s="633"/>
      <c r="X56" s="633"/>
      <c r="Y56" s="633"/>
      <c r="Z56" s="633"/>
      <c r="AA56" s="650"/>
      <c r="AB56" s="632" t="s">
        <v>575</v>
      </c>
      <c r="AC56" s="671"/>
      <c r="AD56" s="633"/>
      <c r="AE56" s="633"/>
      <c r="AF56" s="633"/>
      <c r="AG56" s="650"/>
      <c r="AH56" s="632" t="s">
        <v>576</v>
      </c>
      <c r="AI56" s="633"/>
      <c r="AJ56" s="633"/>
      <c r="AK56" s="633"/>
      <c r="AL56" s="633"/>
      <c r="AM56" s="650"/>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c r="A57" s="71"/>
      <c r="B57" s="71"/>
      <c r="C57" s="71"/>
      <c r="D57" s="71"/>
      <c r="E57" s="71"/>
      <c r="F57" s="71"/>
      <c r="G57" s="71"/>
      <c r="H57" s="71"/>
      <c r="I57" s="71"/>
      <c r="J57" s="636"/>
      <c r="K57" s="635"/>
      <c r="L57" s="635"/>
      <c r="M57" s="635"/>
      <c r="N57" s="635"/>
      <c r="O57" s="651"/>
      <c r="P57" s="636"/>
      <c r="Q57" s="635"/>
      <c r="R57" s="635"/>
      <c r="S57" s="635"/>
      <c r="T57" s="635"/>
      <c r="U57" s="651"/>
      <c r="V57" s="636"/>
      <c r="W57" s="635"/>
      <c r="X57" s="635"/>
      <c r="Y57" s="635"/>
      <c r="Z57" s="635"/>
      <c r="AA57" s="651"/>
      <c r="AB57" s="636"/>
      <c r="AC57" s="635"/>
      <c r="AD57" s="635"/>
      <c r="AE57" s="635"/>
      <c r="AF57" s="635"/>
      <c r="AG57" s="651"/>
      <c r="AH57" s="636"/>
      <c r="AI57" s="635"/>
      <c r="AJ57" s="635"/>
      <c r="AK57" s="635"/>
      <c r="AL57" s="635"/>
      <c r="AM57" s="65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c r="A58" s="71"/>
      <c r="B58" s="71"/>
      <c r="C58" s="71"/>
      <c r="D58" s="71"/>
      <c r="E58" s="71"/>
      <c r="F58" s="71"/>
      <c r="G58" s="71"/>
      <c r="H58" s="71"/>
      <c r="I58" s="71"/>
      <c r="J58" s="636"/>
      <c r="K58" s="635"/>
      <c r="L58" s="635"/>
      <c r="M58" s="635"/>
      <c r="N58" s="635"/>
      <c r="O58" s="651"/>
      <c r="P58" s="636"/>
      <c r="Q58" s="635"/>
      <c r="R58" s="635"/>
      <c r="S58" s="635"/>
      <c r="T58" s="635"/>
      <c r="U58" s="651"/>
      <c r="V58" s="636"/>
      <c r="W58" s="635"/>
      <c r="X58" s="635"/>
      <c r="Y58" s="635"/>
      <c r="Z58" s="635"/>
      <c r="AA58" s="651"/>
      <c r="AB58" s="636"/>
      <c r="AC58" s="635"/>
      <c r="AD58" s="635"/>
      <c r="AE58" s="635"/>
      <c r="AF58" s="635"/>
      <c r="AG58" s="651"/>
      <c r="AH58" s="636"/>
      <c r="AI58" s="635"/>
      <c r="AJ58" s="635"/>
      <c r="AK58" s="635"/>
      <c r="AL58" s="635"/>
      <c r="AM58" s="65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c r="A59" s="71"/>
      <c r="B59" s="71"/>
      <c r="C59" s="71"/>
      <c r="D59" s="71"/>
      <c r="E59" s="71"/>
      <c r="F59" s="71"/>
      <c r="G59" s="71"/>
      <c r="H59" s="71"/>
      <c r="I59" s="71"/>
      <c r="J59" s="636"/>
      <c r="K59" s="635"/>
      <c r="L59" s="635"/>
      <c r="M59" s="635"/>
      <c r="N59" s="635"/>
      <c r="O59" s="651"/>
      <c r="P59" s="636"/>
      <c r="Q59" s="635"/>
      <c r="R59" s="635"/>
      <c r="S59" s="635"/>
      <c r="T59" s="635"/>
      <c r="U59" s="651"/>
      <c r="V59" s="636"/>
      <c r="W59" s="635"/>
      <c r="X59" s="635"/>
      <c r="Y59" s="635"/>
      <c r="Z59" s="635"/>
      <c r="AA59" s="651"/>
      <c r="AB59" s="636"/>
      <c r="AC59" s="635"/>
      <c r="AD59" s="635"/>
      <c r="AE59" s="635"/>
      <c r="AF59" s="635"/>
      <c r="AG59" s="651"/>
      <c r="AH59" s="636"/>
      <c r="AI59" s="635"/>
      <c r="AJ59" s="635"/>
      <c r="AK59" s="635"/>
      <c r="AL59" s="635"/>
      <c r="AM59" s="65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c r="A60" s="71"/>
      <c r="B60" s="71"/>
      <c r="C60" s="71"/>
      <c r="D60" s="71"/>
      <c r="E60" s="71"/>
      <c r="F60" s="71"/>
      <c r="G60" s="71"/>
      <c r="H60" s="71"/>
      <c r="I60" s="71"/>
      <c r="J60" s="636"/>
      <c r="K60" s="635"/>
      <c r="L60" s="635"/>
      <c r="M60" s="635"/>
      <c r="N60" s="635"/>
      <c r="O60" s="651"/>
      <c r="P60" s="636"/>
      <c r="Q60" s="635"/>
      <c r="R60" s="635"/>
      <c r="S60" s="635"/>
      <c r="T60" s="635"/>
      <c r="U60" s="651"/>
      <c r="V60" s="636"/>
      <c r="W60" s="635"/>
      <c r="X60" s="635"/>
      <c r="Y60" s="635"/>
      <c r="Z60" s="635"/>
      <c r="AA60" s="651"/>
      <c r="AB60" s="636"/>
      <c r="AC60" s="635"/>
      <c r="AD60" s="635"/>
      <c r="AE60" s="635"/>
      <c r="AF60" s="635"/>
      <c r="AG60" s="651"/>
      <c r="AH60" s="636"/>
      <c r="AI60" s="635"/>
      <c r="AJ60" s="635"/>
      <c r="AK60" s="635"/>
      <c r="AL60" s="635"/>
      <c r="AM60" s="65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ht="15.75" thickBot="1">
      <c r="A61" s="71"/>
      <c r="B61" s="71"/>
      <c r="C61" s="71"/>
      <c r="D61" s="71"/>
      <c r="E61" s="71"/>
      <c r="F61" s="71"/>
      <c r="G61" s="71"/>
      <c r="H61" s="71"/>
      <c r="I61" s="71"/>
      <c r="J61" s="637"/>
      <c r="K61" s="638"/>
      <c r="L61" s="638"/>
      <c r="M61" s="638"/>
      <c r="N61" s="638"/>
      <c r="O61" s="652"/>
      <c r="P61" s="637"/>
      <c r="Q61" s="638"/>
      <c r="R61" s="638"/>
      <c r="S61" s="638"/>
      <c r="T61" s="638"/>
      <c r="U61" s="652"/>
      <c r="V61" s="637"/>
      <c r="W61" s="638"/>
      <c r="X61" s="638"/>
      <c r="Y61" s="638"/>
      <c r="Z61" s="638"/>
      <c r="AA61" s="652"/>
      <c r="AB61" s="637"/>
      <c r="AC61" s="638"/>
      <c r="AD61" s="638"/>
      <c r="AE61" s="638"/>
      <c r="AF61" s="638"/>
      <c r="AG61" s="652"/>
      <c r="AH61" s="637"/>
      <c r="AI61" s="638"/>
      <c r="AJ61" s="638"/>
      <c r="AK61" s="638"/>
      <c r="AL61" s="638"/>
      <c r="AM61" s="652"/>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row>
    <row r="63" spans="1:80" ht="15" customHeight="1">
      <c r="A63" s="71"/>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1"/>
      <c r="AV63" s="71"/>
      <c r="AW63" s="71"/>
      <c r="AX63" s="71"/>
      <c r="AY63" s="71"/>
      <c r="AZ63" s="71"/>
      <c r="BA63" s="71"/>
      <c r="BB63" s="71"/>
      <c r="BC63" s="71"/>
      <c r="BD63" s="71"/>
      <c r="BE63" s="71"/>
      <c r="BF63" s="71"/>
      <c r="BG63" s="71"/>
      <c r="BH63" s="71"/>
    </row>
    <row r="64" spans="1:80" ht="15" customHeight="1">
      <c r="A64" s="71"/>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1"/>
      <c r="AV64" s="71"/>
      <c r="AW64" s="71"/>
      <c r="AX64" s="71"/>
      <c r="AY64" s="71"/>
      <c r="AZ64" s="71"/>
      <c r="BA64" s="71"/>
      <c r="BB64" s="71"/>
      <c r="BC64" s="71"/>
      <c r="BD64" s="71"/>
      <c r="BE64" s="71"/>
      <c r="BF64" s="71"/>
      <c r="BG64" s="71"/>
      <c r="BH64" s="71"/>
    </row>
    <row r="65" spans="1:60">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row>
    <row r="66" spans="1:60">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row>
    <row r="67" spans="1:60">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row>
    <row r="68" spans="1:60">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row>
    <row r="69" spans="1:60">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row>
    <row r="70" spans="1:60">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row>
    <row r="71" spans="1:60">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row>
    <row r="72" spans="1:60">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row>
    <row r="73" spans="1:60">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row>
    <row r="74" spans="1:60">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row>
    <row r="75" spans="1:60">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row>
    <row r="76" spans="1:60">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row>
    <row r="77" spans="1:60">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row>
    <row r="78" spans="1:60">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row>
    <row r="79" spans="1:60">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row>
    <row r="80" spans="1:60">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row>
    <row r="81" spans="1:60">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row>
    <row r="82" spans="1:60">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row>
    <row r="83" spans="1:60">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row>
    <row r="84" spans="1:60">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row>
    <row r="85" spans="1:60">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row>
    <row r="86" spans="1:60">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row>
    <row r="87" spans="1:60">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row>
    <row r="88" spans="1:60">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row>
    <row r="89" spans="1:60">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row>
    <row r="90" spans="1:60">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row>
    <row r="91" spans="1:60">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row>
    <row r="92" spans="1:60">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row>
    <row r="93" spans="1:60">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row>
    <row r="94" spans="1:60">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row>
    <row r="95" spans="1:60">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row>
    <row r="96" spans="1:60">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row>
    <row r="97" spans="1:60">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row>
    <row r="98" spans="1:60">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row>
    <row r="99" spans="1:60">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row>
    <row r="100" spans="1:60">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row>
    <row r="101" spans="1:60">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row>
    <row r="102" spans="1:60">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row>
    <row r="103" spans="1:60">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row>
    <row r="104" spans="1:60">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row>
    <row r="105" spans="1:60">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row>
    <row r="106" spans="1:60">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row>
    <row r="107" spans="1:60">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row>
    <row r="108" spans="1:60">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row>
    <row r="109" spans="1:60">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row>
    <row r="110" spans="1:60">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row>
    <row r="111" spans="1:60">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row>
    <row r="112" spans="1:60">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row>
    <row r="113" spans="1:60">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row>
    <row r="114" spans="1:60">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row>
    <row r="115" spans="1:60">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row>
    <row r="116" spans="1:60">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row>
    <row r="117" spans="1:60">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row>
    <row r="118" spans="1:60">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row>
    <row r="119" spans="1:60">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row>
    <row r="120" spans="1:60">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row>
    <row r="121" spans="1:60">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row>
    <row r="122" spans="1:60">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row>
    <row r="123" spans="1:60">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row>
    <row r="124" spans="1:60">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row>
    <row r="125" spans="1:60">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row>
    <row r="126" spans="1:60">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row>
    <row r="127" spans="1:60">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row>
    <row r="128" spans="1:60">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row>
    <row r="129" spans="1:60">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row>
    <row r="130" spans="1:60">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row>
    <row r="131" spans="1:60">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row>
    <row r="132" spans="1:60">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row>
    <row r="133" spans="1:60">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row>
    <row r="134" spans="1:60">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row>
    <row r="135" spans="1:60">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row>
    <row r="136" spans="1:60">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row>
    <row r="137" spans="1:60">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row>
    <row r="138" spans="1:60">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row>
    <row r="139" spans="1:60">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row>
    <row r="140" spans="1:60">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row>
    <row r="141" spans="1:60">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row>
    <row r="142" spans="1:60">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row>
    <row r="143" spans="1:60">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row>
    <row r="144" spans="1:60">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row>
    <row r="145" spans="1:60">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row>
    <row r="146" spans="1:60">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row>
    <row r="147" spans="1:60">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row>
    <row r="148" spans="1:60">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row>
    <row r="149" spans="1:60">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row>
    <row r="150" spans="1:60">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row>
    <row r="151" spans="1:60">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row>
    <row r="152" spans="1:60">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row>
    <row r="153" spans="1:60">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row>
    <row r="154" spans="1:60">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row>
    <row r="155" spans="1:60">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row>
    <row r="156" spans="1:60">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row>
    <row r="157" spans="1:60">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row>
    <row r="158" spans="1:60">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row>
    <row r="159" spans="1:60">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row>
    <row r="160" spans="1:60">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row>
    <row r="161" spans="1:60">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row>
    <row r="162" spans="1:60">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row>
    <row r="163" spans="1:60">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row>
    <row r="164" spans="1:60">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row>
    <row r="165" spans="1:60">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row>
    <row r="166" spans="1:60">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row>
    <row r="167" spans="1:60">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row>
    <row r="168" spans="1:60">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row>
    <row r="169" spans="1:60">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row>
    <row r="170" spans="1:60">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row>
    <row r="171" spans="1:60">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row>
    <row r="172" spans="1:60">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row>
    <row r="173" spans="1:60">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row>
    <row r="174" spans="1:60">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row>
    <row r="175" spans="1:60">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row>
    <row r="176" spans="1:60">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row>
    <row r="177" spans="1:60">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row>
    <row r="178" spans="1:60">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row>
    <row r="179" spans="1:60">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row>
    <row r="180" spans="1:60">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row>
    <row r="181" spans="1:60">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row>
    <row r="182" spans="1:60">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row>
    <row r="183" spans="1:60">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row>
    <row r="184" spans="1:60">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row>
    <row r="185" spans="1:60">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row>
    <row r="186" spans="1:60">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row>
    <row r="187" spans="1:60">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row>
    <row r="188" spans="1:60">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row>
    <row r="189" spans="1:60">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row>
    <row r="190" spans="1:60">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row>
    <row r="191" spans="1:60">
      <c r="A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row>
    <row r="192" spans="1:60">
      <c r="A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row>
    <row r="193" spans="1:60">
      <c r="A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row>
    <row r="194" spans="1:60">
      <c r="A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row>
    <row r="195" spans="1:60">
      <c r="A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row>
    <row r="196" spans="1:60">
      <c r="A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row>
    <row r="197" spans="1:60">
      <c r="A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row>
    <row r="198" spans="1:60">
      <c r="A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row>
    <row r="199" spans="1:60">
      <c r="A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row>
    <row r="200" spans="1:60">
      <c r="A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1"/>
    </row>
    <row r="201" spans="1:60">
      <c r="A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row>
    <row r="202" spans="1:60">
      <c r="A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1"/>
    </row>
    <row r="203" spans="1:60">
      <c r="A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row>
    <row r="204" spans="1:60">
      <c r="A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1"/>
    </row>
    <row r="205" spans="1:60">
      <c r="A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row>
    <row r="206" spans="1:60">
      <c r="A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row>
    <row r="207" spans="1:60">
      <c r="A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row>
    <row r="208" spans="1:60">
      <c r="A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1"/>
    </row>
    <row r="209" spans="1:60">
      <c r="A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row>
    <row r="210" spans="1:60">
      <c r="A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1"/>
    </row>
    <row r="211" spans="1:60">
      <c r="A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row>
    <row r="212" spans="1:60">
      <c r="A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row>
    <row r="213" spans="1:60">
      <c r="A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row>
    <row r="214" spans="1:60">
      <c r="A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1"/>
    </row>
    <row r="215" spans="1:60">
      <c r="A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row>
    <row r="216" spans="1:60">
      <c r="A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row>
    <row r="217" spans="1:60">
      <c r="A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row>
    <row r="218" spans="1:60">
      <c r="A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1"/>
      <c r="BE218" s="71"/>
      <c r="BF218" s="71"/>
      <c r="BG218" s="71"/>
      <c r="BH218" s="71"/>
    </row>
    <row r="219" spans="1:60">
      <c r="A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row>
    <row r="220" spans="1:60">
      <c r="A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1"/>
    </row>
    <row r="221" spans="1:60">
      <c r="A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row>
    <row r="222" spans="1:60">
      <c r="A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row>
    <row r="223" spans="1:60">
      <c r="A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row>
    <row r="224" spans="1:60">
      <c r="A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1"/>
    </row>
    <row r="225" spans="1:60">
      <c r="A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row>
    <row r="226" spans="1:60">
      <c r="A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1"/>
    </row>
    <row r="227" spans="1:60">
      <c r="A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row>
    <row r="228" spans="1:60">
      <c r="A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1"/>
    </row>
    <row r="229" spans="1:60">
      <c r="A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row>
    <row r="230" spans="1:60">
      <c r="A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1"/>
    </row>
    <row r="231" spans="1:60">
      <c r="A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row>
    <row r="232" spans="1:60">
      <c r="A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c r="BD232" s="71"/>
      <c r="BE232" s="71"/>
      <c r="BF232" s="71"/>
      <c r="BG232" s="71"/>
      <c r="BH232" s="71"/>
    </row>
    <row r="233" spans="1:60">
      <c r="A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row>
    <row r="234" spans="1:60">
      <c r="A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1"/>
    </row>
    <row r="235" spans="1:60">
      <c r="A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row>
    <row r="236" spans="1:60">
      <c r="A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1"/>
    </row>
    <row r="237" spans="1:60">
      <c r="A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row>
    <row r="238" spans="1:60">
      <c r="A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row>
    <row r="239" spans="1:60">
      <c r="A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row>
    <row r="240" spans="1:60">
      <c r="A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1"/>
    </row>
    <row r="241" spans="1:60">
      <c r="A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row>
    <row r="242" spans="1:60">
      <c r="A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1"/>
    </row>
    <row r="243" spans="1:60">
      <c r="A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row>
    <row r="244" spans="1:60">
      <c r="A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row>
    <row r="245" spans="1:60">
      <c r="A245" s="71"/>
    </row>
    <row r="246" spans="1:60">
      <c r="A246" s="71"/>
    </row>
    <row r="247" spans="1:60">
      <c r="A247" s="71"/>
    </row>
    <row r="248" spans="1:60">
      <c r="A248" s="71"/>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defaultColWidth="11.42578125" defaultRowHeight="15"/>
  <cols>
    <col min="2" max="2" width="24.140625" customWidth="1"/>
    <col min="3" max="3" width="70.140625" customWidth="1"/>
    <col min="4" max="4" width="29.85546875" customWidth="1"/>
  </cols>
  <sheetData>
    <row r="1" spans="1:37" ht="23.25">
      <c r="A1" s="71"/>
      <c r="B1" s="672" t="s">
        <v>578</v>
      </c>
      <c r="C1" s="672"/>
      <c r="D1" s="672"/>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37">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7" ht="25.5">
      <c r="A3" s="71"/>
      <c r="B3" s="5"/>
      <c r="C3" s="6" t="s">
        <v>579</v>
      </c>
      <c r="D3" s="6" t="s">
        <v>296</v>
      </c>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7" ht="51">
      <c r="A4" s="71"/>
      <c r="B4" s="7" t="s">
        <v>580</v>
      </c>
      <c r="C4" s="8" t="s">
        <v>581</v>
      </c>
      <c r="D4" s="9">
        <v>0.2</v>
      </c>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7" ht="51">
      <c r="A5" s="71"/>
      <c r="B5" s="10" t="s">
        <v>582</v>
      </c>
      <c r="C5" s="11" t="s">
        <v>583</v>
      </c>
      <c r="D5" s="12">
        <v>0.4</v>
      </c>
      <c r="E5" s="71"/>
      <c r="F5" s="71"/>
      <c r="G5" s="71"/>
      <c r="H5" s="71"/>
      <c r="I5" s="71"/>
      <c r="J5" s="71"/>
      <c r="K5" s="71"/>
      <c r="L5" s="71"/>
      <c r="M5" s="71"/>
      <c r="N5" s="71"/>
      <c r="O5" s="71"/>
      <c r="P5" s="71"/>
      <c r="Q5" s="71"/>
      <c r="R5" s="71"/>
      <c r="S5" s="71"/>
      <c r="T5" s="71"/>
      <c r="U5" s="71"/>
      <c r="V5" s="71"/>
      <c r="W5" s="71"/>
      <c r="X5" s="71"/>
      <c r="Y5" s="71"/>
      <c r="Z5" s="71"/>
      <c r="AA5" s="71"/>
      <c r="AB5" s="71"/>
      <c r="AC5" s="71"/>
      <c r="AD5" s="71"/>
      <c r="AE5" s="71"/>
    </row>
    <row r="6" spans="1:37" ht="51">
      <c r="A6" s="71"/>
      <c r="B6" s="13" t="s">
        <v>584</v>
      </c>
      <c r="C6" s="11" t="s">
        <v>585</v>
      </c>
      <c r="D6" s="12">
        <v>0.6</v>
      </c>
      <c r="E6" s="71"/>
      <c r="F6" s="71"/>
      <c r="G6" s="71"/>
      <c r="H6" s="71"/>
      <c r="I6" s="71"/>
      <c r="J6" s="71"/>
      <c r="K6" s="71"/>
      <c r="L6" s="71"/>
      <c r="M6" s="71"/>
      <c r="N6" s="71"/>
      <c r="O6" s="71"/>
      <c r="P6" s="71"/>
      <c r="Q6" s="71"/>
      <c r="R6" s="71"/>
      <c r="S6" s="71"/>
      <c r="T6" s="71"/>
      <c r="U6" s="71"/>
      <c r="V6" s="71"/>
      <c r="W6" s="71"/>
      <c r="X6" s="71"/>
      <c r="Y6" s="71"/>
      <c r="Z6" s="71"/>
      <c r="AA6" s="71"/>
      <c r="AB6" s="71"/>
      <c r="AC6" s="71"/>
      <c r="AD6" s="71"/>
      <c r="AE6" s="71"/>
    </row>
    <row r="7" spans="1:37" ht="76.5">
      <c r="A7" s="71"/>
      <c r="B7" s="14" t="s">
        <v>586</v>
      </c>
      <c r="C7" s="11" t="s">
        <v>587</v>
      </c>
      <c r="D7" s="12">
        <v>0.8</v>
      </c>
      <c r="E7" s="71"/>
      <c r="F7" s="71"/>
      <c r="G7" s="71"/>
      <c r="H7" s="71"/>
      <c r="I7" s="71"/>
      <c r="J7" s="71"/>
      <c r="K7" s="71"/>
      <c r="L7" s="71"/>
      <c r="M7" s="71"/>
      <c r="N7" s="71"/>
      <c r="O7" s="71"/>
      <c r="P7" s="71"/>
      <c r="Q7" s="71"/>
      <c r="R7" s="71"/>
      <c r="S7" s="71"/>
      <c r="T7" s="71"/>
      <c r="U7" s="71"/>
      <c r="V7" s="71"/>
      <c r="W7" s="71"/>
      <c r="X7" s="71"/>
      <c r="Y7" s="71"/>
      <c r="Z7" s="71"/>
      <c r="AA7" s="71"/>
      <c r="AB7" s="71"/>
      <c r="AC7" s="71"/>
      <c r="AD7" s="71"/>
      <c r="AE7" s="71"/>
    </row>
    <row r="8" spans="1:37" ht="51">
      <c r="A8" s="71"/>
      <c r="B8" s="15" t="s">
        <v>588</v>
      </c>
      <c r="C8" s="11" t="s">
        <v>589</v>
      </c>
      <c r="D8" s="12">
        <v>1</v>
      </c>
      <c r="E8" s="71"/>
      <c r="F8" s="71"/>
      <c r="G8" s="71"/>
      <c r="H8" s="71"/>
      <c r="I8" s="71"/>
      <c r="J8" s="71"/>
      <c r="K8" s="71"/>
      <c r="L8" s="71"/>
      <c r="M8" s="71"/>
      <c r="N8" s="71"/>
      <c r="O8" s="71"/>
      <c r="P8" s="71"/>
      <c r="Q8" s="71"/>
      <c r="R8" s="71"/>
      <c r="S8" s="71"/>
      <c r="T8" s="71"/>
      <c r="U8" s="71"/>
      <c r="V8" s="71"/>
      <c r="W8" s="71"/>
      <c r="X8" s="71"/>
      <c r="Y8" s="71"/>
      <c r="Z8" s="71"/>
      <c r="AA8" s="71"/>
      <c r="AB8" s="71"/>
      <c r="AC8" s="71"/>
      <c r="AD8" s="71"/>
      <c r="AE8" s="71"/>
    </row>
    <row r="9" spans="1:37">
      <c r="A9" s="71"/>
      <c r="B9" s="95"/>
      <c r="C9" s="95"/>
      <c r="D9" s="95"/>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row>
    <row r="10" spans="1:37" ht="16.5">
      <c r="A10" s="71"/>
      <c r="B10" s="96"/>
      <c r="C10" s="95"/>
      <c r="D10" s="95"/>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37">
      <c r="A11" s="71"/>
      <c r="B11" s="95"/>
      <c r="C11" s="95"/>
      <c r="D11" s="95"/>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row>
    <row r="12" spans="1:37">
      <c r="A12" s="71"/>
      <c r="B12" s="95"/>
      <c r="C12" s="95"/>
      <c r="D12" s="95"/>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row>
    <row r="13" spans="1:37">
      <c r="A13" s="71"/>
      <c r="B13" s="95"/>
      <c r="C13" s="95"/>
      <c r="D13" s="95"/>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row>
    <row r="14" spans="1:37">
      <c r="A14" s="71"/>
      <c r="B14" s="95"/>
      <c r="C14" s="95"/>
      <c r="D14" s="95"/>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row>
    <row r="15" spans="1:37">
      <c r="A15" s="71"/>
      <c r="B15" s="95"/>
      <c r="C15" s="95"/>
      <c r="D15" s="95"/>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row>
    <row r="16" spans="1:37">
      <c r="A16" s="71"/>
      <c r="B16" s="95"/>
      <c r="C16" s="95"/>
      <c r="D16" s="95"/>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1:37">
      <c r="A17" s="71"/>
      <c r="B17" s="95"/>
      <c r="C17" s="95"/>
      <c r="D17" s="95"/>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1:37">
      <c r="A18" s="71"/>
      <c r="B18" s="95"/>
      <c r="C18" s="95"/>
      <c r="D18" s="95"/>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1:37">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row>
    <row r="20" spans="1:37">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row>
    <row r="21" spans="1:37">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row>
    <row r="22" spans="1:37">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row>
    <row r="23" spans="1:37">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row>
    <row r="24" spans="1:37">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37">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row>
    <row r="26" spans="1:37">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37">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row>
    <row r="28" spans="1:37">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1:37">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row>
    <row r="30" spans="1:37">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37">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31">
      <c r="A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c r="A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c r="A35" s="71"/>
    </row>
    <row r="36" spans="1:31">
      <c r="A36" s="71"/>
    </row>
    <row r="37" spans="1:31">
      <c r="A37" s="71"/>
    </row>
    <row r="38" spans="1:31">
      <c r="A38" s="71"/>
    </row>
    <row r="39" spans="1:31">
      <c r="A39" s="71"/>
    </row>
    <row r="40" spans="1:31">
      <c r="A40" s="71"/>
    </row>
    <row r="41" spans="1:31">
      <c r="A41" s="71"/>
    </row>
    <row r="42" spans="1:31">
      <c r="A42" s="71"/>
    </row>
    <row r="43" spans="1:31">
      <c r="A43" s="71"/>
    </row>
    <row r="44" spans="1:31">
      <c r="A44" s="71"/>
    </row>
    <row r="45" spans="1:31">
      <c r="A45" s="71"/>
    </row>
    <row r="46" spans="1:31">
      <c r="A46" s="71"/>
    </row>
    <row r="47" spans="1:31">
      <c r="A47" s="71"/>
    </row>
    <row r="48" spans="1:31">
      <c r="A48" s="71"/>
    </row>
    <row r="49" spans="1:1">
      <c r="A49" s="71"/>
    </row>
    <row r="50" spans="1:1">
      <c r="A50" s="71"/>
    </row>
    <row r="51" spans="1:1">
      <c r="A51" s="71"/>
    </row>
    <row r="52" spans="1:1">
      <c r="A52" s="71"/>
    </row>
    <row r="53" spans="1:1">
      <c r="A53" s="71"/>
    </row>
    <row r="54" spans="1:1">
      <c r="A54" s="71"/>
    </row>
    <row r="55" spans="1:1">
      <c r="A55" s="71"/>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E206" sqref="E206"/>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71"/>
      <c r="B1" s="673" t="s">
        <v>590</v>
      </c>
      <c r="C1" s="673"/>
      <c r="D1" s="673"/>
      <c r="E1" s="71"/>
      <c r="F1" s="71"/>
      <c r="G1" s="71"/>
      <c r="H1" s="71"/>
      <c r="I1" s="71"/>
      <c r="J1" s="71"/>
      <c r="K1" s="71"/>
      <c r="L1" s="71"/>
      <c r="M1" s="71"/>
      <c r="N1" s="71"/>
      <c r="O1" s="71"/>
      <c r="P1" s="71"/>
      <c r="Q1" s="71"/>
      <c r="R1" s="71"/>
      <c r="S1" s="71"/>
      <c r="T1" s="71"/>
      <c r="U1" s="71"/>
    </row>
    <row r="2" spans="1:21">
      <c r="A2" s="71"/>
      <c r="B2" s="71"/>
      <c r="C2" s="71"/>
      <c r="D2" s="71"/>
      <c r="E2" s="71"/>
      <c r="F2" s="71"/>
      <c r="G2" s="71"/>
      <c r="H2" s="71"/>
      <c r="I2" s="71"/>
      <c r="J2" s="71"/>
      <c r="K2" s="71"/>
      <c r="L2" s="71"/>
      <c r="M2" s="71"/>
      <c r="N2" s="71"/>
      <c r="O2" s="71"/>
      <c r="P2" s="71"/>
      <c r="Q2" s="71"/>
      <c r="R2" s="71"/>
      <c r="S2" s="71"/>
      <c r="T2" s="71"/>
      <c r="U2" s="71"/>
    </row>
    <row r="3" spans="1:21" ht="30">
      <c r="A3" s="71"/>
      <c r="B3" s="92"/>
      <c r="C3" s="24" t="s">
        <v>591</v>
      </c>
      <c r="D3" s="24" t="s">
        <v>592</v>
      </c>
      <c r="E3" s="71"/>
      <c r="F3" s="71"/>
      <c r="G3" s="71"/>
      <c r="H3" s="71"/>
      <c r="I3" s="71"/>
      <c r="J3" s="71"/>
      <c r="K3" s="71"/>
      <c r="L3" s="71"/>
      <c r="M3" s="71"/>
      <c r="N3" s="71"/>
      <c r="O3" s="71"/>
      <c r="P3" s="71"/>
      <c r="Q3" s="71"/>
      <c r="R3" s="71"/>
      <c r="S3" s="71"/>
      <c r="T3" s="71"/>
      <c r="U3" s="71"/>
    </row>
    <row r="4" spans="1:21" ht="33.75">
      <c r="A4" s="91" t="s">
        <v>593</v>
      </c>
      <c r="B4" s="27" t="s">
        <v>594</v>
      </c>
      <c r="C4" s="32" t="s">
        <v>595</v>
      </c>
      <c r="D4" s="25" t="s">
        <v>596</v>
      </c>
      <c r="E4" s="71"/>
      <c r="F4" s="71"/>
      <c r="G4" s="71"/>
      <c r="H4" s="71"/>
      <c r="I4" s="71"/>
      <c r="J4" s="71"/>
      <c r="K4" s="71"/>
      <c r="L4" s="71"/>
      <c r="M4" s="71"/>
      <c r="N4" s="71"/>
      <c r="O4" s="71"/>
      <c r="P4" s="71"/>
      <c r="Q4" s="71"/>
      <c r="R4" s="71"/>
      <c r="S4" s="71"/>
      <c r="T4" s="71"/>
      <c r="U4" s="71"/>
    </row>
    <row r="5" spans="1:21" ht="67.5">
      <c r="A5" s="91" t="s">
        <v>597</v>
      </c>
      <c r="B5" s="28" t="s">
        <v>598</v>
      </c>
      <c r="C5" s="33" t="s">
        <v>599</v>
      </c>
      <c r="D5" s="26" t="s">
        <v>600</v>
      </c>
      <c r="E5" s="71"/>
      <c r="F5" s="71"/>
      <c r="G5" s="71"/>
      <c r="H5" s="71"/>
      <c r="I5" s="71"/>
      <c r="J5" s="71"/>
      <c r="K5" s="71"/>
      <c r="L5" s="71"/>
      <c r="M5" s="71"/>
      <c r="N5" s="71"/>
      <c r="O5" s="71"/>
      <c r="P5" s="71"/>
      <c r="Q5" s="71"/>
      <c r="R5" s="71"/>
      <c r="S5" s="71"/>
      <c r="T5" s="71"/>
      <c r="U5" s="71"/>
    </row>
    <row r="6" spans="1:21" ht="67.5">
      <c r="A6" s="91" t="s">
        <v>568</v>
      </c>
      <c r="B6" s="29" t="s">
        <v>601</v>
      </c>
      <c r="C6" s="33" t="s">
        <v>602</v>
      </c>
      <c r="D6" s="26" t="s">
        <v>603</v>
      </c>
      <c r="E6" s="71"/>
      <c r="F6" s="71"/>
      <c r="G6" s="71"/>
      <c r="H6" s="71"/>
      <c r="I6" s="71"/>
      <c r="J6" s="71"/>
      <c r="K6" s="71"/>
      <c r="L6" s="71"/>
      <c r="M6" s="71"/>
      <c r="N6" s="71"/>
      <c r="O6" s="71"/>
      <c r="P6" s="71"/>
      <c r="Q6" s="71"/>
      <c r="R6" s="71"/>
      <c r="S6" s="71"/>
      <c r="T6" s="71"/>
      <c r="U6" s="71"/>
    </row>
    <row r="7" spans="1:21" ht="101.25">
      <c r="A7" s="91" t="s">
        <v>604</v>
      </c>
      <c r="B7" s="30" t="s">
        <v>605</v>
      </c>
      <c r="C7" s="33" t="s">
        <v>606</v>
      </c>
      <c r="D7" s="26" t="s">
        <v>607</v>
      </c>
      <c r="E7" s="71"/>
      <c r="F7" s="71"/>
      <c r="G7" s="71"/>
      <c r="H7" s="71"/>
      <c r="I7" s="71"/>
      <c r="J7" s="71"/>
      <c r="K7" s="71"/>
      <c r="L7" s="71"/>
      <c r="M7" s="71"/>
      <c r="N7" s="71"/>
      <c r="O7" s="71"/>
      <c r="P7" s="71"/>
      <c r="Q7" s="71"/>
      <c r="R7" s="71"/>
      <c r="S7" s="71"/>
      <c r="T7" s="71"/>
      <c r="U7" s="71"/>
    </row>
    <row r="8" spans="1:21" ht="67.5">
      <c r="A8" s="91" t="s">
        <v>608</v>
      </c>
      <c r="B8" s="31" t="s">
        <v>609</v>
      </c>
      <c r="C8" s="33" t="s">
        <v>610</v>
      </c>
      <c r="D8" s="26" t="s">
        <v>611</v>
      </c>
      <c r="E8" s="71"/>
      <c r="F8" s="71"/>
      <c r="G8" s="71"/>
      <c r="H8" s="71"/>
      <c r="I8" s="71"/>
      <c r="J8" s="71"/>
      <c r="K8" s="71"/>
      <c r="L8" s="71"/>
      <c r="M8" s="71"/>
      <c r="N8" s="71"/>
      <c r="O8" s="71"/>
      <c r="P8" s="71"/>
      <c r="Q8" s="71"/>
      <c r="R8" s="71"/>
      <c r="S8" s="71"/>
      <c r="T8" s="71"/>
      <c r="U8" s="71"/>
    </row>
    <row r="9" spans="1:21" ht="20.25">
      <c r="A9" s="91"/>
      <c r="B9" s="91"/>
      <c r="C9" s="93"/>
      <c r="D9" s="93"/>
      <c r="E9" s="71"/>
      <c r="F9" s="71"/>
      <c r="G9" s="71"/>
      <c r="H9" s="71"/>
      <c r="I9" s="71"/>
      <c r="J9" s="71"/>
      <c r="K9" s="71"/>
      <c r="L9" s="71"/>
      <c r="M9" s="71"/>
      <c r="N9" s="71"/>
      <c r="O9" s="71"/>
      <c r="P9" s="71"/>
      <c r="Q9" s="71"/>
      <c r="R9" s="71"/>
      <c r="S9" s="71"/>
      <c r="T9" s="71"/>
      <c r="U9" s="71"/>
    </row>
    <row r="10" spans="1:21" ht="16.5">
      <c r="A10" s="91"/>
      <c r="B10" s="94"/>
      <c r="C10" s="94"/>
      <c r="D10" s="94"/>
      <c r="E10" s="71"/>
      <c r="F10" s="71"/>
      <c r="G10" s="71"/>
      <c r="H10" s="71"/>
      <c r="I10" s="71"/>
      <c r="J10" s="71"/>
      <c r="K10" s="71"/>
      <c r="L10" s="71"/>
      <c r="M10" s="71"/>
      <c r="N10" s="71"/>
      <c r="O10" s="71"/>
      <c r="P10" s="71"/>
      <c r="Q10" s="71"/>
      <c r="R10" s="71"/>
      <c r="S10" s="71"/>
      <c r="T10" s="71"/>
      <c r="U10" s="71"/>
    </row>
    <row r="11" spans="1:21">
      <c r="A11" s="91"/>
      <c r="B11" s="91" t="s">
        <v>612</v>
      </c>
      <c r="C11" s="91" t="s">
        <v>613</v>
      </c>
      <c r="D11" s="91" t="s">
        <v>614</v>
      </c>
      <c r="E11" s="71"/>
      <c r="F11" s="71"/>
      <c r="G11" s="71"/>
      <c r="H11" s="71"/>
      <c r="I11" s="71"/>
      <c r="J11" s="71"/>
      <c r="K11" s="71"/>
      <c r="L11" s="71"/>
      <c r="M11" s="71"/>
      <c r="N11" s="71"/>
      <c r="O11" s="71"/>
      <c r="P11" s="71"/>
      <c r="Q11" s="71"/>
      <c r="R11" s="71"/>
      <c r="S11" s="71"/>
      <c r="T11" s="71"/>
      <c r="U11" s="71"/>
    </row>
    <row r="12" spans="1:21">
      <c r="A12" s="91"/>
      <c r="B12" s="91" t="s">
        <v>615</v>
      </c>
      <c r="C12" s="91" t="s">
        <v>616</v>
      </c>
      <c r="D12" s="91" t="s">
        <v>617</v>
      </c>
      <c r="E12" s="71"/>
      <c r="F12" s="71"/>
      <c r="G12" s="71"/>
      <c r="H12" s="71"/>
      <c r="I12" s="71"/>
      <c r="J12" s="71"/>
      <c r="K12" s="71"/>
      <c r="L12" s="71"/>
      <c r="M12" s="71"/>
      <c r="N12" s="71"/>
      <c r="O12" s="71"/>
      <c r="P12" s="71"/>
      <c r="Q12" s="71"/>
      <c r="R12" s="71"/>
      <c r="S12" s="71"/>
      <c r="T12" s="71"/>
      <c r="U12" s="71"/>
    </row>
    <row r="13" spans="1:21">
      <c r="A13" s="91"/>
      <c r="B13" s="91"/>
      <c r="C13" s="91" t="s">
        <v>618</v>
      </c>
      <c r="D13" s="91" t="s">
        <v>619</v>
      </c>
      <c r="E13" s="71"/>
      <c r="F13" s="71"/>
      <c r="G13" s="71"/>
      <c r="H13" s="71"/>
      <c r="I13" s="71"/>
      <c r="J13" s="71"/>
      <c r="K13" s="71"/>
      <c r="L13" s="71"/>
      <c r="M13" s="71"/>
      <c r="N13" s="71"/>
      <c r="O13" s="71"/>
      <c r="P13" s="71"/>
      <c r="Q13" s="71"/>
      <c r="R13" s="71"/>
      <c r="S13" s="71"/>
      <c r="T13" s="71"/>
      <c r="U13" s="71"/>
    </row>
    <row r="14" spans="1:21">
      <c r="A14" s="91"/>
      <c r="B14" s="91"/>
      <c r="C14" s="91" t="s">
        <v>187</v>
      </c>
      <c r="D14" s="91" t="s">
        <v>620</v>
      </c>
      <c r="E14" s="71"/>
      <c r="F14" s="71"/>
      <c r="G14" s="71"/>
      <c r="H14" s="71"/>
      <c r="I14" s="71"/>
      <c r="J14" s="71"/>
      <c r="K14" s="71"/>
      <c r="L14" s="71"/>
      <c r="M14" s="71"/>
      <c r="N14" s="71"/>
      <c r="O14" s="71"/>
      <c r="P14" s="71"/>
      <c r="Q14" s="71"/>
      <c r="R14" s="71"/>
      <c r="S14" s="71"/>
      <c r="T14" s="71"/>
      <c r="U14" s="71"/>
    </row>
    <row r="15" spans="1:21">
      <c r="A15" s="91"/>
      <c r="B15" s="91"/>
      <c r="C15" s="91" t="s">
        <v>621</v>
      </c>
      <c r="D15" s="91" t="s">
        <v>622</v>
      </c>
      <c r="E15" s="71"/>
      <c r="F15" s="71"/>
      <c r="G15" s="71"/>
      <c r="H15" s="71"/>
      <c r="I15" s="71"/>
      <c r="J15" s="71"/>
      <c r="K15" s="71"/>
      <c r="L15" s="71"/>
      <c r="M15" s="71"/>
      <c r="N15" s="71"/>
      <c r="O15" s="71"/>
      <c r="P15" s="71"/>
      <c r="Q15" s="71"/>
      <c r="R15" s="71"/>
      <c r="S15" s="71"/>
      <c r="T15" s="71"/>
      <c r="U15" s="71"/>
    </row>
    <row r="16" spans="1:21">
      <c r="A16" s="91"/>
      <c r="B16" s="91"/>
      <c r="C16" s="91"/>
      <c r="D16" s="91"/>
      <c r="E16" s="71"/>
      <c r="F16" s="71"/>
      <c r="G16" s="71"/>
      <c r="H16" s="71"/>
      <c r="I16" s="71"/>
      <c r="J16" s="71"/>
      <c r="K16" s="71"/>
      <c r="L16" s="71"/>
      <c r="M16" s="71"/>
      <c r="N16" s="71"/>
      <c r="O16" s="71"/>
    </row>
    <row r="17" spans="1:15">
      <c r="A17" s="91"/>
      <c r="B17" s="91"/>
      <c r="C17" s="91"/>
      <c r="D17" s="91"/>
      <c r="E17" s="71"/>
      <c r="F17" s="71"/>
      <c r="G17" s="71"/>
      <c r="H17" s="71"/>
      <c r="I17" s="71"/>
      <c r="J17" s="71"/>
      <c r="K17" s="71"/>
      <c r="L17" s="71"/>
      <c r="M17" s="71"/>
      <c r="N17" s="71"/>
      <c r="O17" s="71"/>
    </row>
    <row r="18" spans="1:15">
      <c r="A18" s="91"/>
      <c r="B18" s="95"/>
      <c r="C18" s="95"/>
      <c r="D18" s="95"/>
      <c r="E18" s="71"/>
      <c r="F18" s="71"/>
      <c r="G18" s="71"/>
      <c r="H18" s="71"/>
      <c r="I18" s="71"/>
      <c r="J18" s="71"/>
      <c r="K18" s="71"/>
      <c r="L18" s="71"/>
      <c r="M18" s="71"/>
      <c r="N18" s="71"/>
      <c r="O18" s="71"/>
    </row>
    <row r="19" spans="1:15">
      <c r="A19" s="91"/>
      <c r="B19" s="95"/>
      <c r="C19" s="95"/>
      <c r="D19" s="95"/>
      <c r="E19" s="71"/>
      <c r="F19" s="71"/>
      <c r="G19" s="71"/>
      <c r="H19" s="71"/>
      <c r="I19" s="71"/>
      <c r="J19" s="71"/>
      <c r="K19" s="71"/>
      <c r="L19" s="71"/>
      <c r="M19" s="71"/>
      <c r="N19" s="71"/>
      <c r="O19" s="71"/>
    </row>
    <row r="20" spans="1:15">
      <c r="A20" s="91"/>
      <c r="B20" s="95"/>
      <c r="C20" s="95"/>
      <c r="D20" s="95"/>
      <c r="E20" s="71"/>
      <c r="F20" s="71"/>
      <c r="G20" s="71"/>
      <c r="H20" s="71"/>
      <c r="I20" s="71"/>
      <c r="J20" s="71"/>
      <c r="K20" s="71"/>
      <c r="L20" s="71"/>
      <c r="M20" s="71"/>
      <c r="N20" s="71"/>
      <c r="O20" s="71"/>
    </row>
    <row r="21" spans="1:15">
      <c r="A21" s="91"/>
      <c r="B21" s="95"/>
      <c r="C21" s="95"/>
      <c r="D21" s="95"/>
      <c r="E21" s="71"/>
      <c r="F21" s="71"/>
      <c r="G21" s="71"/>
      <c r="H21" s="71"/>
      <c r="I21" s="71"/>
      <c r="J21" s="71"/>
      <c r="K21" s="71"/>
      <c r="L21" s="71"/>
      <c r="M21" s="71"/>
      <c r="N21" s="71"/>
      <c r="O21" s="71"/>
    </row>
    <row r="22" spans="1:15" ht="20.25">
      <c r="A22" s="91"/>
      <c r="B22" s="91"/>
      <c r="C22" s="93"/>
      <c r="D22" s="93"/>
      <c r="E22" s="71"/>
      <c r="F22" s="71"/>
      <c r="G22" s="71"/>
      <c r="H22" s="71"/>
      <c r="I22" s="71"/>
      <c r="J22" s="71"/>
      <c r="K22" s="71"/>
      <c r="L22" s="71"/>
      <c r="M22" s="71"/>
      <c r="N22" s="71"/>
      <c r="O22" s="71"/>
    </row>
    <row r="23" spans="1:15" ht="20.25">
      <c r="A23" s="91"/>
      <c r="B23" s="91"/>
      <c r="C23" s="93"/>
      <c r="D23" s="93"/>
      <c r="E23" s="71"/>
      <c r="F23" s="71"/>
      <c r="G23" s="71"/>
      <c r="H23" s="71"/>
      <c r="I23" s="71"/>
      <c r="J23" s="71"/>
      <c r="K23" s="71"/>
      <c r="L23" s="71"/>
      <c r="M23" s="71"/>
      <c r="N23" s="71"/>
      <c r="O23" s="71"/>
    </row>
    <row r="24" spans="1:15" ht="20.25">
      <c r="A24" s="91"/>
      <c r="B24" s="91"/>
      <c r="C24" s="93"/>
      <c r="D24" s="93"/>
      <c r="E24" s="71"/>
      <c r="F24" s="71"/>
      <c r="G24" s="71"/>
      <c r="H24" s="71"/>
      <c r="I24" s="71"/>
      <c r="J24" s="71"/>
      <c r="K24" s="71"/>
      <c r="L24" s="71"/>
      <c r="M24" s="71"/>
      <c r="N24" s="71"/>
      <c r="O24" s="71"/>
    </row>
    <row r="25" spans="1:15" ht="20.25">
      <c r="A25" s="91"/>
      <c r="B25" s="91"/>
      <c r="C25" s="93"/>
      <c r="D25" s="93"/>
      <c r="E25" s="71"/>
      <c r="F25" s="71"/>
      <c r="G25" s="71"/>
      <c r="H25" s="71"/>
      <c r="I25" s="71"/>
      <c r="J25" s="71"/>
      <c r="K25" s="71"/>
      <c r="L25" s="71"/>
      <c r="M25" s="71"/>
      <c r="N25" s="71"/>
      <c r="O25" s="71"/>
    </row>
    <row r="26" spans="1:15" ht="20.25">
      <c r="A26" s="91"/>
      <c r="B26" s="91"/>
      <c r="C26" s="93"/>
      <c r="D26" s="93"/>
      <c r="E26" s="71"/>
      <c r="F26" s="71"/>
      <c r="G26" s="71"/>
      <c r="H26" s="71"/>
      <c r="I26" s="71"/>
      <c r="J26" s="71"/>
      <c r="K26" s="71"/>
      <c r="L26" s="71"/>
      <c r="M26" s="71"/>
      <c r="N26" s="71"/>
      <c r="O26" s="71"/>
    </row>
    <row r="27" spans="1:15" ht="20.25">
      <c r="A27" s="91"/>
      <c r="B27" s="91"/>
      <c r="C27" s="93"/>
      <c r="D27" s="93"/>
      <c r="E27" s="71"/>
      <c r="F27" s="71"/>
      <c r="G27" s="71"/>
      <c r="H27" s="71"/>
      <c r="I27" s="71"/>
      <c r="J27" s="71"/>
      <c r="K27" s="71"/>
      <c r="L27" s="71"/>
      <c r="M27" s="71"/>
      <c r="N27" s="71"/>
      <c r="O27" s="71"/>
    </row>
    <row r="28" spans="1:15" ht="20.25">
      <c r="A28" s="91"/>
      <c r="B28" s="91"/>
      <c r="C28" s="93"/>
      <c r="D28" s="93"/>
      <c r="E28" s="71"/>
      <c r="F28" s="71"/>
      <c r="G28" s="71"/>
      <c r="H28" s="71"/>
      <c r="I28" s="71"/>
      <c r="J28" s="71"/>
      <c r="K28" s="71"/>
      <c r="L28" s="71"/>
      <c r="M28" s="71"/>
      <c r="N28" s="71"/>
      <c r="O28" s="71"/>
    </row>
    <row r="29" spans="1:15" ht="20.25">
      <c r="A29" s="91"/>
      <c r="B29" s="91"/>
      <c r="C29" s="93"/>
      <c r="D29" s="93"/>
      <c r="E29" s="71"/>
      <c r="F29" s="71"/>
      <c r="G29" s="71"/>
      <c r="H29" s="71"/>
      <c r="I29" s="71"/>
      <c r="J29" s="71"/>
      <c r="K29" s="71"/>
      <c r="L29" s="71"/>
      <c r="M29" s="71"/>
      <c r="N29" s="71"/>
      <c r="O29" s="71"/>
    </row>
    <row r="30" spans="1:15" ht="20.25">
      <c r="A30" s="91"/>
      <c r="B30" s="91"/>
      <c r="C30" s="93"/>
      <c r="D30" s="93"/>
      <c r="E30" s="71"/>
      <c r="F30" s="71"/>
      <c r="G30" s="71"/>
      <c r="H30" s="71"/>
      <c r="I30" s="71"/>
      <c r="J30" s="71"/>
      <c r="K30" s="71"/>
      <c r="L30" s="71"/>
      <c r="M30" s="71"/>
      <c r="N30" s="71"/>
      <c r="O30" s="71"/>
    </row>
    <row r="31" spans="1:15" ht="20.25">
      <c r="A31" s="91"/>
      <c r="B31" s="91"/>
      <c r="C31" s="93"/>
      <c r="D31" s="93"/>
      <c r="E31" s="71"/>
      <c r="F31" s="71"/>
      <c r="G31" s="71"/>
      <c r="H31" s="71"/>
      <c r="I31" s="71"/>
      <c r="J31" s="71"/>
      <c r="K31" s="71"/>
      <c r="L31" s="71"/>
      <c r="M31" s="71"/>
      <c r="N31" s="71"/>
      <c r="O31" s="71"/>
    </row>
    <row r="32" spans="1:15" ht="20.25">
      <c r="A32" s="91"/>
      <c r="B32" s="91"/>
      <c r="C32" s="93"/>
      <c r="D32" s="93"/>
      <c r="E32" s="71"/>
      <c r="F32" s="71"/>
      <c r="G32" s="71"/>
      <c r="H32" s="71"/>
      <c r="I32" s="71"/>
      <c r="J32" s="71"/>
      <c r="K32" s="71"/>
      <c r="L32" s="71"/>
      <c r="M32" s="71"/>
      <c r="N32" s="71"/>
      <c r="O32" s="71"/>
    </row>
    <row r="33" spans="1:15" ht="20.25">
      <c r="A33" s="91"/>
      <c r="B33" s="91"/>
      <c r="C33" s="93"/>
      <c r="D33" s="93"/>
      <c r="E33" s="71"/>
      <c r="F33" s="71"/>
      <c r="G33" s="71"/>
      <c r="H33" s="71"/>
      <c r="I33" s="71"/>
      <c r="J33" s="71"/>
      <c r="K33" s="71"/>
      <c r="L33" s="71"/>
      <c r="M33" s="71"/>
      <c r="N33" s="71"/>
      <c r="O33" s="71"/>
    </row>
    <row r="34" spans="1:15" ht="20.25">
      <c r="A34" s="91"/>
      <c r="B34" s="91"/>
      <c r="C34" s="93"/>
      <c r="D34" s="93"/>
      <c r="E34" s="71"/>
      <c r="F34" s="71"/>
      <c r="G34" s="71"/>
      <c r="H34" s="71"/>
      <c r="I34" s="71"/>
      <c r="J34" s="71"/>
      <c r="K34" s="71"/>
      <c r="L34" s="71"/>
      <c r="M34" s="71"/>
      <c r="N34" s="71"/>
      <c r="O34" s="71"/>
    </row>
    <row r="35" spans="1:15" ht="20.25">
      <c r="A35" s="91"/>
      <c r="B35" s="91"/>
      <c r="C35" s="93"/>
      <c r="D35" s="93"/>
      <c r="E35" s="71"/>
      <c r="F35" s="71"/>
      <c r="G35" s="71"/>
      <c r="H35" s="71"/>
      <c r="I35" s="71"/>
      <c r="J35" s="71"/>
      <c r="K35" s="71"/>
      <c r="L35" s="71"/>
      <c r="M35" s="71"/>
      <c r="N35" s="71"/>
      <c r="O35" s="71"/>
    </row>
    <row r="36" spans="1:15" ht="20.25">
      <c r="A36" s="91"/>
      <c r="B36" s="91"/>
      <c r="C36" s="93"/>
      <c r="D36" s="93"/>
      <c r="E36" s="71"/>
      <c r="F36" s="71"/>
      <c r="G36" s="71"/>
      <c r="H36" s="71"/>
      <c r="I36" s="71"/>
      <c r="J36" s="71"/>
      <c r="K36" s="71"/>
      <c r="L36" s="71"/>
      <c r="M36" s="71"/>
      <c r="N36" s="71"/>
      <c r="O36" s="71"/>
    </row>
    <row r="37" spans="1:15" ht="20.25">
      <c r="A37" s="91"/>
      <c r="B37" s="91"/>
      <c r="C37" s="93"/>
      <c r="D37" s="93"/>
      <c r="E37" s="71"/>
      <c r="F37" s="71"/>
      <c r="G37" s="71"/>
      <c r="H37" s="71"/>
      <c r="I37" s="71"/>
      <c r="J37" s="71"/>
      <c r="K37" s="71"/>
      <c r="L37" s="71"/>
      <c r="M37" s="71"/>
      <c r="N37" s="71"/>
      <c r="O37" s="71"/>
    </row>
    <row r="38" spans="1:15" ht="20.25">
      <c r="A38" s="91"/>
      <c r="B38" s="91"/>
      <c r="C38" s="93"/>
      <c r="D38" s="93"/>
      <c r="E38" s="71"/>
      <c r="F38" s="71"/>
      <c r="G38" s="71"/>
      <c r="H38" s="71"/>
      <c r="I38" s="71"/>
      <c r="J38" s="71"/>
      <c r="K38" s="71"/>
      <c r="L38" s="71"/>
      <c r="M38" s="71"/>
      <c r="N38" s="71"/>
      <c r="O38" s="71"/>
    </row>
    <row r="39" spans="1:15" ht="20.25">
      <c r="A39" s="91"/>
      <c r="B39" s="91"/>
      <c r="C39" s="93"/>
      <c r="D39" s="93"/>
      <c r="E39" s="71"/>
      <c r="F39" s="71"/>
      <c r="G39" s="71"/>
      <c r="H39" s="71"/>
      <c r="I39" s="71"/>
      <c r="J39" s="71"/>
      <c r="K39" s="71"/>
      <c r="L39" s="71"/>
      <c r="M39" s="71"/>
      <c r="N39" s="71"/>
      <c r="O39" s="71"/>
    </row>
    <row r="40" spans="1:15" ht="20.25">
      <c r="A40" s="91"/>
      <c r="B40" s="91"/>
      <c r="C40" s="93"/>
      <c r="D40" s="93"/>
      <c r="E40" s="71"/>
      <c r="F40" s="71"/>
      <c r="G40" s="71"/>
      <c r="H40" s="71"/>
      <c r="I40" s="71"/>
      <c r="J40" s="71"/>
      <c r="K40" s="71"/>
      <c r="L40" s="71"/>
      <c r="M40" s="71"/>
      <c r="N40" s="71"/>
      <c r="O40" s="71"/>
    </row>
    <row r="41" spans="1:15" ht="20.25">
      <c r="A41" s="91"/>
      <c r="B41" s="91"/>
      <c r="C41" s="93"/>
      <c r="D41" s="93"/>
      <c r="E41" s="71"/>
      <c r="F41" s="71"/>
      <c r="G41" s="71"/>
      <c r="H41" s="71"/>
      <c r="I41" s="71"/>
      <c r="J41" s="71"/>
      <c r="K41" s="71"/>
      <c r="L41" s="71"/>
      <c r="M41" s="71"/>
      <c r="N41" s="71"/>
      <c r="O41" s="71"/>
    </row>
    <row r="42" spans="1:15" ht="20.25">
      <c r="A42" s="91"/>
      <c r="B42" s="91"/>
      <c r="C42" s="93"/>
      <c r="D42" s="93"/>
      <c r="E42" s="71"/>
      <c r="F42" s="71"/>
      <c r="G42" s="71"/>
      <c r="H42" s="71"/>
      <c r="I42" s="71"/>
      <c r="J42" s="71"/>
      <c r="K42" s="71"/>
      <c r="L42" s="71"/>
      <c r="M42" s="71"/>
      <c r="N42" s="71"/>
      <c r="O42" s="71"/>
    </row>
    <row r="43" spans="1:15" ht="20.25">
      <c r="A43" s="91"/>
      <c r="B43" s="91"/>
      <c r="C43" s="93"/>
      <c r="D43" s="93"/>
      <c r="E43" s="71"/>
      <c r="F43" s="71"/>
      <c r="G43" s="71"/>
      <c r="H43" s="71"/>
      <c r="I43" s="71"/>
      <c r="J43" s="71"/>
      <c r="K43" s="71"/>
      <c r="L43" s="71"/>
      <c r="M43" s="71"/>
      <c r="N43" s="71"/>
      <c r="O43" s="71"/>
    </row>
    <row r="44" spans="1:15" ht="20.25">
      <c r="A44" s="91"/>
      <c r="B44" s="91"/>
      <c r="C44" s="93"/>
      <c r="D44" s="93"/>
      <c r="E44" s="71"/>
      <c r="F44" s="71"/>
      <c r="G44" s="71"/>
      <c r="H44" s="71"/>
      <c r="I44" s="71"/>
      <c r="J44" s="71"/>
      <c r="K44" s="71"/>
      <c r="L44" s="71"/>
      <c r="M44" s="71"/>
      <c r="N44" s="71"/>
      <c r="O44" s="71"/>
    </row>
    <row r="45" spans="1:15" ht="20.25">
      <c r="A45" s="91"/>
      <c r="B45" s="91"/>
      <c r="C45" s="93"/>
      <c r="D45" s="93"/>
      <c r="E45" s="71"/>
      <c r="F45" s="71"/>
      <c r="G45" s="71"/>
      <c r="H45" s="71"/>
      <c r="I45" s="71"/>
      <c r="J45" s="71"/>
      <c r="K45" s="71"/>
      <c r="L45" s="71"/>
      <c r="M45" s="71"/>
      <c r="N45" s="71"/>
      <c r="O45" s="71"/>
    </row>
    <row r="46" spans="1:15" ht="20.25">
      <c r="A46" s="91"/>
      <c r="B46" s="91"/>
      <c r="C46" s="93"/>
      <c r="D46" s="93"/>
      <c r="E46" s="71"/>
      <c r="F46" s="71"/>
      <c r="G46" s="71"/>
      <c r="H46" s="71"/>
      <c r="I46" s="71"/>
      <c r="J46" s="71"/>
      <c r="K46" s="71"/>
      <c r="L46" s="71"/>
      <c r="M46" s="71"/>
      <c r="N46" s="71"/>
      <c r="O46" s="71"/>
    </row>
    <row r="47" spans="1:15" ht="20.25">
      <c r="A47" s="91"/>
      <c r="B47" s="91"/>
      <c r="C47" s="93"/>
      <c r="D47" s="93"/>
      <c r="E47" s="71"/>
      <c r="F47" s="71"/>
      <c r="G47" s="71"/>
      <c r="H47" s="71"/>
      <c r="I47" s="71"/>
      <c r="J47" s="71"/>
      <c r="K47" s="71"/>
      <c r="L47" s="71"/>
      <c r="M47" s="71"/>
      <c r="N47" s="71"/>
      <c r="O47" s="71"/>
    </row>
    <row r="48" spans="1:15" ht="20.25">
      <c r="A48" s="91"/>
      <c r="B48" s="91"/>
      <c r="C48" s="93"/>
      <c r="D48" s="93"/>
      <c r="E48" s="71"/>
      <c r="F48" s="71"/>
      <c r="G48" s="71"/>
      <c r="H48" s="71"/>
      <c r="I48" s="71"/>
      <c r="J48" s="71"/>
      <c r="K48" s="71"/>
      <c r="L48" s="71"/>
      <c r="M48" s="71"/>
      <c r="N48" s="71"/>
      <c r="O48" s="71"/>
    </row>
    <row r="49" spans="1:15" ht="20.25">
      <c r="A49" s="91"/>
      <c r="B49" s="91"/>
      <c r="C49" s="93"/>
      <c r="D49" s="93"/>
      <c r="E49" s="71"/>
      <c r="F49" s="71"/>
      <c r="G49" s="71"/>
      <c r="H49" s="71"/>
      <c r="I49" s="71"/>
      <c r="J49" s="71"/>
      <c r="K49" s="71"/>
      <c r="L49" s="71"/>
      <c r="M49" s="71"/>
      <c r="N49" s="71"/>
      <c r="O49" s="71"/>
    </row>
    <row r="50" spans="1:15" ht="20.25">
      <c r="A50" s="91"/>
      <c r="B50" s="91"/>
      <c r="C50" s="93"/>
      <c r="D50" s="93"/>
      <c r="E50" s="71"/>
      <c r="F50" s="71"/>
      <c r="G50" s="71"/>
      <c r="H50" s="71"/>
      <c r="I50" s="71"/>
      <c r="J50" s="71"/>
      <c r="K50" s="71"/>
      <c r="L50" s="71"/>
      <c r="M50" s="71"/>
      <c r="N50" s="71"/>
      <c r="O50" s="71"/>
    </row>
    <row r="51" spans="1:15" ht="20.25">
      <c r="A51" s="91"/>
      <c r="B51" s="91"/>
      <c r="C51" s="93"/>
      <c r="D51" s="93"/>
      <c r="E51" s="71"/>
      <c r="F51" s="71"/>
      <c r="G51" s="71"/>
      <c r="H51" s="71"/>
      <c r="I51" s="71"/>
      <c r="J51" s="71"/>
      <c r="K51" s="71"/>
      <c r="L51" s="71"/>
      <c r="M51" s="71"/>
      <c r="N51" s="71"/>
      <c r="O51" s="71"/>
    </row>
    <row r="52" spans="1:15" ht="20.25">
      <c r="A52" s="91"/>
      <c r="B52" s="17"/>
      <c r="C52" s="22"/>
      <c r="D52" s="22"/>
    </row>
    <row r="53" spans="1:15" ht="20.25">
      <c r="A53" s="91"/>
      <c r="B53" s="17"/>
      <c r="C53" s="22"/>
      <c r="D53" s="22"/>
    </row>
    <row r="54" spans="1:15" ht="20.25">
      <c r="A54" s="91"/>
      <c r="B54" s="17"/>
      <c r="C54" s="22"/>
      <c r="D54" s="22"/>
    </row>
    <row r="55" spans="1:15" ht="20.25">
      <c r="A55" s="91"/>
      <c r="B55" s="17"/>
      <c r="C55" s="22"/>
      <c r="D55" s="22"/>
    </row>
    <row r="56" spans="1:15" ht="20.25">
      <c r="A56" s="91"/>
      <c r="B56" s="17"/>
      <c r="C56" s="22"/>
      <c r="D56" s="22"/>
    </row>
    <row r="57" spans="1:15" ht="20.25">
      <c r="A57" s="91"/>
      <c r="B57" s="17"/>
      <c r="C57" s="22"/>
      <c r="D57" s="22"/>
    </row>
    <row r="58" spans="1:15" ht="20.25">
      <c r="A58" s="91"/>
      <c r="B58" s="17"/>
      <c r="C58" s="22"/>
      <c r="D58" s="22"/>
    </row>
    <row r="59" spans="1:15" ht="20.25">
      <c r="A59" s="91"/>
      <c r="B59" s="17"/>
      <c r="C59" s="22"/>
      <c r="D59" s="22"/>
    </row>
    <row r="60" spans="1:15" ht="20.25">
      <c r="A60" s="91"/>
      <c r="B60" s="17"/>
      <c r="C60" s="22"/>
      <c r="D60" s="22"/>
    </row>
    <row r="61" spans="1:15" ht="20.25">
      <c r="A61" s="91"/>
      <c r="B61" s="17"/>
      <c r="C61" s="22"/>
      <c r="D61" s="22"/>
    </row>
    <row r="62" spans="1:15" ht="20.25">
      <c r="A62" s="91"/>
      <c r="B62" s="17"/>
      <c r="C62" s="22"/>
      <c r="D62" s="22"/>
    </row>
    <row r="63" spans="1:15" ht="20.25">
      <c r="A63" s="91"/>
      <c r="B63" s="17"/>
      <c r="C63" s="22"/>
      <c r="D63" s="22"/>
    </row>
    <row r="64" spans="1:15" ht="20.25">
      <c r="A64" s="91"/>
      <c r="B64" s="17"/>
      <c r="C64" s="22"/>
      <c r="D64" s="22"/>
    </row>
    <row r="65" spans="1:4" ht="20.25">
      <c r="A65" s="91"/>
      <c r="B65" s="17"/>
      <c r="C65" s="22"/>
      <c r="D65" s="22"/>
    </row>
    <row r="66" spans="1:4" ht="20.25">
      <c r="A66" s="91"/>
      <c r="B66" s="17"/>
      <c r="C66" s="22"/>
      <c r="D66" s="22"/>
    </row>
    <row r="67" spans="1:4" ht="20.25">
      <c r="A67" s="91"/>
      <c r="B67" s="17"/>
      <c r="C67" s="22"/>
      <c r="D67" s="22"/>
    </row>
    <row r="68" spans="1:4" ht="20.25">
      <c r="A68" s="91"/>
      <c r="B68" s="17"/>
      <c r="C68" s="22"/>
      <c r="D68" s="22"/>
    </row>
    <row r="69" spans="1:4" ht="20.25">
      <c r="A69" s="91"/>
      <c r="B69" s="17"/>
      <c r="C69" s="22"/>
      <c r="D69" s="22"/>
    </row>
    <row r="70" spans="1:4" ht="20.25">
      <c r="A70" s="91"/>
      <c r="B70" s="17"/>
      <c r="C70" s="22"/>
      <c r="D70" s="22"/>
    </row>
    <row r="71" spans="1:4" ht="20.25">
      <c r="A71" s="91"/>
      <c r="B71" s="17"/>
      <c r="C71" s="22"/>
      <c r="D71" s="22"/>
    </row>
    <row r="72" spans="1:4" ht="20.25">
      <c r="A72" s="91"/>
      <c r="B72" s="17"/>
      <c r="C72" s="22"/>
      <c r="D72" s="22"/>
    </row>
    <row r="73" spans="1:4" ht="20.25">
      <c r="A73" s="91"/>
      <c r="B73" s="17"/>
      <c r="C73" s="22"/>
      <c r="D73" s="22"/>
    </row>
    <row r="74" spans="1:4" ht="20.25">
      <c r="A74" s="91"/>
      <c r="B74" s="17"/>
      <c r="C74" s="22"/>
      <c r="D74" s="22"/>
    </row>
    <row r="75" spans="1:4" ht="20.25">
      <c r="A75" s="91"/>
      <c r="B75" s="17"/>
      <c r="C75" s="22"/>
      <c r="D75" s="22"/>
    </row>
    <row r="76" spans="1:4" ht="20.25">
      <c r="A76" s="91"/>
      <c r="B76" s="17"/>
      <c r="C76" s="22"/>
      <c r="D76" s="22"/>
    </row>
    <row r="77" spans="1:4" ht="20.25">
      <c r="A77" s="91"/>
      <c r="B77" s="17"/>
      <c r="C77" s="22"/>
      <c r="D77" s="22"/>
    </row>
    <row r="78" spans="1:4" ht="20.25">
      <c r="A78" s="91"/>
      <c r="B78" s="17"/>
      <c r="C78" s="22"/>
      <c r="D78" s="22"/>
    </row>
    <row r="79" spans="1:4" ht="20.25">
      <c r="A79" s="91"/>
      <c r="B79" s="17"/>
      <c r="C79" s="22"/>
      <c r="D79" s="22"/>
    </row>
    <row r="80" spans="1:4" ht="20.25">
      <c r="A80" s="91"/>
      <c r="B80" s="17"/>
      <c r="C80" s="22"/>
      <c r="D80" s="22"/>
    </row>
    <row r="81" spans="1:4" ht="20.25">
      <c r="A81" s="91"/>
      <c r="B81" s="17"/>
      <c r="C81" s="22"/>
      <c r="D81" s="22"/>
    </row>
    <row r="82" spans="1:4" ht="20.25">
      <c r="A82" s="91"/>
      <c r="B82" s="17"/>
      <c r="C82" s="22"/>
      <c r="D82" s="22"/>
    </row>
    <row r="83" spans="1:4" ht="20.25">
      <c r="A83" s="91"/>
      <c r="B83" s="17"/>
      <c r="C83" s="22"/>
      <c r="D83" s="22"/>
    </row>
    <row r="84" spans="1:4" ht="20.25">
      <c r="A84" s="91"/>
      <c r="B84" s="17"/>
      <c r="C84" s="22"/>
      <c r="D84" s="22"/>
    </row>
    <row r="85" spans="1:4" ht="20.25">
      <c r="A85" s="91"/>
      <c r="B85" s="17"/>
      <c r="C85" s="22"/>
      <c r="D85" s="22"/>
    </row>
    <row r="86" spans="1:4" ht="20.25">
      <c r="A86" s="91"/>
      <c r="B86" s="17"/>
      <c r="C86" s="22"/>
      <c r="D86" s="22"/>
    </row>
    <row r="87" spans="1:4" ht="20.25">
      <c r="A87" s="91"/>
      <c r="B87" s="17"/>
      <c r="C87" s="22"/>
      <c r="D87" s="22"/>
    </row>
    <row r="88" spans="1:4" ht="20.25">
      <c r="A88" s="91"/>
      <c r="B88" s="17"/>
      <c r="C88" s="22"/>
      <c r="D88" s="22"/>
    </row>
    <row r="89" spans="1:4" ht="20.25">
      <c r="A89" s="91"/>
      <c r="B89" s="17"/>
      <c r="C89" s="22"/>
      <c r="D89" s="22"/>
    </row>
    <row r="90" spans="1:4" ht="20.25">
      <c r="A90" s="91"/>
      <c r="B90" s="17"/>
      <c r="C90" s="22"/>
      <c r="D90" s="22"/>
    </row>
    <row r="91" spans="1:4" ht="20.25">
      <c r="A91" s="91"/>
      <c r="B91" s="17"/>
      <c r="C91" s="22"/>
      <c r="D91" s="22"/>
    </row>
    <row r="92" spans="1:4" ht="20.25">
      <c r="A92" s="91"/>
      <c r="B92" s="17"/>
      <c r="C92" s="22"/>
      <c r="D92" s="22"/>
    </row>
    <row r="93" spans="1:4" ht="20.25">
      <c r="A93" s="91"/>
      <c r="B93" s="17"/>
      <c r="C93" s="22"/>
      <c r="D93" s="22"/>
    </row>
    <row r="94" spans="1:4" ht="20.25">
      <c r="A94" s="91"/>
      <c r="B94" s="17"/>
      <c r="C94" s="22"/>
      <c r="D94" s="22"/>
    </row>
    <row r="95" spans="1:4" ht="20.25">
      <c r="A95" s="91"/>
      <c r="B95" s="17"/>
      <c r="C95" s="22"/>
      <c r="D95" s="22"/>
    </row>
    <row r="96" spans="1:4" ht="20.25">
      <c r="A96" s="91"/>
      <c r="B96" s="17"/>
      <c r="C96" s="22"/>
      <c r="D96" s="22"/>
    </row>
    <row r="97" spans="1:4" ht="20.25">
      <c r="A97" s="91"/>
      <c r="B97" s="17"/>
      <c r="C97" s="22"/>
      <c r="D97" s="22"/>
    </row>
    <row r="98" spans="1:4" ht="20.25">
      <c r="A98" s="91"/>
      <c r="B98" s="17"/>
      <c r="C98" s="22"/>
      <c r="D98" s="22"/>
    </row>
    <row r="99" spans="1:4" ht="20.25">
      <c r="A99" s="91"/>
      <c r="B99" s="17"/>
      <c r="C99" s="22"/>
      <c r="D99" s="22"/>
    </row>
    <row r="100" spans="1:4" ht="20.25">
      <c r="A100" s="91"/>
      <c r="B100" s="17"/>
      <c r="C100" s="22"/>
      <c r="D100" s="22"/>
    </row>
    <row r="101" spans="1:4" ht="20.25">
      <c r="A101" s="91"/>
      <c r="B101" s="17"/>
      <c r="C101" s="22"/>
      <c r="D101" s="22"/>
    </row>
    <row r="102" spans="1:4" ht="20.25">
      <c r="A102" s="91"/>
      <c r="B102" s="17"/>
      <c r="C102" s="22"/>
      <c r="D102" s="22"/>
    </row>
    <row r="103" spans="1:4" ht="20.25">
      <c r="A103" s="91"/>
      <c r="B103" s="17"/>
      <c r="C103" s="22"/>
      <c r="D103" s="22"/>
    </row>
    <row r="104" spans="1:4" ht="20.25">
      <c r="A104" s="91"/>
      <c r="B104" s="17"/>
      <c r="C104" s="22"/>
      <c r="D104" s="22"/>
    </row>
    <row r="105" spans="1:4" ht="20.25">
      <c r="A105" s="91"/>
      <c r="B105" s="17"/>
      <c r="C105" s="22"/>
      <c r="D105" s="22"/>
    </row>
    <row r="106" spans="1:4" ht="20.25">
      <c r="A106" s="91"/>
      <c r="B106" s="17"/>
      <c r="C106" s="22"/>
      <c r="D106" s="22"/>
    </row>
    <row r="107" spans="1:4" ht="20.25">
      <c r="A107" s="91"/>
      <c r="B107" s="17"/>
      <c r="C107" s="22"/>
      <c r="D107" s="22"/>
    </row>
    <row r="108" spans="1:4" ht="20.25">
      <c r="A108" s="91"/>
      <c r="B108" s="17"/>
      <c r="C108" s="22"/>
      <c r="D108" s="22"/>
    </row>
    <row r="109" spans="1:4" ht="20.25">
      <c r="A109" s="91"/>
      <c r="B109" s="17"/>
      <c r="C109" s="22"/>
      <c r="D109" s="22"/>
    </row>
    <row r="110" spans="1:4" ht="20.25">
      <c r="A110" s="91"/>
      <c r="B110" s="17"/>
      <c r="C110" s="22"/>
      <c r="D110" s="22"/>
    </row>
    <row r="111" spans="1:4" ht="20.25">
      <c r="A111" s="91"/>
      <c r="B111" s="17"/>
      <c r="C111" s="22"/>
      <c r="D111" s="22"/>
    </row>
    <row r="112" spans="1:4" ht="20.25">
      <c r="A112" s="91"/>
      <c r="B112" s="17"/>
      <c r="C112" s="22"/>
      <c r="D112" s="22"/>
    </row>
    <row r="113" spans="1:4" ht="20.25">
      <c r="A113" s="91"/>
      <c r="B113" s="17"/>
      <c r="C113" s="22"/>
      <c r="D113" s="22"/>
    </row>
    <row r="114" spans="1:4" ht="20.25">
      <c r="A114" s="91"/>
      <c r="B114" s="17"/>
      <c r="C114" s="22"/>
      <c r="D114" s="22"/>
    </row>
    <row r="115" spans="1:4" ht="20.25">
      <c r="A115" s="91"/>
      <c r="B115" s="17"/>
      <c r="C115" s="22"/>
      <c r="D115" s="22"/>
    </row>
    <row r="116" spans="1:4" ht="20.25">
      <c r="A116" s="91"/>
      <c r="B116" s="17"/>
      <c r="C116" s="22"/>
      <c r="D116" s="22"/>
    </row>
    <row r="117" spans="1:4" ht="20.25">
      <c r="A117" s="91"/>
      <c r="B117" s="17"/>
      <c r="C117" s="22"/>
      <c r="D117" s="22"/>
    </row>
    <row r="118" spans="1:4" ht="20.25">
      <c r="A118" s="91"/>
      <c r="B118" s="17"/>
      <c r="C118" s="22"/>
      <c r="D118" s="22"/>
    </row>
    <row r="119" spans="1:4" ht="20.25">
      <c r="A119" s="91"/>
      <c r="B119" s="17"/>
      <c r="C119" s="22"/>
      <c r="D119" s="22"/>
    </row>
    <row r="120" spans="1:4" ht="20.25">
      <c r="A120" s="91"/>
      <c r="B120" s="17"/>
      <c r="C120" s="22"/>
      <c r="D120" s="22"/>
    </row>
    <row r="121" spans="1:4" ht="20.25">
      <c r="A121" s="91"/>
      <c r="B121" s="17"/>
      <c r="C121" s="22"/>
      <c r="D121" s="22"/>
    </row>
    <row r="122" spans="1:4" ht="20.25">
      <c r="A122" s="91"/>
      <c r="B122" s="17"/>
      <c r="C122" s="22"/>
      <c r="D122" s="22"/>
    </row>
    <row r="123" spans="1:4" ht="20.25">
      <c r="A123" s="91"/>
      <c r="B123" s="17"/>
      <c r="C123" s="22"/>
      <c r="D123" s="22"/>
    </row>
    <row r="124" spans="1:4" ht="20.25">
      <c r="A124" s="91"/>
      <c r="B124" s="17"/>
      <c r="C124" s="22"/>
      <c r="D124" s="22"/>
    </row>
    <row r="125" spans="1:4" ht="20.25">
      <c r="A125" s="91"/>
      <c r="B125" s="17"/>
      <c r="C125" s="22"/>
      <c r="D125" s="22"/>
    </row>
    <row r="126" spans="1:4" ht="20.25">
      <c r="A126" s="91"/>
      <c r="B126" s="17"/>
      <c r="C126" s="22"/>
      <c r="D126" s="22"/>
    </row>
    <row r="127" spans="1:4" ht="20.25">
      <c r="A127" s="91"/>
      <c r="B127" s="17"/>
      <c r="C127" s="22"/>
      <c r="D127" s="22"/>
    </row>
    <row r="128" spans="1:4" ht="20.25">
      <c r="A128" s="91"/>
      <c r="B128" s="17"/>
      <c r="C128" s="22"/>
      <c r="D128" s="22"/>
    </row>
    <row r="129" spans="1:4" ht="20.25">
      <c r="A129" s="91"/>
      <c r="B129" s="17"/>
      <c r="C129" s="22"/>
      <c r="D129" s="22"/>
    </row>
    <row r="130" spans="1:4" ht="20.25">
      <c r="A130" s="91"/>
      <c r="B130" s="17"/>
      <c r="C130" s="22"/>
      <c r="D130" s="22"/>
    </row>
    <row r="131" spans="1:4" ht="20.25">
      <c r="A131" s="91"/>
      <c r="B131" s="17"/>
      <c r="C131" s="22"/>
      <c r="D131" s="22"/>
    </row>
    <row r="132" spans="1:4" ht="20.25">
      <c r="A132" s="91"/>
      <c r="B132" s="17"/>
      <c r="C132" s="22"/>
      <c r="D132" s="22"/>
    </row>
    <row r="133" spans="1:4" ht="20.25">
      <c r="A133" s="91"/>
      <c r="B133" s="17"/>
      <c r="C133" s="22"/>
      <c r="D133" s="22"/>
    </row>
    <row r="134" spans="1:4" ht="20.25">
      <c r="A134" s="91"/>
      <c r="B134" s="17"/>
      <c r="C134" s="22"/>
      <c r="D134" s="22"/>
    </row>
    <row r="135" spans="1:4" ht="20.25">
      <c r="A135" s="91"/>
      <c r="B135" s="17"/>
      <c r="C135" s="22"/>
      <c r="D135" s="22"/>
    </row>
    <row r="136" spans="1:4" ht="20.25">
      <c r="A136" s="91"/>
      <c r="B136" s="17"/>
      <c r="C136" s="22"/>
      <c r="D136" s="22"/>
    </row>
    <row r="137" spans="1:4" ht="20.25">
      <c r="A137" s="91"/>
      <c r="B137" s="17"/>
      <c r="C137" s="22"/>
      <c r="D137" s="22"/>
    </row>
    <row r="138" spans="1:4" ht="20.25">
      <c r="A138" s="91"/>
      <c r="B138" s="17"/>
      <c r="C138" s="22"/>
      <c r="D138" s="22"/>
    </row>
    <row r="139" spans="1:4" ht="20.25">
      <c r="A139" s="91"/>
      <c r="B139" s="17"/>
      <c r="C139" s="22"/>
      <c r="D139" s="22"/>
    </row>
    <row r="140" spans="1:4" ht="20.25">
      <c r="A140" s="91"/>
      <c r="B140" s="17"/>
      <c r="C140" s="22"/>
      <c r="D140" s="22"/>
    </row>
    <row r="141" spans="1:4" ht="20.25">
      <c r="A141" s="91"/>
      <c r="B141" s="17"/>
      <c r="C141" s="22"/>
      <c r="D141" s="22"/>
    </row>
    <row r="142" spans="1:4" ht="20.25">
      <c r="A142" s="91"/>
      <c r="B142" s="17"/>
      <c r="C142" s="22"/>
      <c r="D142" s="22"/>
    </row>
    <row r="143" spans="1:4" ht="20.25">
      <c r="A143" s="91"/>
      <c r="B143" s="17"/>
      <c r="C143" s="22"/>
      <c r="D143" s="22"/>
    </row>
    <row r="144" spans="1:4" ht="20.25">
      <c r="A144" s="91"/>
      <c r="B144" s="17"/>
      <c r="C144" s="22"/>
      <c r="D144" s="22"/>
    </row>
    <row r="145" spans="1:4" ht="20.25">
      <c r="A145" s="91"/>
      <c r="B145" s="17"/>
      <c r="C145" s="22"/>
      <c r="D145" s="22"/>
    </row>
    <row r="146" spans="1:4" ht="20.25">
      <c r="A146" s="91"/>
      <c r="B146" s="17"/>
      <c r="C146" s="22"/>
      <c r="D146" s="22"/>
    </row>
    <row r="147" spans="1:4" ht="20.25">
      <c r="A147" s="91"/>
      <c r="B147" s="17"/>
      <c r="C147" s="22"/>
      <c r="D147" s="22"/>
    </row>
    <row r="148" spans="1:4" ht="20.25">
      <c r="A148" s="91"/>
      <c r="B148" s="17"/>
      <c r="C148" s="22"/>
      <c r="D148" s="22"/>
    </row>
    <row r="149" spans="1:4" ht="20.25">
      <c r="A149" s="91"/>
      <c r="B149" s="17"/>
      <c r="C149" s="22"/>
      <c r="D149" s="22"/>
    </row>
    <row r="150" spans="1:4" ht="20.25">
      <c r="A150" s="91"/>
      <c r="B150" s="17"/>
      <c r="C150" s="22"/>
      <c r="D150" s="22"/>
    </row>
    <row r="151" spans="1:4" ht="20.25">
      <c r="A151" s="91"/>
      <c r="B151" s="17"/>
      <c r="C151" s="22"/>
      <c r="D151" s="22"/>
    </row>
    <row r="152" spans="1:4" ht="20.25">
      <c r="A152" s="91"/>
      <c r="B152" s="17"/>
      <c r="C152" s="22"/>
      <c r="D152" s="22"/>
    </row>
    <row r="153" spans="1:4" ht="20.25">
      <c r="A153" s="91"/>
      <c r="B153" s="17"/>
      <c r="C153" s="22"/>
      <c r="D153" s="22"/>
    </row>
    <row r="154" spans="1:4" ht="20.25">
      <c r="A154" s="91"/>
      <c r="B154" s="17"/>
      <c r="C154" s="22"/>
      <c r="D154" s="22"/>
    </row>
    <row r="155" spans="1:4" ht="20.25">
      <c r="A155" s="91"/>
      <c r="B155" s="17"/>
      <c r="C155" s="22"/>
      <c r="D155" s="22"/>
    </row>
    <row r="156" spans="1:4" ht="20.25">
      <c r="A156" s="91"/>
      <c r="B156" s="17"/>
      <c r="C156" s="22"/>
      <c r="D156" s="22"/>
    </row>
    <row r="157" spans="1:4" ht="20.25">
      <c r="A157" s="91"/>
      <c r="B157" s="17"/>
      <c r="C157" s="22"/>
      <c r="D157" s="22"/>
    </row>
    <row r="158" spans="1:4" ht="20.25">
      <c r="A158" s="91"/>
      <c r="B158" s="17"/>
      <c r="C158" s="22"/>
      <c r="D158" s="22"/>
    </row>
    <row r="159" spans="1:4" ht="20.25">
      <c r="A159" s="91"/>
      <c r="B159" s="17"/>
      <c r="C159" s="22"/>
      <c r="D159" s="22"/>
    </row>
    <row r="160" spans="1:4" ht="20.25">
      <c r="A160" s="91"/>
      <c r="B160" s="17"/>
      <c r="C160" s="22"/>
      <c r="D160" s="22"/>
    </row>
    <row r="161" spans="1:4" ht="20.25">
      <c r="A161" s="91"/>
      <c r="B161" s="17"/>
      <c r="C161" s="22"/>
      <c r="D161" s="22"/>
    </row>
    <row r="162" spans="1:4" ht="20.25">
      <c r="A162" s="91"/>
      <c r="B162" s="17"/>
      <c r="C162" s="22"/>
      <c r="D162" s="22"/>
    </row>
    <row r="163" spans="1:4" ht="20.25">
      <c r="A163" s="91"/>
      <c r="B163" s="17"/>
      <c r="C163" s="22"/>
      <c r="D163" s="22"/>
    </row>
    <row r="164" spans="1:4" ht="20.25">
      <c r="A164" s="91"/>
      <c r="B164" s="17"/>
      <c r="C164" s="22"/>
      <c r="D164" s="22"/>
    </row>
    <row r="165" spans="1:4" ht="20.25">
      <c r="A165" s="91"/>
      <c r="B165" s="17"/>
      <c r="C165" s="22"/>
      <c r="D165" s="22"/>
    </row>
    <row r="166" spans="1:4" ht="20.25">
      <c r="A166" s="91"/>
      <c r="B166" s="17"/>
      <c r="C166" s="22"/>
      <c r="D166" s="22"/>
    </row>
    <row r="167" spans="1:4" ht="20.25">
      <c r="A167" s="91"/>
      <c r="B167" s="17"/>
      <c r="C167" s="22"/>
      <c r="D167" s="22"/>
    </row>
    <row r="168" spans="1:4" ht="20.25">
      <c r="A168" s="91"/>
      <c r="B168" s="17"/>
      <c r="C168" s="22"/>
      <c r="D168" s="22"/>
    </row>
    <row r="169" spans="1:4" ht="20.25">
      <c r="A169" s="91"/>
      <c r="B169" s="17"/>
      <c r="C169" s="22"/>
      <c r="D169" s="22"/>
    </row>
    <row r="170" spans="1:4" ht="20.25">
      <c r="A170" s="91"/>
      <c r="B170" s="17"/>
      <c r="C170" s="22"/>
      <c r="D170" s="22"/>
    </row>
    <row r="171" spans="1:4" ht="20.25">
      <c r="A171" s="91"/>
      <c r="B171" s="17"/>
      <c r="C171" s="22"/>
      <c r="D171" s="22"/>
    </row>
    <row r="172" spans="1:4" ht="20.25">
      <c r="A172" s="91"/>
      <c r="B172" s="17"/>
      <c r="C172" s="22"/>
      <c r="D172" s="22"/>
    </row>
    <row r="173" spans="1:4" ht="20.25">
      <c r="A173" s="91"/>
      <c r="B173" s="17"/>
      <c r="C173" s="22"/>
      <c r="D173" s="22"/>
    </row>
    <row r="174" spans="1:4" ht="20.25">
      <c r="A174" s="91"/>
      <c r="B174" s="17"/>
      <c r="C174" s="22"/>
      <c r="D174" s="22"/>
    </row>
    <row r="175" spans="1:4" ht="20.25">
      <c r="A175" s="91"/>
      <c r="B175" s="17"/>
      <c r="C175" s="22"/>
      <c r="D175" s="22"/>
    </row>
    <row r="176" spans="1:4" ht="20.25">
      <c r="A176" s="91"/>
      <c r="B176" s="17"/>
      <c r="C176" s="22"/>
      <c r="D176" s="22"/>
    </row>
    <row r="177" spans="1:4" ht="20.25">
      <c r="A177" s="91"/>
      <c r="B177" s="17"/>
      <c r="C177" s="22"/>
      <c r="D177" s="22"/>
    </row>
    <row r="178" spans="1:4" ht="20.25">
      <c r="A178" s="91"/>
      <c r="B178" s="17"/>
      <c r="C178" s="22"/>
      <c r="D178" s="22"/>
    </row>
    <row r="179" spans="1:4" ht="20.25">
      <c r="A179" s="91"/>
      <c r="B179" s="17"/>
      <c r="C179" s="22"/>
      <c r="D179" s="22"/>
    </row>
    <row r="180" spans="1:4" ht="20.25">
      <c r="A180" s="91"/>
      <c r="B180" s="17"/>
      <c r="C180" s="22"/>
      <c r="D180" s="22"/>
    </row>
    <row r="181" spans="1:4" ht="20.25">
      <c r="A181" s="91"/>
      <c r="B181" s="17"/>
      <c r="C181" s="22"/>
      <c r="D181" s="22"/>
    </row>
    <row r="182" spans="1:4" ht="20.25">
      <c r="A182" s="91"/>
      <c r="B182" s="17"/>
      <c r="C182" s="22"/>
      <c r="D182" s="22"/>
    </row>
    <row r="183" spans="1:4" ht="20.25">
      <c r="A183" s="91"/>
      <c r="B183" s="17"/>
      <c r="C183" s="22"/>
      <c r="D183" s="22"/>
    </row>
    <row r="184" spans="1:4" ht="20.25">
      <c r="A184" s="91"/>
      <c r="B184" s="17"/>
      <c r="C184" s="22"/>
      <c r="D184" s="22"/>
    </row>
    <row r="185" spans="1:4" ht="20.25">
      <c r="A185" s="91"/>
      <c r="B185" s="17"/>
      <c r="C185" s="22"/>
      <c r="D185" s="22"/>
    </row>
    <row r="186" spans="1:4" ht="20.25">
      <c r="A186" s="91"/>
      <c r="B186" s="17"/>
      <c r="C186" s="22"/>
      <c r="D186" s="22"/>
    </row>
    <row r="187" spans="1:4" ht="20.25">
      <c r="A187" s="91"/>
      <c r="B187" s="17"/>
      <c r="C187" s="22"/>
      <c r="D187" s="22"/>
    </row>
    <row r="188" spans="1:4" ht="20.25">
      <c r="A188" s="91"/>
      <c r="B188" s="17"/>
      <c r="C188" s="22"/>
      <c r="D188" s="22"/>
    </row>
    <row r="189" spans="1:4" ht="20.25">
      <c r="A189" s="91"/>
      <c r="B189" s="17"/>
      <c r="C189" s="22"/>
      <c r="D189" s="22"/>
    </row>
    <row r="190" spans="1:4" ht="20.25">
      <c r="A190" s="91"/>
      <c r="B190" s="17"/>
      <c r="C190" s="22"/>
      <c r="D190" s="22"/>
    </row>
    <row r="191" spans="1:4" ht="20.25">
      <c r="A191" s="91"/>
      <c r="B191" s="17"/>
      <c r="C191" s="22"/>
      <c r="D191" s="22"/>
    </row>
    <row r="192" spans="1:4" ht="20.25">
      <c r="A192" s="91"/>
      <c r="B192" s="17"/>
      <c r="C192" s="22"/>
      <c r="D192" s="22"/>
    </row>
    <row r="193" spans="1:4" ht="20.25">
      <c r="A193" s="91"/>
      <c r="B193" s="17"/>
      <c r="C193" s="22"/>
      <c r="D193" s="22"/>
    </row>
    <row r="194" spans="1:4" ht="20.25">
      <c r="A194" s="91"/>
      <c r="B194" s="17"/>
      <c r="C194" s="22"/>
      <c r="D194" s="22"/>
    </row>
    <row r="195" spans="1:4" ht="20.25">
      <c r="A195" s="91"/>
      <c r="B195" s="17"/>
      <c r="C195" s="22"/>
      <c r="D195" s="22"/>
    </row>
    <row r="196" spans="1:4" ht="20.25">
      <c r="A196" s="91"/>
      <c r="B196" s="17"/>
      <c r="C196" s="22"/>
      <c r="D196" s="22"/>
    </row>
    <row r="197" spans="1:4" ht="20.25">
      <c r="A197" s="91"/>
      <c r="B197" s="17"/>
      <c r="C197" s="22"/>
      <c r="D197" s="22"/>
    </row>
    <row r="198" spans="1:4" ht="20.25">
      <c r="A198" s="91"/>
      <c r="B198" s="17"/>
      <c r="C198" s="22"/>
      <c r="D198" s="22"/>
    </row>
    <row r="199" spans="1:4" ht="20.25">
      <c r="A199" s="91"/>
      <c r="B199" s="17"/>
      <c r="C199" s="22"/>
      <c r="D199" s="22"/>
    </row>
    <row r="200" spans="1:4" ht="20.25">
      <c r="A200" s="91"/>
      <c r="B200" s="17"/>
      <c r="C200" s="22"/>
      <c r="D200" s="22"/>
    </row>
    <row r="201" spans="1:4" ht="20.25">
      <c r="A201" s="91"/>
      <c r="B201" s="17"/>
      <c r="C201" s="22"/>
      <c r="D201" s="22"/>
    </row>
    <row r="202" spans="1:4" ht="20.25">
      <c r="A202" s="91"/>
      <c r="B202" s="17"/>
      <c r="C202" s="22"/>
      <c r="D202" s="22"/>
    </row>
    <row r="203" spans="1:4" ht="20.25">
      <c r="A203" s="91"/>
      <c r="B203" s="17"/>
      <c r="C203" s="22"/>
      <c r="D203" s="22"/>
    </row>
    <row r="204" spans="1:4" ht="20.25">
      <c r="A204" s="91"/>
      <c r="B204" s="17"/>
      <c r="C204" s="22"/>
      <c r="D204" s="22"/>
    </row>
    <row r="205" spans="1:4" ht="20.25">
      <c r="A205" s="91"/>
      <c r="B205" s="17"/>
      <c r="C205" s="22"/>
      <c r="D205" s="22"/>
    </row>
    <row r="206" spans="1:4" ht="20.25">
      <c r="A206" s="91"/>
      <c r="B206" s="17"/>
      <c r="C206" s="22"/>
      <c r="D206" s="22"/>
    </row>
    <row r="207" spans="1:4" ht="20.25">
      <c r="A207" s="91"/>
      <c r="B207" s="17"/>
      <c r="C207" s="22"/>
      <c r="D207" s="22"/>
    </row>
    <row r="208" spans="1:4">
      <c r="A208" s="71"/>
      <c r="B208" s="17"/>
      <c r="C208" s="17"/>
      <c r="D208" s="17"/>
    </row>
    <row r="209" spans="1:8" ht="20.25">
      <c r="A209" s="71"/>
      <c r="B209" s="18" t="s">
        <v>623</v>
      </c>
      <c r="C209" s="18" t="s">
        <v>624</v>
      </c>
      <c r="D209" s="21" t="s">
        <v>623</v>
      </c>
      <c r="E209" s="21" t="s">
        <v>624</v>
      </c>
    </row>
    <row r="210" spans="1:8" ht="21">
      <c r="A210" s="71"/>
      <c r="B210" s="19" t="s">
        <v>625</v>
      </c>
      <c r="C210" s="19" t="s">
        <v>626</v>
      </c>
      <c r="D210" t="s">
        <v>625</v>
      </c>
      <c r="F210" t="str">
        <f>IF(NOT(ISBLANK(D210)),D210,IF(NOT(ISBLANK(E210)),"     "&amp;E210,FALSE))</f>
        <v>Afectación Económica o presupuestal</v>
      </c>
      <c r="G210" t="s">
        <v>625</v>
      </c>
      <c r="H210" t="str">
        <f>IF(NOT(ISERROR(MATCH(G210,_xlfn.ANCHORARRAY(B221),0))),F223&amp;"Por favor no seleccionar los criterios de impacto",G210)</f>
        <v>❌Por favor no seleccionar los criterios de impacto</v>
      </c>
    </row>
    <row r="211" spans="1:8" ht="21">
      <c r="A211" s="71"/>
      <c r="B211" s="19" t="s">
        <v>625</v>
      </c>
      <c r="C211" s="19" t="s">
        <v>599</v>
      </c>
      <c r="E211" t="s">
        <v>626</v>
      </c>
      <c r="F211" t="str">
        <f t="shared" ref="F211:F221" si="0">IF(NOT(ISBLANK(D211)),D211,IF(NOT(ISBLANK(E211)),"     "&amp;E211,FALSE))</f>
        <v xml:space="preserve">     Afectación menor a 10 SMLMV .</v>
      </c>
    </row>
    <row r="212" spans="1:8" ht="21">
      <c r="A212" s="71"/>
      <c r="B212" s="19" t="s">
        <v>625</v>
      </c>
      <c r="C212" s="19" t="s">
        <v>602</v>
      </c>
      <c r="E212" t="s">
        <v>599</v>
      </c>
      <c r="F212" t="str">
        <f t="shared" si="0"/>
        <v xml:space="preserve">     Entre 10 y 50 SMLMV </v>
      </c>
    </row>
    <row r="213" spans="1:8" ht="21">
      <c r="A213" s="71"/>
      <c r="B213" s="19" t="s">
        <v>625</v>
      </c>
      <c r="C213" s="19" t="s">
        <v>606</v>
      </c>
      <c r="E213" t="s">
        <v>602</v>
      </c>
      <c r="F213" t="str">
        <f t="shared" si="0"/>
        <v xml:space="preserve">     Entre 50 y 100 SMLMV </v>
      </c>
    </row>
    <row r="214" spans="1:8" ht="21">
      <c r="A214" s="71"/>
      <c r="B214" s="19" t="s">
        <v>625</v>
      </c>
      <c r="C214" s="19" t="s">
        <v>610</v>
      </c>
      <c r="E214" t="s">
        <v>606</v>
      </c>
      <c r="F214" t="str">
        <f t="shared" si="0"/>
        <v xml:space="preserve">     Entre 100 y 500 SMLMV </v>
      </c>
    </row>
    <row r="215" spans="1:8" ht="21">
      <c r="A215" s="71"/>
      <c r="B215" s="19" t="s">
        <v>592</v>
      </c>
      <c r="C215" s="19" t="s">
        <v>596</v>
      </c>
      <c r="E215" t="s">
        <v>610</v>
      </c>
      <c r="F215" t="str">
        <f t="shared" si="0"/>
        <v xml:space="preserve">     Mayor a 500 SMLMV </v>
      </c>
    </row>
    <row r="216" spans="1:8" ht="21">
      <c r="A216" s="71"/>
      <c r="B216" s="19" t="s">
        <v>592</v>
      </c>
      <c r="C216" s="19" t="s">
        <v>600</v>
      </c>
      <c r="D216" t="s">
        <v>592</v>
      </c>
      <c r="F216" t="str">
        <f t="shared" si="0"/>
        <v>Pérdida Reputacional</v>
      </c>
    </row>
    <row r="217" spans="1:8" ht="21">
      <c r="A217" s="71"/>
      <c r="B217" s="19" t="s">
        <v>592</v>
      </c>
      <c r="C217" s="19" t="s">
        <v>603</v>
      </c>
      <c r="E217" t="s">
        <v>596</v>
      </c>
      <c r="F217" t="str">
        <f t="shared" si="0"/>
        <v xml:space="preserve">     El riesgo afecta la imagen de alguna área de la organización</v>
      </c>
    </row>
    <row r="218" spans="1:8" ht="21">
      <c r="A218" s="71"/>
      <c r="B218" s="19" t="s">
        <v>592</v>
      </c>
      <c r="C218" s="19" t="s">
        <v>607</v>
      </c>
      <c r="E218" t="s">
        <v>600</v>
      </c>
      <c r="F218" t="str">
        <f t="shared" si="0"/>
        <v xml:space="preserve">     El riesgo afecta la imagen de la entidad internamente, de conocimiento general, nivel interno, de junta dircetiva y accionistas y/o de provedores</v>
      </c>
    </row>
    <row r="219" spans="1:8" ht="21">
      <c r="A219" s="71"/>
      <c r="B219" s="19" t="s">
        <v>592</v>
      </c>
      <c r="C219" s="19" t="s">
        <v>611</v>
      </c>
      <c r="E219" t="s">
        <v>603</v>
      </c>
      <c r="F219" t="str">
        <f t="shared" si="0"/>
        <v xml:space="preserve">     El riesgo afecta la imagen de la entidad con algunos usuarios de relevancia frente al logro de los objetivos</v>
      </c>
    </row>
    <row r="220" spans="1:8">
      <c r="A220" s="71"/>
      <c r="B220" s="20"/>
      <c r="C220" s="20"/>
      <c r="E220" t="s">
        <v>627</v>
      </c>
      <c r="F220" t="str">
        <f t="shared" si="0"/>
        <v xml:space="preserve">     El riesgo afecta la imagen de la entidad con efecto publicitario sostenido a nivel de sector administrativo, nivel departamental o municipal</v>
      </c>
    </row>
    <row r="221" spans="1:8">
      <c r="A221" s="71"/>
      <c r="B221" s="20" t="str" cm="1">
        <f t="array" ref="B221:B223">_xlfn.UNIQUE(Tabla1[[#All],[Criterios]])</f>
        <v>Criterios</v>
      </c>
      <c r="C221" s="20"/>
      <c r="E221" t="s">
        <v>611</v>
      </c>
      <c r="F221" t="str">
        <f t="shared" si="0"/>
        <v xml:space="preserve">     El riesgo afecta la imagen de la entidad a nivel nacional, con efecto publicitarios sostenible a nivel país</v>
      </c>
    </row>
    <row r="222" spans="1:8">
      <c r="A222" s="71"/>
      <c r="B222" s="20" t="str">
        <v>Afectación Económica o presupuestal</v>
      </c>
      <c r="C222" s="20"/>
    </row>
    <row r="223" spans="1:8">
      <c r="B223" s="20" t="str">
        <v>Pérdida Reputacional</v>
      </c>
      <c r="C223" s="20"/>
      <c r="F223" s="23" t="s">
        <v>628</v>
      </c>
    </row>
    <row r="224" spans="1:8">
      <c r="B224" s="16"/>
      <c r="C224" s="16"/>
      <c r="F224" s="23" t="s">
        <v>629</v>
      </c>
    </row>
    <row r="225" spans="2:4">
      <c r="B225" s="16"/>
      <c r="C225" s="16"/>
    </row>
    <row r="226" spans="2:4">
      <c r="B226" s="16"/>
      <c r="C226" s="16"/>
    </row>
    <row r="227" spans="2:4">
      <c r="B227" s="16"/>
      <c r="C227" s="16"/>
      <c r="D227" s="16"/>
    </row>
    <row r="228" spans="2:4">
      <c r="B228" s="16"/>
      <c r="C228" s="16"/>
      <c r="D228" s="16"/>
    </row>
    <row r="229" spans="2:4">
      <c r="B229" s="16"/>
      <c r="C229" s="16"/>
      <c r="D229" s="16"/>
    </row>
    <row r="230" spans="2:4">
      <c r="B230" s="16"/>
      <c r="C230" s="16"/>
      <c r="D230" s="16"/>
    </row>
    <row r="231" spans="2:4">
      <c r="B231" s="16"/>
      <c r="C231" s="16"/>
      <c r="D231" s="16"/>
    </row>
    <row r="232" spans="2:4">
      <c r="B232" s="16"/>
      <c r="C232" s="16"/>
      <c r="D232" s="16"/>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65ea7b8-1bb6-4105-84f8-2ca17f785111">
      <UserInfo>
        <DisplayName>Osbaldo Cortes Lozano</DisplayName>
        <AccountId>252</AccountId>
        <AccountType/>
      </UserInfo>
    </SharedWithUsers>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7" ma:contentTypeDescription="Crear nuevo documento." ma:contentTypeScope="" ma:versionID="5f4c338def46bf5bf19214706667072e">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36e34f7391d6abe9540288c315af07fc"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D3106F-9D2F-45B9-A080-A5B6D25B9C49}"/>
</file>

<file path=customXml/itemProps2.xml><?xml version="1.0" encoding="utf-8"?>
<ds:datastoreItem xmlns:ds="http://schemas.openxmlformats.org/officeDocument/2006/customXml" ds:itemID="{E8126CD2-59D6-45DE-8477-7921FF20FE7E}"/>
</file>

<file path=customXml/itemProps3.xml><?xml version="1.0" encoding="utf-8"?>
<ds:datastoreItem xmlns:ds="http://schemas.openxmlformats.org/officeDocument/2006/customXml" ds:itemID="{D23D78A9-B3B5-4252-B1F1-6F6370EE9904}"/>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Ligia Marlen Velandia Leon</cp:lastModifiedBy>
  <cp:revision/>
  <dcterms:created xsi:type="dcterms:W3CDTF">2020-03-24T23:12:47Z</dcterms:created>
  <dcterms:modified xsi:type="dcterms:W3CDTF">2023-09-26T23:21:18Z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0x0101004698C21ADF809643BDA9225112B63919</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2022-12-14T15:45:19Z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ebd38f8b-061c-4263-8273-e59c2b0b1540</vt:lpwstr>
  </property>
  <property fmtid="{D5CDD505-2E9C-101B-9397-08002B2CF9AE}" pid="10" name="MSIP_Label_5fac521f-e930-485b-97f4-efbe7db8e98f_ContentBits">
    <vt:lpwstr>0</vt:lpwstr>
  </property>
</Properties>
</file>