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https://uaespdc.sharepoint.com/sites/EQUIPOOAP266/Documentos compartidos/SEGUIMIENTO A RIESGOS 2023/"/>
    </mc:Choice>
  </mc:AlternateContent>
  <xr:revisionPtr revIDLastSave="372" documentId="13_ncr:1_{D9002FC9-DA45-44FA-A7B7-17A99AB1CEF0}" xr6:coauthVersionLast="47" xr6:coauthVersionMax="47" xr10:uidLastSave="{81C79F9E-0D44-42CD-BD62-5018DEA072C1}"/>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9040" windowHeight="15720" tabRatio="658" firstSheet="1" activeTab="4"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I6" i="1" l="1"/>
  <c r="AH6" i="1" s="1"/>
  <c r="AE13" i="1"/>
  <c r="AG13" i="1"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G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M52" i="24" s="1"/>
  <c r="AJ49" i="24"/>
  <c r="AI49" i="24"/>
  <c r="AM49" i="24" s="1"/>
  <c r="AI24" i="24"/>
  <c r="AI41" i="24"/>
  <c r="AM41" i="24" s="1"/>
  <c r="AI45" i="24"/>
  <c r="AM45" i="24" s="1"/>
  <c r="AI62" i="24"/>
  <c r="AM62" i="24" s="1"/>
  <c r="AJ7" i="24"/>
  <c r="AH12" i="24"/>
  <c r="AH16" i="24"/>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F13" i="1"/>
  <c r="AE18" i="1"/>
  <c r="AE22" i="1"/>
  <c r="AF24" i="1"/>
  <c r="AE39" i="1"/>
  <c r="AE56" i="1"/>
  <c r="AI63" i="1"/>
  <c r="AH63" i="1" s="1"/>
  <c r="AI34" i="1"/>
  <c r="AH34" i="1" s="1"/>
  <c r="AI51" i="1"/>
  <c r="AH51" i="1" s="1"/>
  <c r="L53" i="1"/>
  <c r="AE33" i="1"/>
  <c r="AI24" i="1"/>
  <c r="AH24" i="1" s="1"/>
  <c r="AE38" i="1"/>
  <c r="L47" i="1"/>
  <c r="AE55" i="1"/>
  <c r="AF61" i="1"/>
  <c r="AJ61" i="1" s="1"/>
  <c r="AE21" i="1"/>
  <c r="AI7" i="1"/>
  <c r="AH7" i="1" s="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29" i="1"/>
  <c r="AE8" i="1"/>
  <c r="AE19" i="1"/>
  <c r="AH11" i="22" l="1"/>
  <c r="AF16" i="1"/>
  <c r="AJ16" i="1" s="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J7" i="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E12" i="1" s="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6" i="1"/>
  <c r="AF6" i="1"/>
  <c r="AJ6" i="1" s="1"/>
  <c r="AG38" i="1"/>
  <c r="AF38" i="1"/>
  <c r="AJ38" i="1" s="1"/>
  <c r="D49" i="11" l="1"/>
  <c r="C49" i="11"/>
  <c r="D48" i="11"/>
  <c r="D47" i="11"/>
  <c r="C48" i="11"/>
  <c r="C47"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AH11" i="1" s="1"/>
  <c r="AJ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AH5" i="1" s="1"/>
  <c r="AJ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tc={B7DC1730-DE80-4C10-B7AE-47B047FE0B2F}</author>
    <author>tc={DC353E2A-08E2-4C55-BEEA-EB54D20FAE36}</author>
    <author>tc={B64CE026-CB51-4F7F-B64A-F2B938007A4B}</author>
    <author>tc={32DBACF0-6735-4D3F-B640-FAF30920118D}</author>
    <author>tc={22A22512-52DD-4332-89A7-B1C0FC2A6837}</author>
    <author>tc={EC349F9E-B302-4936-8CCD-D0E2FF1195E6}</author>
  </authors>
  <commentList>
    <comment ref="E8" authorId="0" shapeId="0" xr:uid="{B7DC1730-DE80-4C10-B7AE-47B047FE0B2F}">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por
Lineamientos de fichas técnicas para la contratación sostenible de acuerdo con la normativa vigente</t>
      </text>
    </comment>
    <comment ref="J11" authorId="1" shapeId="0" xr:uid="{DC353E2A-08E2-4C55-BEEA-EB54D20FAE36}">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el riesgo
Posibilidad de afectacion económica y reputacional por sancion del ente correspondiente, debido a la gestion del proceso administrativo o de defensa judicial fuera de los terminos legales establecidos.</t>
      </text>
    </comment>
    <comment ref="J17" authorId="2" shapeId="0" xr:uid="{B64CE026-CB51-4F7F-B64A-F2B938007A4B}">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por 
Posibilidad de favorecimiento propio o de terceros debido al direccioamiento de la contratación de la Unidad, por la existencia de amiguismos, clientelismo y tráfico de influencias.</t>
      </text>
    </comment>
    <comment ref="E19" authorId="3" shapeId="0" xr:uid="{32DBACF0-6735-4D3F-B640-FAF30920118D}">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por
Lineamientos de fichas técnicas para la contratación sostenible de acuerdo con la normativa vigente</t>
      </text>
    </comment>
    <comment ref="J22" authorId="4" shapeId="0" xr:uid="{22A22512-52DD-4332-89A7-B1C0FC2A6837}">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cambiar po
Posibilidad de favorecer indebidamente intereses de terceros por la generawción de conceptos jurídicos inadecuados  por amiguismos, clientelismo o tráfico de influencias</t>
      </text>
    </comment>
    <comment ref="A26" authorId="5" shapeId="0" xr:uid="{EC349F9E-B302-4936-8CCD-D0E2FF1195E6}">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incluir el contexto del riesgo de seguridad de la información, no se pudo por estar protegida la hoja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<sst xmlns="http://schemas.openxmlformats.org/spreadsheetml/2006/main" count="1329" uniqueCount="716">
  <si>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</si>
  <si>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</si>
  <si>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</si>
  <si>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</si>
  <si>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</si>
  <si>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</si>
  <si>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</si>
  <si>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</si>
  <si>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</si>
  <si>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</si>
  <si>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</si>
  <si>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</si>
  <si>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</si>
  <si>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</si>
  <si>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</si>
  <si>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</si>
  <si>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</si>
  <si>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</si>
  <si>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</si>
  <si>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</si>
  <si>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</si>
  <si>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</si>
  <si>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</si>
  <si>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</si>
  <si>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</si>
  <si>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</si>
  <si>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</si>
  <si>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</si>
  <si>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</si>
  <si>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</si>
  <si>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</si>
  <si>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</si>
  <si>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</si>
  <si>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</si>
  <si>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</si>
  <si>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</si>
  <si>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</si>
  <si>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</si>
  <si>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</si>
  <si>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</si>
  <si>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</si>
  <si>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</si>
  <si>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</si>
  <si>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</si>
  <si>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</si>
  <si>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</si>
  <si>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</si>
  <si>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</si>
  <si>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</si>
  <si>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</si>
  <si>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</si>
  <si>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</si>
  <si>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</si>
  <si>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</si>
  <si>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</si>
  <si>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</si>
  <si>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</si>
  <si>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</si>
  <si>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</si>
  <si>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</si>
  <si>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</si>
  <si>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</si>
  <si>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</si>
  <si>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</si>
  <si>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</si>
  <si>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</si>
  <si>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</si>
  <si>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</si>
  <si>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</si>
  <si>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</si>
  <si>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</si>
  <si>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</si>
  <si>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RIESGO 1 GESTIÓN CONTRATACIÓN</t>
  </si>
  <si>
    <t xml:space="preserve">Gestión Asuntos Legales </t>
  </si>
  <si>
    <t>FINANCIERO</t>
  </si>
  <si>
    <t>Presupuesto asignado para la gestión contractual en la UAESP</t>
  </si>
  <si>
    <t>TECNOLÓGICOS</t>
  </si>
  <si>
    <t>Uso de plataformas externas como SECOP II, tienda virtual, SECOP I, SIDEAP, SIGEP</t>
  </si>
  <si>
    <t>COMUNICACIÓN ENTRE LOS PROCESOS</t>
  </si>
  <si>
    <t xml:space="preserve">Enlaces entre las dependecias y el equipo especializado de contratos </t>
  </si>
  <si>
    <t>INFORMACION</t>
  </si>
  <si>
    <t>Excel a través del cual se relacionan los contatos suscritos por la UAESP</t>
  </si>
  <si>
    <t>Posibilidad de afectación economica y reputacional en razón a una  gestión contractual inoportuna, por debilidades en la aplicación de la normativa vigente y lineamientos internos</t>
  </si>
  <si>
    <t>Investigaciones disciplinarias
Afectación a la ejecución presupuestal 
Pérdida de imagen institucional</t>
  </si>
  <si>
    <t>PERSONAL</t>
  </si>
  <si>
    <t>Equipo especializado para desarrollo de la gestión contractual</t>
  </si>
  <si>
    <t>LEGALES Y REGLAMENTARIOS</t>
  </si>
  <si>
    <t xml:space="preserve">Normativa establecida para la gestión contractual </t>
  </si>
  <si>
    <t>PROCEDIMIENTOS ASOCIADOS</t>
  </si>
  <si>
    <t>Manual, procedimientos y formatos establecidos y vigentes para la gestión contractual</t>
  </si>
  <si>
    <t>APLICACIONES</t>
  </si>
  <si>
    <t>Aplicativo de gestión documental - orfeo y correo institucional</t>
  </si>
  <si>
    <t>Capacidad operativa para la ejecución del proceso contractual</t>
  </si>
  <si>
    <t>AMBIENTALES</t>
  </si>
  <si>
    <t>Lineamientos de fichas verdes de acuerdo a la normativa vigente</t>
  </si>
  <si>
    <t>RESPONSABLES DEL PROCESO</t>
  </si>
  <si>
    <t>Responsabilidades definidas en los documentos SIG del proceso</t>
  </si>
  <si>
    <t>HARDWARE</t>
  </si>
  <si>
    <t>Equipos de computo y periféricos</t>
  </si>
  <si>
    <t xml:space="preserve">TECNOLOGÍA </t>
  </si>
  <si>
    <t xml:space="preserve">Recursos tecnológicos internos y bases de datos para la gestión de la contratación </t>
  </si>
  <si>
    <t xml:space="preserve">POLÍTICOS </t>
  </si>
  <si>
    <t>Entrada en vigencia de la ley de garantías por procesos electorales</t>
  </si>
  <si>
    <t>TRANSVERSALIDAD</t>
  </si>
  <si>
    <t>Gestión contractual articulada entre los procesos de la UAESP, con base en los lineamientos definidos al interior de la entidad</t>
  </si>
  <si>
    <t>RIESGO 2 GESTIÓN REPRESENTACIÓN JUDICIAL Y EXTRAJUDICIAL</t>
  </si>
  <si>
    <t>Equipo especializado para gestionar la defensa judicial y extrajudicial al interior de la Unidad</t>
  </si>
  <si>
    <t>Utilizacion de plataformas externas para el registro de procesos judiciales -  SIPROJ y portal web rama judicial.</t>
  </si>
  <si>
    <t>Manual de Formulación e Implementación de Políticas para la Prevención del Daño Antijurídico, procedimientos establecidos y vigentes para el desarrollo de la gestión judicial y extrajudicial</t>
  </si>
  <si>
    <t>1. Documentos en los cuales se registra información de los porcesos judiciales, en los cuales la UAESP, es sujeto procesal
2. Actas de sesiones Comité de Conciliación y Defensa Judicial</t>
  </si>
  <si>
    <t>Posibilidad de afectacion económica y reputacional por sancion del ente correspondiente, debido a la gestion del proceso administrativo y de defensa judicial, fuera de los terminos legales establecidos.</t>
  </si>
  <si>
    <t>Condena Económica  u obligación de hacer en contra de la entidad. 
Pérdida de imagen Institucional
Sanciones, disciplinarias, fiscales, penales.</t>
  </si>
  <si>
    <t>Capacidad operativa para la ejecución de la gestión judicial y extrajudicial</t>
  </si>
  <si>
    <t>Normativa establecida para el trámite de la gestión judicial y extrajudicial</t>
  </si>
  <si>
    <t>Recursos tecnologicos internos y documentos para registro de procesos judiciales en los cuales la Unidad es sujeto procesal</t>
  </si>
  <si>
    <t>INTERACCIONES CON OTROS PROCESOS</t>
  </si>
  <si>
    <t>Gestión judicial y extrajudicial articulada entre los procesos de la UAESP, con base en los lineamientos definidos al interior de la entidad</t>
  </si>
  <si>
    <t>COMUNICACIÓN INTERNA</t>
  </si>
  <si>
    <t>Articulación entre el equipo de defensa judicial y extrajudcicial de la SAL, con las dependencias, para atender las diferentes acciones judciales notificadas a la UAESP</t>
  </si>
  <si>
    <t>Solicitud y recepción de insumos por parte de los procesos involucrados en la acción judicial, mediante los cuales se pueda estructurar la defensa jurídica del asunto en controversia</t>
  </si>
  <si>
    <t>Destinación de recursos para posibles pagos de procesos judiciales resueltos en contra de la entidad</t>
  </si>
  <si>
    <t>RIESGO 1 CORRUPCIÓN CONTRATACIÓN</t>
  </si>
  <si>
    <t>Posibilidad de direccionar la contratación de la Unidad para favorecimiento propio o de terceros por generación de amiguismos, clientelismo y tráfico de influencias</t>
  </si>
  <si>
    <t>Investigaciones disciplinarias, penales y fiscales
Afectación a la ejecución presupuestal 
Pérdida de imagen institucional</t>
  </si>
  <si>
    <t xml:space="preserve">Recursos tecnologicos internos y bases de datos para la gestión de la contratación </t>
  </si>
  <si>
    <t>RIESGO 2 CORRUPCIÓN CONCEPTOS JURÍDICOS</t>
  </si>
  <si>
    <t>Equipo especializado para la emisión de conceptos jurídicos</t>
  </si>
  <si>
    <t>Normativa establecida para la emisión de conceptos jurídicos</t>
  </si>
  <si>
    <t>Responsabilidades definidas en el Acuerdo 001 de 2012</t>
  </si>
  <si>
    <t>Posibilidad de favorecer indebidamente intereses de tercertos por la generación de conceptos jurídicos inadecuados por por generación de amiguismos, clientelismo y tráfico de influencias</t>
  </si>
  <si>
    <t>Capacidad operativa para la emisión de conceptos jurídicos</t>
  </si>
  <si>
    <t>Cambios de políticas públicas de regulación</t>
  </si>
  <si>
    <t>Mesas de trabajo para aclarar o precisar los temaas objeto de consulta</t>
  </si>
  <si>
    <t>OPORTUNIDAD CONCEPTOS</t>
  </si>
  <si>
    <t>Funcionarios de la OTIC y de la SAL para crear la base de conceptos jurídicos</t>
  </si>
  <si>
    <t>Régimen Legal del Distrito Capital - compilación de conceptos jurídicos</t>
  </si>
  <si>
    <t xml:space="preserve">Crear base de datos para el grupo de conceptos a través de la cual se obtenga información y trazabilidad de los conceptos jurídicos emitidos por la SAL </t>
  </si>
  <si>
    <t>Unificación de la doctrina generada al interior de la UAESP.
Fortalecimiento de la aplicación "Régimen Legal de Bogotá D.C., con los comceptos jurídicos emitidos por la Unidad</t>
  </si>
  <si>
    <t>Capacidad operativa para la creación de la base de conceptos jurídicos</t>
  </si>
  <si>
    <t xml:space="preserve">Creación conjunta entre OTIC y SAL, de la Base de conceptos jurídicos </t>
  </si>
  <si>
    <t>OBJETIVO DEL PROCESO</t>
  </si>
  <si>
    <t>ECONOMICOS Y FINANCIEROS</t>
  </si>
  <si>
    <t>DISEÑO DEL PROCESO</t>
  </si>
  <si>
    <t>SOCIALES Y CULTURALES</t>
  </si>
  <si>
    <t>ESTRATÉGICOS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</si>
  <si>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</si>
  <si>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</si>
  <si>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</si>
  <si>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</si>
  <si>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</si>
  <si>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</si>
  <si>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</si>
  <si>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</si>
  <si>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</si>
  <si>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</si>
  <si>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</si>
  <si>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</si>
  <si>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</si>
  <si>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</si>
  <si>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</si>
  <si>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</si>
  <si>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</si>
  <si>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</si>
  <si>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</si>
  <si>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</si>
  <si>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</si>
  <si>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</si>
  <si>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</si>
  <si>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</si>
  <si>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</si>
  <si>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</si>
  <si>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</si>
  <si>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</si>
  <si>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</si>
  <si>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</si>
  <si>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</si>
  <si>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</si>
  <si>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</si>
  <si>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</si>
  <si>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</si>
  <si>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</si>
  <si>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</si>
  <si>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</si>
  <si>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</si>
  <si>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</si>
  <si>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</si>
  <si>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</si>
  <si>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</si>
  <si>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</si>
  <si>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</si>
  <si>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</si>
  <si>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</si>
  <si>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</si>
  <si>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</si>
  <si>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</si>
  <si>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</si>
  <si>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</si>
  <si>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</si>
  <si>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</si>
  <si>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</si>
  <si>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</si>
  <si>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</si>
  <si>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Prestar asesoría jurídica a la UAESP para su adecuado funcionamiento.</t>
  </si>
  <si>
    <t xml:space="preserve"> 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</si>
  <si>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afectación económica y reputacional en razón a una gestión contractual inoportuna, por debilidades en la aplicación de la normativa vigente y lineamientos internos</t>
  </si>
  <si>
    <t>Económico y Reputacional</t>
  </si>
  <si>
    <t xml:space="preserve">Gestión contractual inoportuna </t>
  </si>
  <si>
    <t>Debilidades en la aplicación de la normativa vigente y lineamientos internos</t>
  </si>
  <si>
    <t>Ejecucion y Administracion de procesos</t>
  </si>
  <si>
    <t xml:space="preserve">     El riesgo afecta la imagen de la entidad con algunos usuarios de relevancia frente al logro de los objetivos</t>
  </si>
  <si>
    <t>Efectuar mesas de trabajo o remitir   correos electrónicos dirigidos a las dependencias,  solicitando ajustes a los documentos necesarios para adelantar los procesos de contratación realizando las recomendaciones a las que haya lugar</t>
  </si>
  <si>
    <t>Si</t>
  </si>
  <si>
    <t>No</t>
  </si>
  <si>
    <t>Preventivo</t>
  </si>
  <si>
    <t>Manual</t>
  </si>
  <si>
    <t>Sin Documentar</t>
  </si>
  <si>
    <t>Continua</t>
  </si>
  <si>
    <t>Con registro</t>
  </si>
  <si>
    <t>Reducir (mitigar)</t>
  </si>
  <si>
    <t>Remitir cuatrimestralmente informe dirigido a las dependencias de la UAESP, en el cual se precisen las fortalezas y posibles debilidades en las que se ha incurrido en el trámite de los procesos de contratación, a efectos de adoptar las medidas a que haya lugar.</t>
  </si>
  <si>
    <t>Líder de contratación</t>
  </si>
  <si>
    <r>
      <rPr>
        <b/>
        <sz val="10"/>
        <color rgb="FF000000"/>
        <rFont val="Arial Narrow"/>
        <family val="2"/>
      </rPr>
      <t xml:space="preserve">09/03/2023 </t>
    </r>
    <r>
      <rPr>
        <sz val="10"/>
        <color rgb="FF000000"/>
        <rFont val="Arial Narrow"/>
        <family val="2"/>
      </rPr>
      <t>Mediante correo electrónico del 27/02/2023, se colocó bajo conocimiento del líder del grupo de contratos, entre otros aspectos, las acciones incorporadas en el mapa para el manejo de riesgos de la SAL para la vigencia 2023, con la finalidad de dar cumplimiento a las mismas.</t>
    </r>
  </si>
  <si>
    <t xml:space="preserve">10/05/2023: 1. En cumplimietno de esta acción, la Subdirección de Asuntos Legales expidió el memorando  20236000034193, dirigido a las dependencvias, a través del cual, se señalan lineamientos a tenerse en cuenta en la gestión contractual. Para ello, se adjuntó lista de chequeo precisando los documentos que deben tenerse en cuenta al mopmento de solicitar las diferentes modificaciones contractuales (se adjunta evidencia)..
Posteriormente, a través de reunión presencial el 17 de abril de 2023, se socializó a los enlaces de contratación el contenido del memorando enunciado. (Se adjunta evidencia). 
Adicionalmente adjuntamos informe cuatrimestral, en el cual se identifican  los aspectos a fortalecer que permitan mitigar las  debilidades que se identificaron en el trámite de la gestión contractual al interior de la Unidad. </t>
  </si>
  <si>
    <t>Par el periodo evaluado, en el informe que se va a remitir a las dependencias, se efectúan recomendaciones relacionadas con el cargue de las actuaciones en el SECOP en las tres etapas del proceso: pre-contractual, contractual y post-contractual, así como el deber de publicación de tales documentos dentro de los 3 días siguientes a su producción y la necesidad de utilizar los formatos actualizados, entre otras. Se adfjunta informe</t>
  </si>
  <si>
    <t>En curso</t>
  </si>
  <si>
    <t>09/03/2023
13/04/2023</t>
  </si>
  <si>
    <r>
      <rPr>
        <b/>
        <sz val="10"/>
        <color rgb="FF000000"/>
        <rFont val="Arial Narrow"/>
        <family val="2"/>
      </rPr>
      <t xml:space="preserve">09/03/2023. </t>
    </r>
    <r>
      <rPr>
        <sz val="10"/>
        <color rgb="FF000000"/>
        <rFont val="Arial Narrow"/>
        <family val="2"/>
      </rPr>
      <t xml:space="preserve">En el curso del mes de febrero de 2023, los integrantes del grupo de contratos eviaron a las dependencias correos con observaciones relacionadas  con los procesos de selección en trámite.
</t>
    </r>
    <r>
      <rPr>
        <b/>
        <sz val="10"/>
        <color rgb="FF000000"/>
        <rFont val="Arial Narrow"/>
        <family val="2"/>
      </rPr>
      <t xml:space="preserve">
13/04/2023</t>
    </r>
    <r>
      <rPr>
        <sz val="10"/>
        <color rgb="FF000000"/>
        <rFont val="Arial Narrow"/>
        <family val="2"/>
      </rPr>
      <t xml:space="preserve"> En el curso del mes de marzo de 2023, los integrantes del grupo de contratos eviaron a las dependencias correos con observaciones relacionadas a las devoluciones de los procesos de selección en trámite.</t>
    </r>
  </si>
  <si>
    <t>Líder grupo de contratos Subdirección de Asuntos Legales</t>
  </si>
  <si>
    <r>
      <rPr>
        <b/>
        <sz val="10"/>
        <color rgb="FF000000"/>
        <rFont val="Arial Narrow"/>
        <family val="2"/>
      </rPr>
      <t>09/03/2023.</t>
    </r>
    <r>
      <rPr>
        <sz val="10"/>
        <color rgb="FF000000"/>
        <rFont val="Arial Narrow"/>
        <family val="2"/>
      </rPr>
      <t xml:space="preserve">Documento en pdf con correos electrónicos, remitidos a dependencias, con oservaciones respecto de los documentos asociados a los procesos de contratación. 
</t>
    </r>
    <r>
      <rPr>
        <b/>
        <sz val="10"/>
        <color rgb="FF000000"/>
        <rFont val="Arial Narrow"/>
        <family val="2"/>
      </rPr>
      <t>13/04/2023.</t>
    </r>
    <r>
      <rPr>
        <sz val="10"/>
        <color rgb="FF000000"/>
        <rFont val="Arial Narrow"/>
        <family val="2"/>
      </rPr>
      <t xml:space="preserve"> Documento en pdf con correos electrónicos, remitidos a dependencias, con oservaciones respecto de los documentos asociados a los procesos de contratación. </t>
    </r>
  </si>
  <si>
    <t>Efectivo</t>
  </si>
  <si>
    <t>10/05/2023
13/06/2023
11/07/2023</t>
  </si>
  <si>
    <t>10/05/2023: En el curso del mes de abril de 2023, los integrantes del grupo de contratos enviiaron  a las dependencias correos con observaciones relacionados con los process de selección en trámite.
13/06/2023 El grupo de contratos en desarrollo de los procesos de selección, realizó las siguientes observaciones:1. Frente a la Adición y prórorga del contrato UAESP-768-2022, se efectuó observación respecto de la viencia de la prórroga, se realizaron comentarios respecto de la póliza 2. Se solicitó mesa de trabajo para el trámite del contrato de Jessica Lòpez y mediante correo se efectuaron observaciones tales como la falta del diploma de bachiller, validación de hoja de vida SIDEAP, corregir documentos sensibles, entre otras. 3. Se realizaron observaciones al trámite de contratación de un abogado, tales como la ausenci de la vigencia de la TP, vigneciua de antecedentes de la Procurduría, soportes inhabiulidades delitos sexuales, bienes y rentas SIGEP, entreo tras.
11/07/2023: El grupo de contratos en desarrollo de los procesos de selección,  se realizaron las siguientes observaciones: 1. Frente a los documentos generales, sensibles y de la entidad del proceso contractual de prestación de servicios; 2. Frente  a los estudios previos, el certificado de no existencia en planta y los exámenes médicos del proceso de contratación de prestación de servicios.</t>
  </si>
  <si>
    <t>10/05/2023: Documento en pdf con correos electrónicos remitidos a las dependencias, con observaciones respecto de los documentos asociados a los procesos de selección, correspondiente al mes de abril de 2023.
13/06/2023: Documento en pdf con correos electrónicos remitidos a las dependencias, con observaciones respecto de los documentos asociados a los procesos de selección, correspondiente al mes de mayo de 2023.
11/07/2023: Documento en pdf con correos electrónicos remitidos a las dependencias, con observaciones respecto de los documentos asociados a los procesos de contratación, correspondiente al mes de junio de 2023.</t>
  </si>
  <si>
    <t>10/08/2023
10/09/2023</t>
  </si>
  <si>
    <r>
      <rPr>
        <sz val="10"/>
        <color rgb="FF000000"/>
        <rFont val="Arial Narrow"/>
        <family val="2"/>
      </rPr>
      <t xml:space="preserve">10/08/2023: Se efectuaron comentarios, entre otros a los siguientes procesos de contratación: </t>
    </r>
    <r>
      <rPr>
        <b/>
        <sz val="10"/>
        <color rgb="FF000000"/>
        <rFont val="Arial Narrow"/>
        <family val="2"/>
      </rPr>
      <t>1.</t>
    </r>
    <r>
      <rPr>
        <sz val="10"/>
        <color rgb="FF000000"/>
        <rFont val="Arial Narrow"/>
        <family val="2"/>
      </rPr>
      <t xml:space="preserve"> Luis Gabriel Cruz López: frente a los documentos de la entidad, sensibles y PAA; </t>
    </r>
    <r>
      <rPr>
        <b/>
        <sz val="10"/>
        <color rgb="FF000000"/>
        <rFont val="Arial Narrow"/>
        <family val="2"/>
      </rPr>
      <t>2.</t>
    </r>
    <r>
      <rPr>
        <sz val="10"/>
        <color rgb="FF000000"/>
        <rFont val="Arial Narrow"/>
        <family val="2"/>
      </rPr>
      <t xml:space="preserve"> Contratación Camila Andrea Casanova: se realizaron observaciones al certificado de idoneidad y a los documentos que acreditan la experiencia y exámenes ocupacionales. </t>
    </r>
    <r>
      <rPr>
        <b/>
        <sz val="10"/>
        <color rgb="FF000000"/>
        <rFont val="Arial Narrow"/>
        <family val="2"/>
      </rPr>
      <t xml:space="preserve">3. </t>
    </r>
    <r>
      <rPr>
        <sz val="10"/>
        <color rgb="FF000000"/>
        <rFont val="Arial Narrow"/>
        <family val="2"/>
      </rPr>
      <t xml:space="preserve">Se realizaron comentarios generales a la contratación de la bodega CTCC de Engativá.
10/09/2023: Se efectuaron entre otros, los siguientes comentarios frente a los procesos de contratación: </t>
    </r>
    <r>
      <rPr>
        <b/>
        <sz val="10"/>
        <color rgb="FF000000"/>
        <rFont val="Arial Narrow"/>
        <family val="2"/>
      </rPr>
      <t xml:space="preserve">1. </t>
    </r>
    <r>
      <rPr>
        <sz val="10"/>
        <color rgb="FF000000"/>
        <rFont val="Arial Narrow"/>
        <family val="2"/>
      </rPr>
      <t xml:space="preserve"> Licitación cubiertas: observaciones de tipo jurídico; aspecto presupuestal en revisión. </t>
    </r>
    <r>
      <rPr>
        <b/>
        <sz val="10"/>
        <color rgb="FF000000"/>
        <rFont val="Arial Narrow"/>
        <family val="2"/>
      </rPr>
      <t>2.</t>
    </r>
    <r>
      <rPr>
        <sz val="10"/>
        <color rgb="FF000000"/>
        <rFont val="Arial Narrow"/>
        <family val="2"/>
      </rPr>
      <t xml:space="preserve"> Contrato UAESP-727-2023, observaciones respecto de documentos de la entidad, generales, sensibles y póliza. </t>
    </r>
    <r>
      <rPr>
        <b/>
        <sz val="10"/>
        <color rgb="FF000000"/>
        <rFont val="Arial Narrow"/>
        <family val="2"/>
      </rPr>
      <t xml:space="preserve">3. </t>
    </r>
    <r>
      <rPr>
        <sz val="10"/>
        <color rgb="FF000000"/>
        <rFont val="Arial Narrow"/>
        <family val="2"/>
      </rPr>
      <t>Contratación Liliana Sinesterra - RBL: obsevaciones formato no existencia en planta, nombre subdirectora de SAL encargada; ajustes en fecha CEI,  en estudios previos; comentarios certificaciones, planilla seguridad social y respecto de la utilización de documentos actualizados con logo ICONTEC. Se adjuntan correop dirigidos a las dependencias</t>
    </r>
  </si>
  <si>
    <t>Comunicar a los lideres de proceso o a los enlaces para la contratación de las dependencias, las inconsistencias presentadas en el proceso de contratación en particular, en el que no se tuvieron en encuenta la aplicación de las disposiciones legales que regulan la contratación pública o los lineamientos internos establecios para el desarrollo de la gestión contractual,  con la finalidad de que realicen las subsanaciones pertinentes</t>
  </si>
  <si>
    <t>26/04/2023
18/07/2023</t>
  </si>
  <si>
    <t>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t>
  </si>
  <si>
    <t>Para el trimestre no esta programada la acción por lo que el seguimiento realizado no da cuenta de su desarrollo
Se realizó el reporte con avance del primer cuatrimestre dando cumplimiento a lo programado se adjuntan evidencias las cuales son coherentes con lo reportado</t>
  </si>
  <si>
    <t>Posibilidad de afectación económica y reputacional por sanciones debido a la gestión del proceso administrativo o de defensa judicial fuera de los términos o reglamentación legal establecidos</t>
  </si>
  <si>
    <t>Afectación económica y reputacional</t>
  </si>
  <si>
    <t>Gestión del proceso administrativo o de defensa judicial fuera de los términos o reglamentación legal establecidos</t>
  </si>
  <si>
    <t>Seguimiento al estado de los procesos judiciales en curso de manera mensual a través del informe que elabore cada apoderado.</t>
  </si>
  <si>
    <t xml:space="preserve">
Realizar dos (2) socializaciones en las cuales se aborde el tema relacionado con los términos a tenerse en cuenta en el desarrollo de la gestión judicial al interior de la Unidad</t>
  </si>
  <si>
    <t>Líder grupo defensa judicial y extrajudicial</t>
  </si>
  <si>
    <t>09/03/2023
Acción en ejecución
13/04/2023
Acción en ejecución</t>
  </si>
  <si>
    <t>10/05/2023: Actividad en proceso por parte del grupo de defensa judicial y extrajudicial.
13/06/2023: El 29 de mayo de 2023 se llevó a cabo la priimera capacitación en la cual se abordó , entre otros temas los términos a tenerse en cuenta en el trámmite de los procesos judiciales.
11/07/2023  El 9 de junio de 2023, se llevó a cabo la segunda capacitación en la cual se abordó, entre otros temas, los términos a tenerse en cuenta en el trámite de los procesos judiciales.</t>
  </si>
  <si>
    <t>Solicitud de cierre</t>
  </si>
  <si>
    <r>
      <rPr>
        <b/>
        <sz val="10"/>
        <color rgb="FF000000"/>
        <rFont val="Arial Narrow"/>
        <family val="2"/>
      </rPr>
      <t xml:space="preserve">09/03/2023 </t>
    </r>
    <r>
      <rPr>
        <sz val="10"/>
        <color rgb="FF000000"/>
        <rFont val="Arial Narrow"/>
        <family val="2"/>
      </rPr>
      <t xml:space="preserve">Se adjuntan los informes de seguimiento de los procesos judiciales elaborados por los doctores Andrés León Juan José Gómez y la firma Zurek abogados.
</t>
    </r>
    <r>
      <rPr>
        <b/>
        <sz val="10"/>
        <color rgb="FF000000"/>
        <rFont val="Arial Narrow"/>
        <family val="2"/>
      </rPr>
      <t>13/04/2023</t>
    </r>
    <r>
      <rPr>
        <sz val="10"/>
        <color rgb="FF000000"/>
        <rFont val="Arial Narrow"/>
        <family val="2"/>
      </rPr>
      <t xml:space="preserve"> Se adjuntan informes  del estado de  los procesos judiciales elaborados por los apoderados, así : 1.  Dr Andrés León (Administrativos y laborales); 2. Dr Juan José Gómez (Penales).y 3 Inf admistrativos Dra. Ludy F</t>
    </r>
  </si>
  <si>
    <t>Líder grupo judiciales</t>
  </si>
  <si>
    <r>
      <rPr>
        <b/>
        <sz val="10"/>
        <color rgb="FF000000"/>
        <rFont val="Arial Narrow"/>
        <family val="2"/>
      </rPr>
      <t>09/03/2023</t>
    </r>
    <r>
      <rPr>
        <sz val="10"/>
        <color rgb="FF000000"/>
        <rFont val="Arial Narrow"/>
        <family val="2"/>
      </rPr>
      <t xml:space="preserve"> Informes presentados por los apoderados mencionados en la columna de seguimiento, correspondientes al mes de febrero de 2023.
</t>
    </r>
    <r>
      <rPr>
        <b/>
        <sz val="10"/>
        <color rgb="FF000000"/>
        <rFont val="Arial Narrow"/>
        <family val="2"/>
      </rPr>
      <t>11/04/2023</t>
    </r>
    <r>
      <rPr>
        <sz val="10"/>
        <color rgb="FF000000"/>
        <rFont val="Arial Narrow"/>
        <family val="2"/>
      </rPr>
      <t xml:space="preserve"> Informes presentados por los apoderados mencionados en la columna de seguimiento, correspondientes al mes de marzo de 2023.</t>
    </r>
  </si>
  <si>
    <t>10/05/2023: Se adjuntan informes en los cuales se evidencia el estado de los procesos judiciales, los cuales fueron elaborados por: 1.  Procesos penales presentado por el Dr Juan José Gómez Urueña; 2. Laudo Arbitral con  CGR presentado por el abogado Juan Carlos Jiménez Triana; 3. Procesos laborales Dr Andrés León y 4. Procesos administrativos Dr Andrés León (se adjunta evidencia).
13/06/2023: Se adjuntan informes en los cuales se evidencia el estado de los procesos judiciales, los cuales fueron elaborados por: 1.  Procesos penales presentado por el Dr Juan José Gómez Urueña; 2. Informe proceso  2017-00261 ID 616913, presentado por Juan Carlos Jiménex Triana; 3. Informe procesos laborales presentado por el Dr Andrés León y 4. Informe procesos administrativos presentado por el Dr  Andrés León.
11/07/2023: Se adjuntan informes en los cuales se evidencia el estado de los procesos judiciales, los cuales fueron elaborados por: Andrés León (procesos laborales); Andrés León (procesos administrativos) y Juan José Gómez (procesos penales)</t>
  </si>
  <si>
    <t>10/05/2023: Informes presentados por los apoderados mencionados en la columna de seguimiento, correspondientes al mes de abril de 2023.
13/06/2023. Informe presentados por los apoderados.
11/07/2023: Informes presentados por los apoderados mencionados en la columna de seguimiento, correspondientes al mes de junio de 2023.</t>
  </si>
  <si>
    <r>
      <rPr>
        <sz val="10"/>
        <color rgb="FF000000"/>
        <rFont val="Arial Narrow"/>
        <family val="2"/>
      </rPr>
      <t xml:space="preserve">10/08/2023: Se adjuntan informes en los cuales se evidencia el estado de los procesos judiciales, así: 1. Procesos laborales presentado por Andrés León; 2. Procesos administrativos presentado por Andrés León; 3. Procesos penales presentado por el Doctor Juan José Gómez. 4. Informe procesos juduciales presentado por Juan Carlos Jiménez Triana
10/09/2023: Se adjuntan los siguientes informes: </t>
    </r>
    <r>
      <rPr>
        <b/>
        <sz val="10"/>
        <color rgb="FF000000"/>
        <rFont val="Arial Narrow"/>
        <family val="2"/>
      </rPr>
      <t xml:space="preserve">1. </t>
    </r>
    <r>
      <rPr>
        <sz val="10"/>
        <color rgb="FF000000"/>
        <rFont val="Arial Narrow"/>
        <family val="2"/>
      </rPr>
      <t xml:space="preserve">Procesos a cargo del Dr Andrés León; </t>
    </r>
    <r>
      <rPr>
        <b/>
        <sz val="10"/>
        <color rgb="FF000000"/>
        <rFont val="Arial Narrow"/>
        <family val="2"/>
      </rPr>
      <t xml:space="preserve">2. </t>
    </r>
    <r>
      <rPr>
        <sz val="10"/>
        <color rgb="FF000000"/>
        <rFont val="Arial Narrow"/>
        <family val="2"/>
      </rPr>
      <t>Procesos penales a cargo de Juan José Gómez Urueña. Se adjuntan informes presentados por los apoderados.</t>
    </r>
  </si>
  <si>
    <t>Adelantar jornada de sensiilización a los integrantes  del grupo de representación judicial y extrajudicial apoderados, respecto de los términos legales que deben tenerse en cuenta en el desarrolllo de cada etapa procesal, con la finalidad de que realicen las subsanaciones a que haya lugar</t>
  </si>
  <si>
    <t>Para el trimestre no esta programada la acción por lo que se encuentra en ejecución
Se realizó el reporte con avance del primer semestre dando cumplimiento a lo programado se adjuntan evidencias las cuales son coherentes con lo reportado</t>
  </si>
  <si>
    <t>Reuniones de seguimiento, control y vigilancia de la gestión judicial y las actuaciones administrativas</t>
  </si>
  <si>
    <r>
      <rPr>
        <b/>
        <sz val="10"/>
        <color rgb="FF000000"/>
        <rFont val="Arial Narrow"/>
        <family val="2"/>
      </rPr>
      <t>09/03/2023</t>
    </r>
    <r>
      <rPr>
        <sz val="10"/>
        <color rgb="FF000000"/>
        <rFont val="Arial Narrow"/>
        <family val="2"/>
      </rPr>
      <t xml:space="preserve"> Los días 7,8, 9, 17 y 21, de febrero de 2023 los integrantes del grupo de defensa judicial y extrajudicial, realizaron reuniones de seguimiento. 
</t>
    </r>
    <r>
      <rPr>
        <b/>
        <sz val="10"/>
        <color rgb="FF000000"/>
        <rFont val="Arial Narrow"/>
        <family val="2"/>
      </rPr>
      <t>13/04/2023</t>
    </r>
    <r>
      <rPr>
        <sz val="10"/>
        <color rgb="FF000000"/>
        <rFont val="Arial Narrow"/>
        <family val="2"/>
      </rPr>
      <t>: Actas de las reuniones de seguimiento, control y vigilancia de la gestión judicial y las actuaciones administrativas sostenidas al interior del grupo,  realizadas, así:  
*El dia 6 de marzo de 2023, se reune el grupo de defensa judicial, en la cual se registran las acciones de coordinación semanal para la defensa judicial - SUbdirección de Asunto Legales. 
*El día  14 de marzo de 2023, se reune el grupo de defensa judicial en comité primario.</t>
    </r>
  </si>
  <si>
    <t xml:space="preserve">Actas de reunión </t>
  </si>
  <si>
    <r>
      <rPr>
        <b/>
        <sz val="10"/>
        <color rgb="FF000000"/>
        <rFont val="Arial Narrow"/>
        <family val="2"/>
      </rPr>
      <t>10/05/2023:</t>
    </r>
    <r>
      <rPr>
        <sz val="10"/>
        <color rgb="FF000000"/>
        <rFont val="Arial Narrow"/>
        <family val="2"/>
      </rPr>
      <t xml:space="preserve"> Actas de las reuniones de seguimiento, control y vigilancia de la gestión judicial y las actuaciones administrativas sostenidas al interior del grupo, así: 10/04/2023 y 25/04/2023. (se adjunta evidencia)
</t>
    </r>
    <r>
      <rPr>
        <b/>
        <sz val="10"/>
        <color rgb="FF000000"/>
        <rFont val="Arial Narrow"/>
        <family val="2"/>
      </rPr>
      <t>13/06/2023:</t>
    </r>
    <r>
      <rPr>
        <sz val="10"/>
        <color rgb="FF000000"/>
        <rFont val="Arial Narrow"/>
        <family val="2"/>
      </rPr>
      <t xml:space="preserve"> El grupo de reepresentación judicial y extrajudicial realizó reuniones de seguimiento los días 25/05/2023, 8/05/2023, 15/05/2023, 23/05/2023 y 29/05/2023. Conforme recomendación efectuada por la OCI en el informe de evaluación del riesgo, entregado a la SAL el 24/05/20223, en lo susesivo se utilizará el formato de acta de reunión que contenga el logo del Icontec. 
</t>
    </r>
    <r>
      <rPr>
        <b/>
        <sz val="10"/>
        <color rgb="FF000000"/>
        <rFont val="Arial Narrow"/>
        <family val="2"/>
      </rPr>
      <t>11/07/2023:</t>
    </r>
    <r>
      <rPr>
        <sz val="10"/>
        <color rgb="FF000000"/>
        <rFont val="Arial Narrow"/>
        <family val="2"/>
      </rPr>
      <t xml:space="preserve"> El grupo de representación judicial y extrajudicial realizó reuniones de seguimiento los días 6, 20 y 27 de junio de 2023  En dichas reuniones ee abordan temas de prevención  del daño antijurídico y plan de acción del comité de conciliación, entre otros. </t>
    </r>
  </si>
  <si>
    <t>Actas de reunión</t>
  </si>
  <si>
    <t>10/08/2023: El 25/07/2023, el grupo de defensa judicial efectuó seguimiento a sus actividades. En el desarrollo de la reunión, se abordaron entre otros, los siguientes temas: otorgamiento de poderes, tipologías recurrentes e impugnación en acciones de tutelas, cumplimiento oportuno de providencias judiciales, revisión de expedientes cobro coactivo y la actualización del SIPROJ. Se adjunta Acta y listado de asistencia
10/09/2023: Se adjunta acta de reuinión del 1/08/2023 en la cual se efectuó la coordinación y seguimiento del grupo de defensa judicial en la cual se abordaron temas que se van a presentar ante el comité de conciliación, avances en la implementación de las políticas de prevención del daño antijurídico y el cumplimiento del Decreto 556 de 2021 - recuperación del patrimonio público. Se adjunta acta de reunión.</t>
  </si>
  <si>
    <r>
      <t xml:space="preserve">JAG: </t>
    </r>
    <r>
      <rPr>
        <sz val="10"/>
        <color theme="1"/>
        <rFont val="Arial Narrow"/>
        <family val="2"/>
      </rPr>
      <t>N/A</t>
    </r>
  </si>
  <si>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</si>
  <si>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</si>
  <si>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</si>
  <si>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</si>
  <si>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</si>
  <si>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</si>
  <si>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</si>
  <si>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</si>
  <si>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</si>
  <si>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</si>
  <si>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</si>
  <si>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</si>
  <si>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</si>
  <si>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</si>
  <si>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</si>
  <si>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</si>
  <si>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</si>
  <si>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</si>
  <si>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</si>
  <si>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</si>
  <si>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</si>
  <si>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</si>
  <si>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
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</si>
  <si>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favorecimiento propio o de terceros debido al direccioamiento de la contratación de la Unidad, por la existencia de amiguismos, clientelismo o tráfico de influencias</t>
  </si>
  <si>
    <t>Direccionamiento de la contratación de la Unidad</t>
  </si>
  <si>
    <t>Existencia de amiguismos, clientelismo o tráfico de influencias</t>
  </si>
  <si>
    <t>Fraude Interno</t>
  </si>
  <si>
    <t xml:space="preserve">
El Comité de Contratación verifica el cumplimiento de los requisitos asociados a cada una de las modalidades de contratación; efectuando las recomendaciones a que haya lugar</t>
  </si>
  <si>
    <t>FUERTE</t>
  </si>
  <si>
    <t>DIRECTAMENTE</t>
  </si>
  <si>
    <t>Reducir</t>
  </si>
  <si>
    <t xml:space="preserve">Establecer lineamientos en el manual de contratacion o circular interna a traves de los cuales se indique que la evaluación de los procesos de selección se realicen por personas diferentes a los estructuradores de los procesos contractuales. </t>
  </si>
  <si>
    <t>Subdirector de Asunto Legales y Líder de contratación</t>
  </si>
  <si>
    <r>
      <rPr>
        <b/>
        <sz val="10"/>
        <color rgb="FF000000"/>
        <rFont val="Arial Narrow"/>
        <family val="2"/>
      </rPr>
      <t>09/03/2023</t>
    </r>
    <r>
      <rPr>
        <sz val="10"/>
        <color rgb="FF000000"/>
        <rFont val="Arial Narrow"/>
        <family val="2"/>
      </rPr>
      <t xml:space="preserve">.Mediante correo electrónico del 27/02/2023, se colocó bajo conocimiento del líder del grupo de contratos, entre otros aspectos, las acciones incorporadas en el mapa para el manejo de riesgos de la SAL para la vigencia 2023, con la finalidad de qu se vayan preparando
</t>
    </r>
    <r>
      <rPr>
        <b/>
        <sz val="10"/>
        <color rgb="FF000000"/>
        <rFont val="Arial Narrow"/>
        <family val="2"/>
      </rPr>
      <t>13/04/2023</t>
    </r>
    <r>
      <rPr>
        <sz val="10"/>
        <color rgb="FF000000"/>
        <rFont val="Arial Narrow"/>
        <family val="2"/>
      </rPr>
      <t xml:space="preserve">  La Sudirección de Asuntos Legales, en aras de dar cumplimiento a la acción se encuentra trabajando en  la versión 12 del manual de contratación.  Se adjunta proyecto trabajado.  </t>
    </r>
  </si>
  <si>
    <r>
      <rPr>
        <b/>
        <sz val="10"/>
        <color rgb="FF000000"/>
        <rFont val="Arial Narrow"/>
        <family val="2"/>
      </rPr>
      <t>10/05/2023:</t>
    </r>
    <r>
      <rPr>
        <sz val="10"/>
        <color rgb="FF000000"/>
        <rFont val="Arial Narrow"/>
        <family val="2"/>
      </rPr>
      <t xml:space="preserve"> Desde el grupo de contratos, se decidió que dada la desagregación requerida para ejecutar esta acción, la misma se desarrollará mediante circular. Lo anterior, teniendo en cuenta la expedición de la versión 12 del manual de contratación, pues sólo a partir de los lineamientos contenidos en dicho manual, es posible generar la mencionada circular.  (Se adjunta evidencia: manual de contratación V12 y resolución N° 316 de 2023).
</t>
    </r>
    <r>
      <rPr>
        <b/>
        <sz val="10"/>
        <color rgb="FF000000"/>
        <rFont val="Arial Narrow"/>
        <family val="2"/>
      </rPr>
      <t>13//06/2023:</t>
    </r>
    <r>
      <rPr>
        <sz val="10"/>
        <color rgb="FF000000"/>
        <rFont val="Arial Narrow"/>
        <family val="2"/>
      </rPr>
      <t xml:space="preserve"> Acción pendiente de desarrollar, es decir la expedición de la circular. 
</t>
    </r>
    <r>
      <rPr>
        <b/>
        <sz val="10"/>
        <color rgb="FF000000"/>
        <rFont val="Arial Narrow"/>
        <family val="2"/>
      </rPr>
      <t>11/07/2023:</t>
    </r>
    <r>
      <rPr>
        <sz val="10"/>
        <color rgb="FF000000"/>
        <rFont val="Arial Narrow"/>
        <family val="2"/>
      </rPr>
      <t xml:space="preserve"> Acción pendiente de adelantar. 
</t>
    </r>
  </si>
  <si>
    <t xml:space="preserve">10/08/2023: Se elabora proyecto de circular, la cual se encuentra en  revisión por parte  del grupo de contratos
10/09/2023: El proyecto de circular realizado, se encuentra en revisión por el subdirector de asuntos legales. </t>
  </si>
  <si>
    <r>
      <rPr>
        <b/>
        <sz val="10"/>
        <color rgb="FF000000"/>
        <rFont val="Arial Narrow"/>
        <family val="2"/>
      </rPr>
      <t xml:space="preserve">09/03/2023 </t>
    </r>
    <r>
      <rPr>
        <sz val="10"/>
        <color rgb="FF000000"/>
        <rFont val="Arial Narrow"/>
        <family val="2"/>
      </rPr>
      <t xml:space="preserve">El comité de contratación sesionó los días, 24 de enero y  03, 24 de febrero
</t>
    </r>
    <r>
      <rPr>
        <b/>
        <sz val="10"/>
        <color rgb="FF000000"/>
        <rFont val="Arial Narrow"/>
        <family val="2"/>
      </rPr>
      <t>13/04/2023</t>
    </r>
    <r>
      <rPr>
        <sz val="10"/>
        <color rgb="FF000000"/>
        <rFont val="Arial Narrow"/>
        <family val="2"/>
      </rPr>
      <t xml:space="preserve"> Durante el mes de marzo no se realizaron sesiones del comité de contratación.  </t>
    </r>
  </si>
  <si>
    <t xml:space="preserve">Líder grupo de contratos Subdirección de Asuntos Legales </t>
  </si>
  <si>
    <t>Actas de reunión sesión comité de contratación</t>
  </si>
  <si>
    <r>
      <rPr>
        <b/>
        <sz val="10"/>
        <color rgb="FF000000"/>
        <rFont val="Arial Narrow"/>
        <family val="2"/>
      </rPr>
      <t>10/05/2023</t>
    </r>
    <r>
      <rPr>
        <sz val="10"/>
        <color rgb="FF000000"/>
        <rFont val="Arial Narrow"/>
        <family val="2"/>
      </rPr>
      <t xml:space="preserve">: El comité de contratación sesionó el 28 de abril de 2023 (Se adjunta como evidencia: 1. Citación al comité. 2. Apertura y cierre comité. 3.Proyecto de acta en trámite de firma.
</t>
    </r>
    <r>
      <rPr>
        <b/>
        <sz val="10"/>
        <color rgb="FF000000"/>
        <rFont val="Arial Narrow"/>
        <family val="2"/>
      </rPr>
      <t>13/06/2023</t>
    </r>
    <r>
      <rPr>
        <sz val="10"/>
        <color rgb="FF000000"/>
        <rFont val="Arial Narrow"/>
        <family val="2"/>
      </rPr>
      <t xml:space="preserve">: De conformidad a información suministrada en la SAL, el comité de contratación no sesionó en el curso del mes de mayo de 2023.
</t>
    </r>
    <r>
      <rPr>
        <b/>
        <sz val="10"/>
        <color rgb="FF000000"/>
        <rFont val="Arial Narrow"/>
        <family val="2"/>
      </rPr>
      <t>11/07/2023:</t>
    </r>
    <r>
      <rPr>
        <sz val="10"/>
        <color rgb="FF000000"/>
        <rFont val="Arial Narrow"/>
        <family val="2"/>
      </rPr>
      <t xml:space="preserve"> De conformidad a información suministrada en el grupo de contratación, el comité de contratación no sesionó en el curso del mes de junio de 2023.</t>
    </r>
  </si>
  <si>
    <t>Líder grupo de contratros Subdirección de Asuntos Legales</t>
  </si>
  <si>
    <t>Acta de reunión sesión comité de contratación</t>
  </si>
  <si>
    <t>10/08/2023: De conformidad con la información suministrada por el grupo de contratos, el comité de contratación no sesionó en el mes de julio de 2023.
10/09/2023: El comité de contratación sesionó el 10/08/2023, en donde se abordó la licitación pública para la vigilancia de los bienes de la UAESP.</t>
  </si>
  <si>
    <t>Subdirección de Asuntos Legales</t>
  </si>
  <si>
    <t>Actas reunión</t>
  </si>
  <si>
    <t xml:space="preserve">Generar la alerta ante las instancias competentes  frente a la presunta existencia de actos de corrupción </t>
  </si>
  <si>
    <t xml:space="preserve">Se realiza seguimiento a la acción y los soportes son coherentes con lo reportado 
Se realiza seguimiento a la acción y los soportes son coherentes con lo reportado </t>
  </si>
  <si>
    <r>
      <rPr>
        <sz val="10"/>
        <color rgb="FFFF0000"/>
        <rFont val="Arial Narrow"/>
        <family val="2"/>
      </rPr>
      <t xml:space="preserve">Revisión cuatrimestral aleatoria del 10% de  los procesos de selección, verificando el cumplimiento de los lineamientos normativos y técnicos vigentes, efectuándose las recomendaciones o alertas necesarias y presentar ante el CICCI los resultados. 
</t>
    </r>
    <r>
      <rPr>
        <sz val="10"/>
        <color rgb="FF000000"/>
        <rFont val="Arial Narrow"/>
        <family val="2"/>
      </rPr>
      <t xml:space="preserve">
Revisión cuatrimestral aleatoria del 10% de los procesos de selección, verificando el cumplimiento de los lineamientos normativos y técnicos vigentes, efectuándose a los operadores de la gestión contractual, subdirectores y jefes de oficinas, las recomendaciones o alertas necesarias​ (AJUSTE APROBADO POR EL CIGD EL 25/08/2023)</t>
    </r>
  </si>
  <si>
    <r>
      <rPr>
        <sz val="10"/>
        <color rgb="FFFF0000"/>
        <rFont val="Arial Narrow"/>
        <family val="2"/>
      </rPr>
      <t xml:space="preserve">Establecer lineamientos en el manual de supervisión  frente a:  
- Realización de cesiones contractuales
-Seguimiento a los informes de interventoría 
- Presentación trimestal de resultados seguimiento a los informes de interventoría  ante el comité de contratación 
</t>
    </r>
    <r>
      <rPr>
        <sz val="10"/>
        <color rgb="FF000000"/>
        <rFont val="Arial Narrow"/>
        <family val="2"/>
      </rPr>
      <t xml:space="preserve">
Establecer lineamientos en el manual de supervisión  frente a:  ​- Realización de cesiones contractuales​
-Seguimiento a los informes de interventoría (AJUSTE APROBADO POR EL CIGD EL 25/08/2023)</t>
    </r>
  </si>
  <si>
    <r>
      <rPr>
        <sz val="10"/>
        <color rgb="FF000000"/>
        <rFont val="Arial Narrow"/>
        <family val="2"/>
      </rPr>
      <t xml:space="preserve">09/03/2023.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 xml:space="preserve">13/04/2023 </t>
    </r>
    <r>
      <rPr>
        <sz val="10"/>
        <color rgb="FF000000"/>
        <rFont val="Arial Narrow"/>
        <family val="2"/>
      </rPr>
      <t xml:space="preserve"> La Sudirección de Asuntos Legales, en aras de dar cumplimiento a la acción se encuentra trabajando en el  manual de Supervisión e intrventoria.  Se adjunta proyecto trabajado.  </t>
    </r>
  </si>
  <si>
    <r>
      <rPr>
        <b/>
        <sz val="10"/>
        <color rgb="FF000000"/>
        <rFont val="Arial Narrow"/>
        <family val="2"/>
      </rPr>
      <t>10/05/2023:</t>
    </r>
    <r>
      <rPr>
        <sz val="10"/>
        <color rgb="FF000000"/>
        <rFont val="Arial Narrow"/>
        <family val="2"/>
      </rPr>
      <t xml:space="preserve"> En cumplimiento de esta acción, la Subdirección de Asuntos Legales elaboró versión 1 del manual de supervisión en el cual, se observa el desarrollo de los siguientes lineamientos: 1. Para la:realización de cesiones contractuales: Se abordó el tema en el numeral 10 MEDIDAS DE PREVENCIÓN QUE DEBEN TENER EN CUENTA LOS SUPERVISORES, literal i) y en el  numeral 11 literal a). Igualmente, en el capítulo 4 DEFINICIONES se incluyó la definición de cesión de contrato.
E INTERVENTORES.
2. Seguimiento a informes de interventoría: El tema se aborda en los numerrales 8.2 FUNCIONES GENERALES literal q); 8.3 FUNCIONES DE LA ETAPA CONTRACTUAL literal c) y en particular el literal v). (Se adjunta evidencia: manual de supervisión).
3. El lineamiento relacionado con la presentación trimestral de informes de interventoría, se abordará psteriormente a través de  circular.
</t>
    </r>
    <r>
      <rPr>
        <b/>
        <sz val="10"/>
        <color rgb="FF000000"/>
        <rFont val="Arial Narrow"/>
        <family val="2"/>
      </rPr>
      <t>13/06/2023:</t>
    </r>
    <r>
      <rPr>
        <sz val="10"/>
        <color rgb="FF000000"/>
        <rFont val="Arial Narrow"/>
        <family val="2"/>
      </rPr>
      <t xml:space="preserve"> Pendiente elaboración de circular.
</t>
    </r>
    <r>
      <rPr>
        <b/>
        <sz val="10"/>
        <color rgb="FF000000"/>
        <rFont val="Arial Narrow"/>
        <family val="2"/>
      </rPr>
      <t>11/07/2023</t>
    </r>
    <r>
      <rPr>
        <sz val="10"/>
        <color rgb="FF000000"/>
        <rFont val="Arial Narrow"/>
        <family val="2"/>
      </rPr>
      <t xml:space="preserve">: Pendiente elaboración de circular respecto de la presentación trimestral de los informes de interventoría ante el comité de contratación.
</t>
    </r>
  </si>
  <si>
    <t>10/08/2023: Teniendo en cuenta las recomendaciones de la tercera y segunda líneas de defensa, mediante acta de reunión del 24/07/2023, se solicitó el ajuste de esta acción, de forma que el informe no se presente ante el CICI, sino que se presente ante los operadores de la gestión contractual. En consecuencia, mediante correo electrónico del 27/07/2023, se remitió a la OAP, la correspondiente acta. Se adjunta acta y correo 
10/09/2023: Con la expediciión de la versión 2 del Manual de Supervisión e Interventoría, se evidencia el cumplimiento relacionado con: 1. Lineamientos frente a las cesiones de los contratos en el capítulo de definiciones, literal j) numeral 10 "medidas de prevención que deben tener en cuenta los supervisores e interventores" y literal a) capítulo 11 "prohibiciones". Se adjunta manual de Supervisión versión 2</t>
  </si>
  <si>
    <r>
      <rPr>
        <b/>
        <sz val="10"/>
        <color rgb="FF000000"/>
        <rFont val="Arial Narrow"/>
        <family val="2"/>
      </rPr>
      <t>09/03/2023</t>
    </r>
    <r>
      <rPr>
        <sz val="10"/>
        <color rgb="FF000000"/>
        <rFont val="Arial Narrow"/>
        <family val="2"/>
      </rPr>
      <t xml:space="preserve">.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13/04/2023</t>
    </r>
    <r>
      <rPr>
        <sz val="10"/>
        <color rgb="FF000000"/>
        <rFont val="Arial Narrow"/>
        <family val="2"/>
      </rPr>
      <t xml:space="preserve">. Acción En ejecución </t>
    </r>
  </si>
  <si>
    <r>
      <rPr>
        <b/>
        <sz val="10"/>
        <color rgb="FF000000"/>
        <rFont val="Arial Narrow"/>
        <family val="2"/>
      </rPr>
      <t xml:space="preserve"> 09/03/2023. </t>
    </r>
    <r>
      <rPr>
        <sz val="10"/>
        <color rgb="FF000000"/>
        <rFont val="Arial Narrow"/>
        <family val="2"/>
      </rPr>
      <t xml:space="preserve">Correo electronico </t>
    </r>
  </si>
  <si>
    <t>10/05/2023: Se realizó revisión del 10% de los procesos de selección que adelantó la Unidad, verificándose el cumplimiento de requisitos legales (se adjunta evidencia).</t>
  </si>
  <si>
    <t>Líder de contratos Subdirección de Asuntos Legales</t>
  </si>
  <si>
    <t xml:space="preserve">Documento que contiene procesos de contratación que fueron objeto de revisión </t>
  </si>
  <si>
    <t>10/09/2023: Se efectuó informe de la revisión del 10% de los contratos suscritos durante el segundo cuatrimestre, para lo cual, se tuvieron en cuenta los compromisos derivados del plan de mejoramiento de la Contraloría, y la Directiva 008 de 2021, verificando la publicación de actuaciones contractuales en el SECOP. En consecuencia, se proyectó correo electrónico dirigido a la dependencia respecto de la cual se encontró necesidad de generar una alerta y se elaboró comunicación masiva a las dependencias, efectuando las recomendaciones que se consideraron necesarias realizar.  Se adjunta como evidencia correo, comunicación masiva a las dependencias y documento de revisión del 10% de los contratos.</t>
  </si>
  <si>
    <t xml:space="preserve">Solicitar a la instancia superior correspondiente la reasignación  de la responsabilidad de la ejecución de la actividad involucrada de manera provisional a otro responsable competente, mientras se esclarecen los hechos, cuando aplique. </t>
  </si>
  <si>
    <t>El control es cuatrimestral por lo que no requiere reporte en el trimestre
Se realizó seguimiento al control y las evidencias aportadas con coherentes a lo reportado por lo que se establece que el control fue efectivo</t>
  </si>
  <si>
    <t>Documentar el procedimiento de sanciones contractuales que incluya los requisitos que deben reunir los informes de supervisión para iniciar procesos por presunto incumplimiento y los tiempos de solicitud por parte de la supervisión e interventoría y de respuesta y trámite de la Subdirección de asuntos legales</t>
  </si>
  <si>
    <r>
      <rPr>
        <b/>
        <sz val="10"/>
        <color rgb="FF000000"/>
        <rFont val="Arial Narrow"/>
        <family val="2"/>
      </rPr>
      <t>09/03/2023</t>
    </r>
    <r>
      <rPr>
        <sz val="10"/>
        <color rgb="FF000000"/>
        <rFont val="Arial Narrow"/>
        <family val="2"/>
      </rPr>
      <t xml:space="preserve"> Mediante correo electrónico del 27/02/2023, se colocó bajo conocimiento del líder del grupo de contratos, entre otros aspectos, las acciones incorporadas en el mapa para el manejo de riesgos de la SAL para la vigencia 2023, con la finalidad de dar cumplimiento a las mismas.
</t>
    </r>
    <r>
      <rPr>
        <b/>
        <sz val="10"/>
        <color rgb="FF000000"/>
        <rFont val="Arial Narrow"/>
        <family val="2"/>
      </rPr>
      <t xml:space="preserve">13/04/2023 </t>
    </r>
    <r>
      <rPr>
        <sz val="10"/>
        <color rgb="FF000000"/>
        <rFont val="Arial Narrow"/>
        <family val="2"/>
      </rPr>
      <t xml:space="preserve"> La Sudirección de Asuntos Legales, en aras de dar cumplimiento a la acción se encuentra trabajando en el  procedimiento administrativo sancionatorio.  Se adjunta proyecto trabajado.  </t>
    </r>
  </si>
  <si>
    <t>10/05/2023: Se creo la versión inicial de GAL-PC-20 procedimiento admnistrativo sancionatorio, determinándose entre otros aspectos, su objeto, el alcance, las definiciones, la normativa aplicable, los lineamientos de operación, y la descripción de las actividades, en donde se definieron plazos para la ejecución de algunas de las ectividades, los puntos de control, los registros y los responsables. (Se adjunta evidencia). ACCIÓN CUMPLIDA. https://www.uaesp.gov.co/mipg/documentos-sig/legales/procedimientos/GAL-PC-20%20V1%20Administrativo%20sancionatorio.pdf</t>
  </si>
  <si>
    <t>ACCION CUMPLIDA SEGUNDO TRIMESTRE</t>
  </si>
  <si>
    <t>Ajustar en el manual de contratación los lineamientos relacionados con la solicitud, trámite y aprobación de garantías en el desarrollo de los procesos de contratación de la UAESP</t>
  </si>
  <si>
    <t xml:space="preserve">Mediante correo electrónico del 27/02/2023, se colocó bajo conocimiento del líder del grupo de contratos, entre otros aspectos, las acciones incorporadas en el mapa para el manejo de riesgos de la SAL para la vigencia 2023, con la finalidad de dar cumplimiento a las mismas.
13/04/2023  La Sudirección de Asuntos Legales, en aras de dar cumplimiento a la acción se encuentra trabajando en  la versión 12 del manual de contratación.  Se adjunta proyecto trabajado.  </t>
  </si>
  <si>
    <t>10/15/2023</t>
  </si>
  <si>
    <t>10/05/2023: En la versión 12 del manual de contratación GAL-MN-01 V12 se incorporó el capítulo VII denominado GARANTÍAS, el cual desarrolla entre otros aspectos: el tema de las REGLAS GENERALES DE LAS GARANTÍAS. Igualmente el el texto de este manual,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en el contenido del manual, se toca el tema de las pólizas, frente a su consticuión y aprobación, entre otros aspectos. (Se adjunta evidencia: manual de supervisión e interventoría). ACCIÓN CUMPLIDA.</t>
  </si>
  <si>
    <t xml:space="preserve">Incluir la revisión de estudios previos y modificaciones previa a la publicación de los diferentes procesos de selección en el comité de contratación </t>
  </si>
  <si>
    <t>Mediante correo electrónico del 27/02/2023, se colocó bajo conocimiento del líder del grupo de contratos, entre otros aspectos, las acciones incorporadas en el mapa para el manejo de riesgos de la SAL para la vigencia 2023, con la finalidad de dar cumplimiento a las mismas.</t>
  </si>
  <si>
    <t>ELIMINADA EN COMITE INSTITUCIONAL DE GESTIÓN Y DESEMPEÑO DEL 31/03/2023</t>
  </si>
  <si>
    <t> </t>
  </si>
  <si>
    <t>ACION ELIMINADA POR EL CIGD</t>
  </si>
  <si>
    <t>Verificacion aleatoria de al menos uno de los certificados entregados por los oferentes</t>
  </si>
  <si>
    <t xml:space="preserve">Subdirector de Asunto Legales y Líder de contratación y equipo evaluador </t>
  </si>
  <si>
    <t>9/03/20123
13/04/2023</t>
  </si>
  <si>
    <t xml:space="preserve">Acción en ejecución 
Acción en ejecución </t>
  </si>
  <si>
    <t xml:space="preserve">13/06/2023
11/07/203
</t>
  </si>
  <si>
    <r>
      <rPr>
        <b/>
        <sz val="10"/>
        <color rgb="FF000000"/>
        <rFont val="Arial Narrow"/>
        <family val="2"/>
      </rPr>
      <t>13/06/2023:</t>
    </r>
    <r>
      <rPr>
        <sz val="10"/>
        <color rgb="FF000000"/>
        <rFont val="Arial Narrow"/>
        <family val="2"/>
      </rPr>
      <t xml:space="preserve"> Acción pendiente de ejecución
</t>
    </r>
    <r>
      <rPr>
        <b/>
        <sz val="10"/>
        <color rgb="FF000000"/>
        <rFont val="Arial Narrow"/>
        <family val="2"/>
      </rPr>
      <t>11/07/2023:</t>
    </r>
    <r>
      <rPr>
        <sz val="10"/>
        <color rgb="FF000000"/>
        <rFont val="Arial Narrow"/>
        <family val="2"/>
      </rPr>
      <t xml:space="preserve"> Acción pendiente de ejecución</t>
    </r>
  </si>
  <si>
    <t>10/08/2023: Acción pendiente
10/09/2023: Se está validando con la OAP, el alcance de la acción, pues la misma fue incorporada por el CIGD. Lo anterior, en razón a que son varios los certificados que los proponentes presentan.</t>
  </si>
  <si>
    <t>Durante el trimestre no se requirió la ejecución de la acción por lo que está en proceso</t>
  </si>
  <si>
    <t>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</si>
  <si>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favorecer indebidamente intereses de terceros por la generación de conceptos jurídicos inadecuados por amiguismos, clientelismo o tráfico de influencias</t>
  </si>
  <si>
    <t>Generación de conceptos jurídicos inadecuados</t>
  </si>
  <si>
    <t>Amiguismo o clientelismo y tráfico de influencias</t>
  </si>
  <si>
    <t>Revisión y aprobación por parte del líder del proceso de los fundamentos jurídicos de los conceptos</t>
  </si>
  <si>
    <t xml:space="preserve">Solicitar a los integrantes del grupo de conceptos, reporte conflicto de intereses SIDEAP, cada vez que deba ser actualizado de acuerdo con la normativa vigente o cuando se presente alguna situación que así lo amerite.  </t>
  </si>
  <si>
    <t>Líder del grupo de conceptos y Subdirector de Asuntos Legales</t>
  </si>
  <si>
    <r>
      <rPr>
        <b/>
        <sz val="10"/>
        <color rgb="FF000000"/>
        <rFont val="Arial Narrow"/>
        <family val="2"/>
      </rPr>
      <t>09/03/2023</t>
    </r>
    <r>
      <rPr>
        <sz val="10"/>
        <color rgb="FF000000"/>
        <rFont val="Arial Narrow"/>
        <family val="2"/>
      </rPr>
      <t xml:space="preserve">. En el mes de julio de 2023, se solicitará el reporte de conflio de intereses, a los integrantes del grupo de conceptos, a menos que se presente alguna situación que amerite elavar la solicitud con anterioridad
</t>
    </r>
    <r>
      <rPr>
        <b/>
        <sz val="10"/>
        <color rgb="FF000000"/>
        <rFont val="Arial Narrow"/>
        <family val="2"/>
      </rPr>
      <t>13/04/2023</t>
    </r>
    <r>
      <rPr>
        <sz val="10"/>
        <color rgb="FF000000"/>
        <rFont val="Arial Narrow"/>
        <family val="2"/>
      </rPr>
      <t xml:space="preserve">. Acción en ejecución </t>
    </r>
  </si>
  <si>
    <r>
      <t xml:space="preserve">10/05/2023: En el mes de julio de 2023 se solicitará a los integrantes del grupo de conceptos  resoluciones, el reporte de conflictos e intereses, a menos que se amerite requerir este documento con anterioridad. 
</t>
    </r>
    <r>
      <rPr>
        <b/>
        <sz val="10"/>
        <color rgb="FF000000"/>
        <rFont val="Arial Narrow"/>
        <family val="2"/>
      </rPr>
      <t>13/06/2023</t>
    </r>
    <r>
      <rPr>
        <sz val="10"/>
        <color rgb="FF000000"/>
        <rFont val="Arial Narrow"/>
        <family val="2"/>
      </rPr>
      <t xml:space="preserve">: En el mes de julio, se  se solicitará a los integrantes del grupo de conceptos  resoluciones, el reporte de conflictos e intereses, a menos que se amerite requerir este documento con anterioridad. 
</t>
    </r>
    <r>
      <rPr>
        <b/>
        <sz val="10"/>
        <color rgb="FF000000"/>
        <rFont val="Arial Narrow"/>
        <family val="2"/>
      </rPr>
      <t>11/07/2023</t>
    </r>
    <r>
      <rPr>
        <sz val="10"/>
        <color rgb="FF000000"/>
        <rFont val="Arial Narrow"/>
        <family val="2"/>
      </rPr>
      <t xml:space="preserve">: Previa solicitud, los integrantes del grupo de conceptos  presentaron y entregaron la declaración de conflctos de intereses del SIDEAP
</t>
    </r>
    <r>
      <rPr>
        <b/>
        <sz val="10"/>
        <color rgb="FF000000"/>
        <rFont val="Arial Narrow"/>
        <family val="2"/>
      </rPr>
      <t>11/07/2023</t>
    </r>
    <r>
      <rPr>
        <sz val="10"/>
        <color rgb="FF000000"/>
        <rFont val="Arial Narrow"/>
        <family val="2"/>
      </rPr>
      <t>: Previa solicitud, los integrantes del grupo de conceptos  presentaron y entregaron la declaración de conflctos de intereses del SIDEAP.</t>
    </r>
  </si>
  <si>
    <t>13/03/2023
13/04/2023</t>
  </si>
  <si>
    <r>
      <rPr>
        <b/>
        <sz val="10"/>
        <color rgb="FF000000"/>
        <rFont val="Arial Narrow"/>
        <family val="2"/>
      </rPr>
      <t>13/03/2023</t>
    </r>
    <r>
      <rPr>
        <sz val="10"/>
        <color rgb="FF000000"/>
        <rFont val="Arial Narrow"/>
        <family val="2"/>
      </rPr>
      <t xml:space="preserve">. En lo que va corrido de la vigencia 2023, se han emitido los siguientes conceptos jurídicos: </t>
    </r>
    <r>
      <rPr>
        <b/>
        <sz val="10"/>
        <color rgb="FF000000"/>
        <rFont val="Arial Narrow"/>
        <family val="2"/>
      </rPr>
      <t>1.</t>
    </r>
    <r>
      <rPr>
        <sz val="10"/>
        <color rgb="FF000000"/>
        <rFont val="Arial Narrow"/>
        <family val="2"/>
      </rPr>
      <t xml:space="preserve"> Rad 2023000000513, naturaleza jurídica de los recursos de aseo y su manejo; </t>
    </r>
    <r>
      <rPr>
        <b/>
        <sz val="10"/>
        <color rgb="FF000000"/>
        <rFont val="Arial Narrow"/>
        <family val="2"/>
      </rPr>
      <t>2.</t>
    </r>
    <r>
      <rPr>
        <sz val="10"/>
        <color rgb="FF000000"/>
        <rFont val="Arial Narrow"/>
        <family val="2"/>
      </rPr>
      <t xml:space="preserve"> Rad  20236000007343 alternativas jurídicas avance proceso acordado con ASOPROGAN. </t>
    </r>
    <r>
      <rPr>
        <b/>
        <sz val="10"/>
        <color rgb="FF000000"/>
        <rFont val="Arial Narrow"/>
        <family val="2"/>
      </rPr>
      <t xml:space="preserve">3. </t>
    </r>
    <r>
      <rPr>
        <sz val="10"/>
        <color rgb="FF000000"/>
        <rFont val="Arial Narrow"/>
        <family val="2"/>
      </rPr>
      <t>Rad</t>
    </r>
    <r>
      <rPr>
        <b/>
        <sz val="10"/>
        <color rgb="FF000000"/>
        <rFont val="Arial Narrow"/>
        <family val="2"/>
      </rPr>
      <t xml:space="preserve"> </t>
    </r>
    <r>
      <rPr>
        <sz val="10"/>
        <color rgb="FF000000"/>
        <rFont val="Arial Narrow"/>
        <family val="2"/>
      </rPr>
      <t xml:space="preserve">201236000003713 relacionado con Promoambiental Distrito SAS ESP,  documentos que  contienen los parametros requeridos para la emisión de los conceptos jurídicos 
</t>
    </r>
    <r>
      <rPr>
        <b/>
        <sz val="10"/>
        <color rgb="FF000000"/>
        <rFont val="Arial Narrow"/>
        <family val="2"/>
      </rPr>
      <t>13/04/2023</t>
    </r>
    <r>
      <rPr>
        <sz val="10"/>
        <color rgb="FF000000"/>
        <rFont val="Arial Narrow"/>
        <family val="2"/>
      </rPr>
      <t xml:space="preserve"> Durante el seguimiento: se emitieron tres ( 3) conceptos: 1.Rad. 20236000029033 Respuesta concepto jurídico pago Contrato de Interventoría 508 de 2021. 2. Rad 20236000034396 respuesta concepto juridico respecto a la expedicion decreto linea base PGIRS. 3. Ra :20236000034773 concepto juridico de Respuesta a solicitud de concepto contratista incapacitado.</t>
    </r>
  </si>
  <si>
    <t>Grupo conceptos y resoluciones</t>
  </si>
  <si>
    <t>Conceptos jurídicos emitidos</t>
  </si>
  <si>
    <r>
      <t xml:space="preserve">10/05/2023 En el mes de abril se emitieron los siguientes conceptos: 1. 20236000047353_CONCEPTO JURIDICO PROPIEDADES CEMENTERIOS_DEVOLUCION
2. 20236000047373_CONCEPTO JURIDICO BANCO DE PROYECTOS PLAN DE GESTIÓN SOCIAL
3. 20236000047803_CONCEPTO INTERPRETACION ANEXO 4 CTTO 283-2018_DEVOLUCION
</t>
    </r>
    <r>
      <rPr>
        <b/>
        <sz val="10"/>
        <color rgb="FF000000"/>
        <rFont val="Arial Narrow"/>
        <family val="2"/>
      </rPr>
      <t>13/06/2023:</t>
    </r>
    <r>
      <rPr>
        <sz val="10"/>
        <color rgb="FF000000"/>
        <rFont val="Arial Narrow"/>
        <family val="2"/>
      </rPr>
      <t xml:space="preserve"> De conformidad con lo manifestado mediante correo electrónico del 6/06/2023, durante el curso del mes de mayo de 2023, no se expidieron conceptps jurídicos
</t>
    </r>
    <r>
      <rPr>
        <b/>
        <sz val="10"/>
        <color rgb="FF000000"/>
        <rFont val="Arial Narrow"/>
        <family val="2"/>
      </rPr>
      <t>11/07/2023:</t>
    </r>
    <r>
      <rPr>
        <sz val="10"/>
        <color rgb="FF000000"/>
        <rFont val="Arial Narrow"/>
        <family val="2"/>
      </rPr>
      <t xml:space="preserve"> De conformidad con lo manifestado por la líder del grupo , durante el curso del mes de junio de 2023, no se expidieron conceptos jurídicos.</t>
    </r>
  </si>
  <si>
    <r>
      <t xml:space="preserve">10/08/2023: En el curso del mes de julio de 2023, el grupo de conceptos emitió los siguientes conceptos jurídicos:  </t>
    </r>
    <r>
      <rPr>
        <b/>
        <sz val="10"/>
        <color rgb="FF000000"/>
        <rFont val="Arial Narrow"/>
        <family val="2"/>
      </rPr>
      <t>1.</t>
    </r>
    <r>
      <rPr>
        <sz val="10"/>
        <color rgb="FF000000"/>
        <rFont val="Arial Narrow"/>
        <family val="2"/>
      </rPr>
      <t xml:space="preserve"> Rad 20236000079493, figura jurídica para la asignación de composteras en el marco del contrato 843 de 2022. </t>
    </r>
    <r>
      <rPr>
        <b/>
        <sz val="10"/>
        <color rgb="FF000000"/>
        <rFont val="Arial Narrow"/>
        <family val="2"/>
      </rPr>
      <t xml:space="preserve">2. </t>
    </r>
    <r>
      <rPr>
        <sz val="10"/>
        <color rgb="FF000000"/>
        <rFont val="Arial Narrow"/>
        <family val="2"/>
      </rPr>
      <t xml:space="preserve">Rad 20236000074813, relacionado con la concesión de aseo. Se adjuntan conceptos
10/09/2023. En el mes de agosto  se emitiel concepto relacionado con "RESPUESTA A SOLICITUD CONCEPTO TRATAMIENTO PROPIEDADES PRIVADAS CEMENTERIOS PROPIEDAD DEL DISTRITO". Se adjunta Radicado 20236000097753 de 2023 </t>
    </r>
  </si>
  <si>
    <t xml:space="preserve">Generar la alerta ante las instancias competentes   frente a la presunta existencia de actos de corrupción </t>
  </si>
  <si>
    <t xml:space="preserve">Durante el trimestre no se requirió la ejecución de la acción por lo que está en proceso
Se realizó seguimiento a la acción y se aportaron las evidencias correspondientes </t>
  </si>
  <si>
    <t>Informe de resultados de la revisión cuatrimestral aleatoria del 10% de los conceptos proferidos frente al cumplimiento de los requisitos legales vigentes</t>
  </si>
  <si>
    <r>
      <rPr>
        <b/>
        <sz val="10"/>
        <color rgb="FF000000"/>
        <rFont val="Arial Narrow"/>
        <family val="2"/>
      </rPr>
      <t>09/03/2023</t>
    </r>
    <r>
      <rPr>
        <sz val="10"/>
        <color rgb="FF000000"/>
        <rFont val="Arial Narrow"/>
        <family val="2"/>
      </rPr>
      <t xml:space="preserve">. Acción en ejecución
</t>
    </r>
    <r>
      <rPr>
        <b/>
        <sz val="10"/>
        <color rgb="FF000000"/>
        <rFont val="Arial Narrow"/>
        <family val="2"/>
      </rPr>
      <t>13/04/2023 A</t>
    </r>
    <r>
      <rPr>
        <sz val="10"/>
        <color rgb="FF000000"/>
        <rFont val="Arial Narrow"/>
        <family val="2"/>
      </rPr>
      <t xml:space="preserve">ccion en ejecución </t>
    </r>
  </si>
  <si>
    <r>
      <rPr>
        <b/>
        <sz val="9"/>
        <color rgb="FF000000"/>
        <rFont val="Arial Narrow"/>
        <family val="2"/>
      </rPr>
      <t>10/05/2023:</t>
    </r>
    <r>
      <rPr>
        <sz val="9"/>
        <color rgb="FF000000"/>
        <rFont val="Arial Narrow"/>
        <family val="2"/>
      </rPr>
      <t xml:space="preserve"> Se elaboró informe cuatrimestral en el cual se efectuó el análisis, generándose la correspondiente conclusión. Destaca el comentario según el cual se expresa que cuatro conceptos jurídicos fueron devueltos por no cumplir con los requisitos estanblecidos en el procedimiento de coceptos y sus formatos, situación que evidencia aplicación de controles que permiten fortalezar la calidad de la ejeución de la actividad.</t>
    </r>
  </si>
  <si>
    <t>Informe</t>
  </si>
  <si>
    <t xml:space="preserve">10/09/2023 Se elaboró informe cuatrimestral en el cual se efectuó el análisis, generándose la correspondiente conclusión "...para la emisión de los conceptos jurídicos (...) se cumplieron los requisitos para su estudio jurídico y posterior emisión. (...) " Sin embargo, se devolvió una solicitud , por no cumplir con los paramtetros exigidos, situación  que evidencia aplicación de controles, en la ejecución de la actividad. </t>
  </si>
  <si>
    <t xml:space="preserve">Solicitar a la instancia superior correspondiente la reasignación  de la responsabilidad de la ejecución de la actividad involucrada de manera provisional a otro responsable competente, mientras se esclarecen los hechos, cuando aplique </t>
  </si>
  <si>
    <t>Descripción Activos de Información</t>
  </si>
  <si>
    <t>Tipo de Activos / Grupo de Activos</t>
  </si>
  <si>
    <t>Amenaza</t>
  </si>
  <si>
    <t>Vulnerabilidad</t>
  </si>
  <si>
    <t>Tipo de Riesgo Digital</t>
  </si>
  <si>
    <t>¿Tiene responsabe asignbado?</t>
  </si>
  <si>
    <t>Posibilidad de pérdida de la información por daño en equipos de cómputo, hardware o software, en donde se encuentran almacenados la información contractual de la Unidad</t>
  </si>
  <si>
    <t>Documentos con información contractual</t>
  </si>
  <si>
    <t>Información</t>
  </si>
  <si>
    <t>Reputacional</t>
  </si>
  <si>
    <t>Mal funcionamiento del equipo</t>
  </si>
  <si>
    <t>Falta de redundancia (copia única)</t>
  </si>
  <si>
    <t>Daños Activos Fisicos</t>
  </si>
  <si>
    <t>Perdida de disponibilidad</t>
  </si>
  <si>
    <r>
      <rPr>
        <sz val="9"/>
        <color rgb="FFFF0000"/>
        <rFont val="Arial Narrow"/>
        <family val="2"/>
      </rPr>
      <t xml:space="preserve">Solicitar mensualmente a la Oficina de Tic, la realización de backup de la información contractual
</t>
    </r>
    <r>
      <rPr>
        <sz val="9"/>
        <color rgb="FF000000"/>
        <rFont val="Arial Narrow"/>
        <family val="2"/>
      </rPr>
      <t xml:space="preserve">
Verificar mensualmente el control de acceso a los documentos que contienen la información contractual (AJUSTE APROBADO POR EL CIGD EL 25/08/2023)</t>
    </r>
  </si>
  <si>
    <t>Automático</t>
  </si>
  <si>
    <r>
      <rPr>
        <sz val="9"/>
        <color rgb="FFFF0000"/>
        <rFont val="Arial Narrow"/>
        <family val="2"/>
      </rPr>
      <t xml:space="preserve">Solicitar la creación de un repositorio para el almacenamiento de la información de gestión contractual
</t>
    </r>
    <r>
      <rPr>
        <sz val="9"/>
        <color rgb="FF000000"/>
        <rFont val="Arial Narrow"/>
        <family val="2"/>
      </rPr>
      <t xml:space="preserve">
Solicitar a la Oficina de Tic, concepto sobre la periodicidad en la que efectúan la copia de seguridad de la información contractual (AJUSTE APROBADO POR EL CIGD EL 25/08/2023)</t>
    </r>
  </si>
  <si>
    <r>
      <rPr>
        <b/>
        <sz val="9"/>
        <color rgb="FF000000"/>
        <rFont val="Arial Narrow"/>
        <family val="2"/>
      </rPr>
      <t>13/03/2023</t>
    </r>
    <r>
      <rPr>
        <sz val="9"/>
        <color rgb="FF000000"/>
        <rFont val="Arial Narrow"/>
        <family val="2"/>
      </rPr>
      <t xml:space="preserve">. Mediante correo del 13/03/2023 el grupo de contratos de la SAL solicita a la Oficina de Tic apoyo para la creación del repositorio para el almacenamiento de la información contractual.
</t>
    </r>
    <r>
      <rPr>
        <b/>
        <sz val="9"/>
        <color rgb="FF000000"/>
        <rFont val="Arial Narrow"/>
        <family val="2"/>
      </rPr>
      <t>13/04/2023</t>
    </r>
    <r>
      <rPr>
        <sz val="9"/>
        <color rgb="FF000000"/>
        <rFont val="Arial Narrow"/>
        <family val="2"/>
      </rPr>
      <t>: Desde la Subdirección de Asuntos Legales  mediante correo electronico se reitera a la OTIC, la necesidad de realizar la copia de seguridad de respaldo como aseguramiento de la información.</t>
    </r>
  </si>
  <si>
    <t>10/05/2023
13/06/2023</t>
  </si>
  <si>
    <t>10/05/2023: La SAL solicitó reunióin a la Oficina de TIC, en la cual se va abordar la creación del repositorio de los archivos que contienen información contractual (se tienen archivos desde el año 2000), la cual se llevó a cabo el 17/05/2023. Igualmente, se pidió a la Oficina deTic, respondiera los correos enviandos por la SAL, en los cuales se solicitó lineamientos para la creación del repositorio. Dicho correo es de fecha 18/05/2023
13/06/2023: Pantalla cargue archivos con bases de contratos 2000 - 2022 en sitio creado por la Otic como repositorio de la información contractual.
ACCIÓN CUMPLIDA.</t>
  </si>
  <si>
    <t>ACCION CUMPLIDA SEGUNDO TRIMESTRE
10/09/2023: Esta acción fue aprobada por el CIGD el 25/08/2023, por lo que su ejecución se realizará a partir del mes de septiembre de 2023.</t>
  </si>
  <si>
    <r>
      <rPr>
        <b/>
        <sz val="9"/>
        <color rgb="FF000000"/>
        <rFont val="Arial Narrow"/>
        <family val="2"/>
      </rPr>
      <t>13/03/2023</t>
    </r>
    <r>
      <rPr>
        <sz val="9"/>
        <color rgb="FF000000"/>
        <rFont val="Arial Narrow"/>
        <family val="2"/>
      </rPr>
      <t xml:space="preserve">. Mediante correo del 13/03/2023 el grupo de contratos de la SAL solicita a la Oficina de Tic apoyo para la  realizar el backup  y la creación del bakup de la información contractual.
</t>
    </r>
    <r>
      <rPr>
        <b/>
        <sz val="9"/>
        <color rgb="FF000000"/>
        <rFont val="Arial Narrow"/>
        <family val="2"/>
      </rPr>
      <t xml:space="preserve">13/04/2023: </t>
    </r>
    <r>
      <rPr>
        <sz val="9"/>
        <color rgb="FF000000"/>
        <rFont val="Arial Narrow"/>
        <family val="2"/>
      </rPr>
      <t>Desde la Subdirección de Asuntos Legales  mediante correo electronico se reitera a la OTIC, la necesidad de realizar la copia de seguridad de respaldo como aseguramiento de la información.</t>
    </r>
  </si>
  <si>
    <t>Líder grupo de contratos</t>
  </si>
  <si>
    <t>*Correo electrónico del 13/03/2023 dirigido a la OTic, solicitando el bakup de la información contractual.
*Correo electrónico del 31/03/2023 dirigido a la OTIC, reiterando solicitud bakup de la información contractual.</t>
  </si>
  <si>
    <r>
      <t xml:space="preserve">10/05/2023: La SAL solicitó reunióin a la Oficina de TIC, en la cual se va abordar la creación del bakup de los archivos que contienen información contractual, la cual se llevó a cabo el 17/05/2023. Igualmente, se pidió a la Oficina deTic, respondiera los correos enviandos por la SAL, en los cuales se solicitó lineamientos para la creación del bakup. Dicho correo es de fecha 18/05/2023
</t>
    </r>
    <r>
      <rPr>
        <b/>
        <sz val="9"/>
        <color rgb="FF000000"/>
        <rFont val="Arial Narrow"/>
        <family val="2"/>
      </rPr>
      <t>13/06/2023</t>
    </r>
    <r>
      <rPr>
        <sz val="9"/>
        <color rgb="FF000000"/>
        <rFont val="Arial Narrow"/>
        <family val="2"/>
      </rPr>
      <t xml:space="preserve">: Con el apoyo de la Oficina de Tic, se generó un espacio en carpeta en la cual se realiza la copi de respaldo o el backup de la base de contratos del año 2023
</t>
    </r>
    <r>
      <rPr>
        <b/>
        <sz val="9"/>
        <color rgb="FF000000"/>
        <rFont val="Arial Narrow"/>
        <family val="2"/>
      </rPr>
      <t>11/07/2023</t>
    </r>
    <r>
      <rPr>
        <sz val="9"/>
        <color rgb="FF000000"/>
        <rFont val="Arial Narrow"/>
        <family val="2"/>
      </rPr>
      <t xml:space="preserve">: Con el apoyo de la Oficina de Tic, se generó un espacio en carpeta en la cual se realiza la copia de respaldo o el backup de la base de contratos del año 2023.
Nota: Atendiendo recomendación de la OAP según reunión del 20/06/2023, se está realizando la modificación del control, pues ya no se hace necesario remitir correo a la Oficina de Tic, solicitando la realización del Backup.
</t>
    </r>
  </si>
  <si>
    <t>Líder grupo contratos</t>
  </si>
  <si>
    <t>10/05/2023: No aplica en esta oportunidad
13/06/2023: Pantalla cargue archivo base de contratos 2023 en sitio creado por la Otic para el respaldo de la información.</t>
  </si>
  <si>
    <t>10/08/2023: Como quiera que ya se creó el espacio para realizar los respaldo de la información contractual, vigencia 2023 y,  teniendo en cuenta recomendación de la segunda línea de defensa, mediante acta de reunión del 24/07/2023, se solicitó a la OAP, la modificación del control, a través de correo electronicodel 27/07/2023, Se adjunta acta y correo  
10/09/2023: Este control fue aprobado por el CIGD el 25/08/2023, por lo que su ejecución se realizará a partir del mes de septiembre de 2023.</t>
  </si>
  <si>
    <t>Pantalla con archivos gestión contractual en zona de respaldo.
Acta-Correo</t>
  </si>
  <si>
    <t>Solicitud a la Oficina de Tic, de revisión del disco duro del computador para recuperación de la información</t>
  </si>
  <si>
    <t xml:space="preserve">Se realiza seguimiento a la acción y los soportes son coherentes con lo reportado
Se realiza seguimiento a la acción y los soportes son coherentes con lo reportado  </t>
  </si>
  <si>
    <t>Solicitud a la Oficina de Tic, del último backup de los documentos que contienen  información contractual.</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</si>
  <si>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</si>
  <si>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</si>
  <si>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</si>
  <si>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</si>
  <si>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</si>
  <si>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</si>
  <si>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</si>
  <si>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Unificación de doctrina al interior de la Unidad</t>
  </si>
  <si>
    <t>Debilidad al momento de presentar datos exactos respecto de los temas abordados en los conceptos emitidos por la SAL</t>
  </si>
  <si>
    <t>Diseñar base de datos para la emisión de conceptos jurídicos</t>
  </si>
  <si>
    <t>Líder grupo de conceptos</t>
  </si>
  <si>
    <r>
      <rPr>
        <sz val="10"/>
        <color rgb="FF000000"/>
        <rFont val="Arial Narrow"/>
        <family val="2"/>
      </rPr>
      <t xml:space="preserve">Mediante correo del 2 de marzo de 2023 la SAL solicitó a la Oficina de Tic, la asignación de personal para dar continuidad a la actiivdad relacionada con el diseño de la base de datos para la emisión de conceptos.
</t>
    </r>
    <r>
      <rPr>
        <b/>
        <sz val="10"/>
        <color rgb="FF000000"/>
        <rFont val="Arial Narrow"/>
        <family val="2"/>
      </rPr>
      <t xml:space="preserve">13/04/2023. </t>
    </r>
    <r>
      <rPr>
        <sz val="10"/>
        <color rgb="FF000000"/>
        <rFont val="Arial Narrow"/>
        <family val="2"/>
      </rPr>
      <t>Acción en ejecución</t>
    </r>
  </si>
  <si>
    <r>
      <rPr>
        <b/>
        <sz val="9"/>
        <color rgb="FF000000"/>
        <rFont val="Arial Narrow"/>
        <family val="2"/>
      </rPr>
      <t>10/05/2023:</t>
    </r>
    <r>
      <rPr>
        <sz val="9"/>
        <color rgb="FF000000"/>
        <rFont val="Arial Narrow"/>
        <family val="2"/>
      </rPr>
      <t xml:space="preserve"> La SAL solicitó reunióin a la Oficina de TIC, en la cual se va abordar la creación del aplicativo para la emisión de cncpetos jurídicos, la cual se va a llevar a cabo el 17/05/2023. Igualmente se pidió a la Oficina de Tic, responder los correos enviados por la SAL, relacionados con el estado del avance del apoyo brindado por esa dependencia, para la creación del aplicativo que nos ocupa
</t>
    </r>
    <r>
      <rPr>
        <b/>
        <sz val="9"/>
        <color rgb="FF000000"/>
        <rFont val="Arial Narrow"/>
        <family val="2"/>
      </rPr>
      <t>13/06/2023:</t>
    </r>
    <r>
      <rPr>
        <sz val="9"/>
        <color rgb="FF000000"/>
        <rFont val="Arial Narrow"/>
        <family val="2"/>
      </rPr>
      <t xml:space="preserve"> De conformidad con lo conversado en la reunión del 17/05/2023 sostenida entre personal de Otic y de la SAL, aquella oficina requiere de la autorización de la contratación de otro desarrollador de orfeo para poder dar continuidad a la ejecución de la acción.
</t>
    </r>
    <r>
      <rPr>
        <b/>
        <sz val="9"/>
        <color rgb="FF000000"/>
        <rFont val="Arial Narrow"/>
        <family val="2"/>
      </rPr>
      <t>11/07/2023</t>
    </r>
    <r>
      <rPr>
        <sz val="9"/>
        <color rgb="FF000000"/>
        <rFont val="Arial Narrow"/>
        <family val="2"/>
      </rPr>
      <t>: La Oficina de Tic, está a la espera de la autorización de la contratación de desarrollador de orfeo, profesional indispensable para el desarrollo de la actividad.</t>
    </r>
  </si>
  <si>
    <t>10/08/2023: Pendiente contratación de desarrollador de orfeo para dar continuidad a la actividad
10/09/2023: Pendiente designación persona que adelante la actividad</t>
  </si>
  <si>
    <t>Se realiza seguimiento a la acción y los soportes son coherentes con lo reportado
Se realiza seguimiento a la acción y los soportes son coherentes con lo reportado</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</si>
  <si>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</si>
  <si>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</si>
  <si>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</si>
  <si>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</si>
  <si>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</si>
  <si>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</si>
  <si>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</si>
  <si>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</si>
  <si>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</si>
  <si>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</si>
  <si>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</si>
  <si>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</si>
  <si>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</si>
  <si>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</si>
  <si>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</si>
  <si>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</si>
  <si>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</si>
  <si>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</si>
  <si>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</si>
  <si>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</si>
  <si>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</si>
  <si>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</si>
  <si>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</si>
  <si>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</si>
  <si>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</si>
  <si>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</si>
  <si>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</si>
  <si>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</si>
  <si>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</si>
  <si>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</si>
  <si>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</si>
  <si>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</si>
  <si>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</si>
  <si>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</si>
  <si>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</si>
  <si>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</si>
  <si>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</si>
  <si>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</si>
  <si>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</si>
  <si>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</si>
  <si>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</si>
  <si>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</si>
  <si>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</si>
  <si>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</si>
  <si>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</si>
  <si>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</si>
  <si>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</si>
  <si>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</si>
  <si>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</si>
  <si>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</si>
  <si>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</si>
  <si>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</si>
  <si>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</si>
  <si>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</si>
  <si>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</si>
  <si>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</si>
  <si>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</si>
  <si>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</si>
  <si>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</si>
  <si>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</si>
  <si>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</si>
  <si>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</si>
  <si>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</si>
  <si>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</si>
  <si>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</si>
  <si>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</si>
  <si>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</si>
  <si>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</si>
  <si>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</si>
  <si>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</si>
  <si>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</si>
  <si>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</si>
  <si>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</si>
  <si>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</si>
  <si>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</si>
  <si>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</si>
  <si>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</si>
  <si>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</si>
  <si>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</si>
  <si>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</si>
  <si>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</si>
  <si>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</si>
  <si>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</si>
  <si>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</si>
  <si>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</si>
  <si>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</si>
  <si>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</si>
  <si>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</si>
  <si>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</si>
  <si>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</si>
  <si>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</si>
  <si>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</si>
  <si>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</si>
  <si>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</si>
  <si>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</si>
  <si>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</si>
  <si>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</si>
  <si>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</si>
  <si>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</si>
  <si>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</si>
  <si>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</si>
  <si>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</si>
  <si>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</si>
  <si>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</si>
  <si>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</si>
  <si>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</si>
  <si>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</si>
  <si>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</si>
  <si>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</si>
  <si>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</si>
  <si>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</si>
  <si>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</si>
  <si>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</si>
  <si>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</si>
  <si>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</si>
  <si>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</si>
  <si>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</si>
  <si>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</si>
  <si>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</si>
  <si>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</si>
  <si>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</si>
  <si>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</si>
  <si>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</si>
  <si>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</si>
  <si>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</si>
  <si>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</si>
  <si>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</si>
  <si>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</si>
  <si>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</si>
  <si>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</si>
  <si>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</si>
  <si>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</si>
  <si>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</si>
  <si>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</si>
  <si>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</si>
  <si>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</si>
  <si>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</si>
  <si>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</si>
  <si>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</si>
  <si>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</si>
  <si>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</si>
  <si>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</si>
  <si>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</si>
  <si>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</si>
  <si>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</si>
  <si>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</si>
  <si>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</si>
  <si>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</si>
  <si>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</si>
  <si>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</si>
  <si>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</si>
  <si>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</si>
  <si>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</si>
  <si>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</si>
  <si>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</si>
  <si>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</si>
  <si>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</si>
  <si>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</si>
  <si>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</si>
  <si>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</si>
  <si>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</si>
  <si>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</si>
  <si>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</si>
  <si>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</si>
  <si>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</si>
  <si>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</si>
  <si>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</si>
  <si>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</si>
  <si>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</si>
  <si>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</si>
  <si>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</si>
  <si>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</si>
  <si>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</si>
  <si>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</si>
  <si>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</si>
  <si>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</si>
  <si>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</si>
  <si>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</si>
  <si>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</si>
  <si>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</si>
  <si>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</si>
  <si>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</si>
  <si>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</si>
  <si>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</si>
  <si>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</si>
  <si>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</si>
  <si>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</si>
  <si>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</si>
  <si>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</si>
  <si>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</si>
  <si>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</si>
  <si>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</si>
  <si>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</si>
  <si>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</si>
  <si>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</si>
  <si>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</si>
  <si>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</si>
  <si>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</si>
  <si>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</si>
  <si>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</si>
  <si>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</si>
  <si>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</si>
  <si>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</si>
  <si>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</si>
  <si>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</si>
  <si>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</si>
  <si>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</si>
  <si>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</si>
  <si>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</si>
  <si>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</si>
  <si>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</si>
  <si>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</si>
  <si>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</si>
  <si>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</si>
  <si>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</si>
  <si>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</si>
  <si>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</si>
  <si>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</si>
  <si>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</si>
  <si>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</si>
  <si>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</si>
  <si>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</si>
  <si>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Confidencialidad</t>
  </si>
  <si>
    <t>Perdidad de Integridad</t>
  </si>
  <si>
    <t>Aceptar</t>
  </si>
  <si>
    <t>Económico</t>
  </si>
  <si>
    <t>Evitar</t>
  </si>
  <si>
    <t>Reducir (compartir)</t>
  </si>
  <si>
    <t>Plan de accion (solo para la opción reducir)</t>
  </si>
  <si>
    <t>Finalizado</t>
  </si>
  <si>
    <t>Fallas Tecnologicas</t>
  </si>
  <si>
    <t>Relaciones Laborales</t>
  </si>
  <si>
    <t>Usuarios, productos y practicas , organizacionales</t>
  </si>
  <si>
    <t>Solicitud de ajuste</t>
  </si>
  <si>
    <t>Fraude Externo</t>
  </si>
  <si>
    <t>Lavado de Activos</t>
  </si>
  <si>
    <t>Financiación del terrorismo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</si>
  <si>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</si>
  <si>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</si>
  <si>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</si>
  <si>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</si>
  <si>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</si>
  <si>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</si>
  <si>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</si>
  <si>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</si>
  <si>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</si>
  <si>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</si>
  <si>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</si>
  <si>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</si>
  <si>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</si>
  <si>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</si>
  <si>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</si>
  <si>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</si>
  <si>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</si>
  <si>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</si>
  <si>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</si>
  <si>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</si>
  <si>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</si>
  <si>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</si>
  <si>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</si>
  <si>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</si>
  <si>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</si>
  <si>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</si>
  <si>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</si>
  <si>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</si>
  <si>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</si>
  <si>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</si>
  <si>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</si>
  <si>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</si>
  <si>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</si>
  <si>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11/05/2023
13/09/2023</t>
  </si>
  <si>
    <r>
      <rPr>
        <b/>
        <sz val="12"/>
        <color theme="1"/>
        <rFont val="Arial Narrow"/>
        <family val="2"/>
      </rPr>
      <t xml:space="preserve">JAG: </t>
    </r>
    <r>
      <rPr>
        <sz val="12"/>
        <color theme="1"/>
        <rFont val="Arial Narrow"/>
        <family val="2"/>
      </rPr>
      <t xml:space="preserve">Se realizó el seguimiento del control y se evidencia el cumplimiento.
</t>
    </r>
    <r>
      <rPr>
        <b/>
        <sz val="12"/>
        <color theme="1"/>
        <rFont val="Arial Narrow"/>
        <family val="2"/>
      </rPr>
      <t xml:space="preserve">13/09/2023 - OCL: </t>
    </r>
    <r>
      <rPr>
        <sz val="12"/>
        <color theme="1"/>
        <rFont val="Arial Narrow"/>
        <family val="2"/>
      </rPr>
      <t xml:space="preserve">De acuerdo con la revisión de la siguiente evidencia correspondiente al mes de agosto: 
</t>
    </r>
    <r>
      <rPr>
        <i/>
        <sz val="12"/>
        <color theme="1"/>
        <rFont val="Arial Narrow"/>
        <family val="2"/>
      </rPr>
      <t>- ACTA 10 DE AGOSTO DE 2023 COMITÉ DE CONTRATACIÓN.PDF</t>
    </r>
    <r>
      <rPr>
        <sz val="12"/>
        <color theme="1"/>
        <rFont val="Arial Narrow"/>
        <family val="2"/>
      </rPr>
      <t xml:space="preserve">
La OCI verificó el cumplimiento de lo establecido en el control.</t>
    </r>
  </si>
  <si>
    <r>
      <rPr>
        <b/>
        <sz val="12"/>
        <color theme="1"/>
        <rFont val="Arial Narrow"/>
        <family val="2"/>
      </rPr>
      <t xml:space="preserve">JAG: </t>
    </r>
    <r>
      <rPr>
        <sz val="12"/>
        <color theme="1"/>
        <rFont val="Arial Narrow"/>
        <family val="2"/>
      </rPr>
      <t xml:space="preserve">El control establecido es efectivo y permite identificar desviaciones en el Comité 
</t>
    </r>
    <r>
      <rPr>
        <b/>
        <sz val="12"/>
        <color theme="1"/>
        <rFont val="Arial Narrow"/>
        <family val="2"/>
      </rPr>
      <t xml:space="preserve">13/09/2023 - OCL: </t>
    </r>
    <r>
      <rPr>
        <sz val="12"/>
        <color theme="1"/>
        <rFont val="Arial Narrow"/>
        <family val="2"/>
      </rPr>
      <t>Con base en la verificación de las evidencias y la no materialización del riesgo, la OCI verificó la efectividad del control.</t>
    </r>
  </si>
  <si>
    <r>
      <rPr>
        <b/>
        <sz val="12"/>
        <color theme="1"/>
        <rFont val="Arial Narrow"/>
        <family val="2"/>
      </rPr>
      <t xml:space="preserve">JAG: </t>
    </r>
    <r>
      <rPr>
        <sz val="12"/>
        <color theme="1"/>
        <rFont val="Arial Narrow"/>
        <family val="2"/>
      </rPr>
      <t xml:space="preserve">El proceso realizó la gestión para la adopción del  MANUAL DE CONTRATACIÓN y la acción de dará por cumplida en el segundo cuatrimestre, por la fecha de publicación del documento
</t>
    </r>
    <r>
      <rPr>
        <b/>
        <sz val="12"/>
        <color theme="1"/>
        <rFont val="Arial Narrow"/>
        <family val="2"/>
      </rPr>
      <t>13/09/2023 - OCL</t>
    </r>
    <r>
      <rPr>
        <sz val="12"/>
        <color theme="1"/>
        <rFont val="Arial Narrow"/>
        <family val="2"/>
      </rPr>
      <t>: De acuerdo con la revisión de las siguientes evidencias correspondientes a los meses de:
Julio:
1, Circular recomendaciones gestión contractual jul 2023.odt 
2. Trazabilidad correo proyecto circular.pdf
Agosto:
1. Circular recomendaciones gestión contractual jul 2023 (1).odt
2. Envió proyecto circular en agosto.pdf
3. Trazabilidad correo proyecto circular.pdf
La OCI, verificó que el proceso está ejecutando la acción.</t>
    </r>
  </si>
  <si>
    <r>
      <rPr>
        <b/>
        <sz val="12"/>
        <color theme="1"/>
        <rFont val="Arial Narrow"/>
        <family val="2"/>
      </rPr>
      <t xml:space="preserve">JAG: </t>
    </r>
    <r>
      <rPr>
        <sz val="12"/>
        <color theme="1"/>
        <rFont val="Arial Narrow"/>
        <family val="2"/>
      </rPr>
      <t xml:space="preserve">El proceso adelanta la revisión aleatoria de los contratos, dando cumplimiento al control implementado
</t>
    </r>
    <r>
      <rPr>
        <b/>
        <sz val="12"/>
        <color theme="1"/>
        <rFont val="Arial Narrow"/>
        <family val="2"/>
      </rPr>
      <t>13/09/2023 - OCL:</t>
    </r>
    <r>
      <rPr>
        <sz val="12"/>
        <color theme="1"/>
        <rFont val="Arial Narrow"/>
        <family val="2"/>
      </rPr>
      <t xml:space="preserve"> De acuerdo con la revisión de la siguiente evidencia correspondiente al mes de agosto: 
- Informe cuatrimestral may - ago 2023.xlsx
- R1C2 Correo alerta.pdf
Recomendaciones gestión contractual.odt
La OCI verificó el cumplimiento de lo establecido en la acción</t>
    </r>
  </si>
  <si>
    <r>
      <rPr>
        <b/>
        <sz val="12"/>
        <color theme="1"/>
        <rFont val="Arial Narrow"/>
        <family val="2"/>
      </rPr>
      <t xml:space="preserve">JAG: </t>
    </r>
    <r>
      <rPr>
        <sz val="12"/>
        <color theme="1"/>
        <rFont val="Arial Narrow"/>
        <family val="2"/>
      </rPr>
      <t xml:space="preserve">El control establecido es efectivo y permite identificar desviaciones en los contratos de la UAESP
</t>
    </r>
    <r>
      <rPr>
        <b/>
        <sz val="12"/>
        <color theme="1"/>
        <rFont val="Arial Narrow"/>
        <family val="2"/>
      </rPr>
      <t>13/09/2023 - OCL: C</t>
    </r>
    <r>
      <rPr>
        <sz val="12"/>
        <color theme="1"/>
        <rFont val="Arial Narrow"/>
        <family val="2"/>
      </rPr>
      <t>on base en la verificación de las evidencias y la no materialización del riesgo, la OCI verificó la efectividad del control.</t>
    </r>
  </si>
  <si>
    <r>
      <rPr>
        <b/>
        <sz val="12"/>
        <color theme="1"/>
        <rFont val="Arial Narrow"/>
        <family val="2"/>
      </rPr>
      <t xml:space="preserve">JAG: </t>
    </r>
    <r>
      <rPr>
        <sz val="12"/>
        <color theme="1"/>
        <rFont val="Arial Narrow"/>
        <family val="2"/>
      </rPr>
      <t xml:space="preserve">El proceso realizó la gestión para la adopción del  MANUAL DE SUPERVISIÓN E 
INTERVENTORÍA y la acción de dará por cumplida en el segundo cuatrimestre
</t>
    </r>
    <r>
      <rPr>
        <b/>
        <sz val="12"/>
        <color theme="1"/>
        <rFont val="Arial Narrow"/>
        <family val="2"/>
      </rPr>
      <t>13/09/2023 - OCL</t>
    </r>
    <r>
      <rPr>
        <sz val="12"/>
        <color theme="1"/>
        <rFont val="Arial Narrow"/>
        <family val="2"/>
      </rPr>
      <t>: De acuerdo con la revisión de las siguientes evidencias correspondientes a los meses de:
Julio:
1. Acta reunión ajuste 24072023.pdf
2. Correo a OAP ajustes riesgos SAL 27072023.pdf
Agosto:
1. GAL-MN-04 V2 Manual de supervisión e interventoría.pdf
La OCI, verificó que la acción se encuentra en ejecución.</t>
    </r>
  </si>
  <si>
    <t>13/09/2023: N/A</t>
  </si>
  <si>
    <r>
      <rPr>
        <b/>
        <sz val="12"/>
        <color theme="1"/>
        <rFont val="Arial Narrow"/>
        <family val="2"/>
      </rPr>
      <t xml:space="preserve">JAG: </t>
    </r>
    <r>
      <rPr>
        <sz val="12"/>
        <color theme="1"/>
        <rFont val="Arial Narrow"/>
        <family val="2"/>
      </rPr>
      <t xml:space="preserve">El proceso realizó la gestión para la elaboración del procedimiento  Administrativo y 
Sancionatorio y presenta el borrador, esta pendiente la adopción y publicación del documento
</t>
    </r>
    <r>
      <rPr>
        <b/>
        <sz val="12"/>
        <color theme="1"/>
        <rFont val="Arial Narrow"/>
        <family val="2"/>
      </rPr>
      <t>13/09/2023 - OCL:</t>
    </r>
    <r>
      <rPr>
        <sz val="12"/>
        <color theme="1"/>
        <rFont val="Arial Narrow"/>
        <family val="2"/>
      </rPr>
      <t xml:space="preserve">  De acuerdo con la revisión de la siguiente evidencia correspondiente al mes de mayo:
1. GAP-PC-20 V1 Administrativo sancionatorio.pdf
El procedimiento se encuentra publicado en el sitio web de la entidad en el siguiente enlace: https://www.uaesp.gov.co/mipg/documentos-sig/legales/procedimientos/GAL-PC-20%20V1%20Administrativo%20sancionatorio.pdf
Por lo antes expuesto la OCI, verifica el cumplimiento de la acción.
</t>
    </r>
  </si>
  <si>
    <r>
      <rPr>
        <b/>
        <sz val="12"/>
        <color theme="1"/>
        <rFont val="Arial Narrow"/>
        <family val="2"/>
      </rPr>
      <t xml:space="preserve">JAG: </t>
    </r>
    <r>
      <rPr>
        <sz val="12"/>
        <color theme="1"/>
        <rFont val="Arial Narrow"/>
        <family val="2"/>
      </rPr>
      <t xml:space="preserve">El proceso realizó la gestión para la adopción del  MANUAL DE CONTRATACIÓN y la acción de dará por cumplida en el segundo cuatrimestre, por la fecha de publicación del documento
</t>
    </r>
    <r>
      <rPr>
        <b/>
        <sz val="12"/>
        <color theme="1"/>
        <rFont val="Arial Narrow"/>
        <family val="2"/>
      </rPr>
      <t>13/09/2023 - OCL</t>
    </r>
    <r>
      <rPr>
        <sz val="12"/>
        <color theme="1"/>
        <rFont val="Arial Narrow"/>
        <family val="2"/>
      </rPr>
      <t xml:space="preserve">: De acuerdo con la revisión de las siguientes evidencias correspondientes al segundo trimestre:
1. GAL-MN-01 V12 Manual de Contratación.pdf
2. Resolución 316 2023 adopción manual de contratación V12.pdf 
La OCI verifica el cumplimiento de lo establecido en la acción, en  el capítulo VII - Garantías del Manual de Contratación, el cual trae en otros temas las </t>
    </r>
    <r>
      <rPr>
        <i/>
        <sz val="12"/>
        <color theme="1"/>
        <rFont val="Arial Narrow"/>
        <family val="2"/>
      </rPr>
      <t>REGLAS GENERALES DE LAS GARANTÍAS</t>
    </r>
    <r>
      <rPr>
        <sz val="12"/>
        <color theme="1"/>
        <rFont val="Arial Narrow"/>
        <family val="2"/>
      </rPr>
      <t>. y aborda el tema de garantías en: CAPÍTULO III, CAPÍTULO IV ETAPA CONTRACTUAL en su numeral 2 REQUISITOS PARA LA EJECUCIÓN DEL CONTRATO, entre otros. La OCI verifica el cumplimiento de la acción.</t>
    </r>
  </si>
  <si>
    <r>
      <rPr>
        <b/>
        <sz val="12"/>
        <color theme="1"/>
        <rFont val="Arial Narrow"/>
        <family val="2"/>
      </rPr>
      <t xml:space="preserve">JAG: </t>
    </r>
    <r>
      <rPr>
        <sz val="12"/>
        <color theme="1"/>
        <rFont val="Arial Narrow"/>
        <family val="2"/>
      </rPr>
      <t xml:space="preserve">Se recomienda solicitar la actualización del mapa de riesgos del proceso con el ajuste de la acción eliminada
</t>
    </r>
    <r>
      <rPr>
        <b/>
        <sz val="12"/>
        <color theme="1"/>
        <rFont val="Arial Narrow"/>
        <family val="2"/>
      </rPr>
      <t>13/09/2023 - OCL:</t>
    </r>
    <r>
      <rPr>
        <sz val="12"/>
        <color theme="1"/>
        <rFont val="Arial Narrow"/>
        <family val="2"/>
      </rPr>
      <t xml:space="preserve">  De acuerdo con la manifestación de la Oficina Asesora de Planeación, la OCI verifica la eliminación de la acción.</t>
    </r>
  </si>
  <si>
    <r>
      <t xml:space="preserve">JAG: </t>
    </r>
    <r>
      <rPr>
        <sz val="12"/>
        <color theme="1"/>
        <rFont val="Arial Narrow"/>
        <family val="2"/>
      </rPr>
      <t>Como la acción está en ejecución, se debe fortalecer la redacción para que las partes interesadas identifiquen porque no se ha realizado la acción en el primes cuatrimestre</t>
    </r>
    <r>
      <rPr>
        <b/>
        <sz val="12"/>
        <color theme="1"/>
        <rFont val="Arial Narrow"/>
        <family val="2"/>
      </rPr>
      <t xml:space="preserve">
13/09/2023: </t>
    </r>
    <r>
      <rPr>
        <sz val="12"/>
        <color theme="1"/>
        <rFont val="Arial Narrow"/>
        <family val="2"/>
      </rPr>
      <t>De acuerdo con el siguiente autodiagnóstico realizado por el proceso el 10/09/2023 "</t>
    </r>
    <r>
      <rPr>
        <b/>
        <sz val="12"/>
        <color theme="1"/>
        <rFont val="Arial Narrow"/>
        <family val="2"/>
      </rPr>
      <t xml:space="preserve">Acción pendiente", </t>
    </r>
    <r>
      <rPr>
        <sz val="12"/>
        <color theme="1"/>
        <rFont val="Arial Narrow"/>
        <family val="2"/>
      </rPr>
      <t>la OCI verificó que la acción se encuentra en proceso e insta al proceso para ejecutar la acción con los criterios de oportunidad y calidad esperados.</t>
    </r>
  </si>
  <si>
    <r>
      <rPr>
        <b/>
        <sz val="12"/>
        <color theme="1"/>
        <rFont val="Arial Narrow"/>
        <family val="2"/>
      </rPr>
      <t xml:space="preserve">JAG: </t>
    </r>
    <r>
      <rPr>
        <sz val="12"/>
        <color theme="1"/>
        <rFont val="Arial Narrow"/>
        <family val="2"/>
      </rPr>
      <t xml:space="preserve">Se evidencia el cumplimiento del control por parte del proceso, con la revisión y aprobación del líder con su respectiva firma.
</t>
    </r>
    <r>
      <rPr>
        <b/>
        <sz val="12"/>
        <color theme="1"/>
        <rFont val="Arial Narrow"/>
        <family val="2"/>
      </rPr>
      <t>13/09/2023 - OCL:</t>
    </r>
    <r>
      <rPr>
        <sz val="12"/>
        <color theme="1"/>
        <rFont val="Arial Narrow"/>
        <family val="2"/>
      </rPr>
      <t xml:space="preserve"> De acuerdo con la revisión de la siguientes evidencias:
Julio:
1. 20236000079493 - CONCEPTO CONCESION ASEO JUL 2023
2. 20236000079493 - CONCEPTO ENTREGA DE COMPOSTERAS JUL 2023
Agosto:
1. concepto: Respuesta a solicitud concepto tratamiento propiedades privadas cementerios propiedad del distrito". Radicado 20236000097753 de 2023
 La OCI verificó el cumplimiento de lo establecido en el control para el tercer trimestre.</t>
    </r>
  </si>
  <si>
    <r>
      <t xml:space="preserve">JAG: </t>
    </r>
    <r>
      <rPr>
        <sz val="12"/>
        <color theme="1"/>
        <rFont val="Arial Narrow"/>
        <family val="2"/>
      </rPr>
      <t xml:space="preserve">El control es efectivo para evitar la materialización del riesgo
</t>
    </r>
    <r>
      <rPr>
        <b/>
        <sz val="12"/>
        <color theme="1"/>
        <rFont val="Arial Narrow"/>
        <family val="2"/>
      </rPr>
      <t>13/09/2023 - OCL:</t>
    </r>
    <r>
      <rPr>
        <sz val="12"/>
        <color theme="1"/>
        <rFont val="Arial Narrow"/>
        <family val="2"/>
      </rPr>
      <t xml:space="preserve"> Con base en la verificación de las evidencias y la no materialización del riesgo, la OCI verificó la efectividad del control.</t>
    </r>
  </si>
  <si>
    <r>
      <t>JAG: L</t>
    </r>
    <r>
      <rPr>
        <sz val="12"/>
        <color theme="1"/>
        <rFont val="Arial Narrow"/>
        <family val="2"/>
      </rPr>
      <t xml:space="preserve">a acción se encuentra en ejecución y se planea ejecutar en el mes de julio de acuerdo al reporte
</t>
    </r>
    <r>
      <rPr>
        <b/>
        <sz val="12"/>
        <color theme="1"/>
        <rFont val="Arial Narrow"/>
        <family val="2"/>
      </rPr>
      <t xml:space="preserve">13/09/2023 - OCL: Segundo Trimestre: </t>
    </r>
    <r>
      <rPr>
        <sz val="12"/>
        <color theme="1"/>
        <rFont val="Arial Narrow"/>
        <family val="2"/>
      </rPr>
      <t xml:space="preserve">De acuerdo con la revisión de las siguientes evidencias correspondientes al mes de julio: 
1. Actualización conflictos intereses SIDEAP ANGELA CARDENAS
2. Actualización conflictos intereses SIDEAP CARLOS ROBERTO TARAZONA A.
3. Actualización conflictos intereses SIDEAP STEPHANIE MURCIA MAYORGA
La OCI verificó la ejecución de la acción para el segundo trimestre.
</t>
    </r>
    <r>
      <rPr>
        <b/>
        <sz val="12"/>
        <color theme="1"/>
        <rFont val="Arial Narrow"/>
        <family val="2"/>
      </rPr>
      <t xml:space="preserve">13/09/2023 - OCL: Tercer Trimestre: </t>
    </r>
    <r>
      <rPr>
        <sz val="12"/>
        <color theme="1"/>
        <rFont val="Arial Narrow"/>
        <family val="2"/>
      </rPr>
      <t>Para este periodo el proceso no aportó evidencias ni realizó el respectivo seguimiento, por lo que la acción continúa en ejecución.</t>
    </r>
  </si>
  <si>
    <r>
      <rPr>
        <b/>
        <sz val="12"/>
        <color theme="1"/>
        <rFont val="Arial Narrow"/>
        <family val="2"/>
      </rPr>
      <t xml:space="preserve">JAG: </t>
    </r>
    <r>
      <rPr>
        <sz val="12"/>
        <color theme="1"/>
        <rFont val="Arial Narrow"/>
        <family val="2"/>
      </rPr>
      <t xml:space="preserve">Se evidencia el cumplimiento del control por parte del proceso, con la revisión de un porcentaje de conceptos emitidos. De ser posible se podría tomar una muestra representativa 
</t>
    </r>
    <r>
      <rPr>
        <b/>
        <sz val="12"/>
        <color theme="1"/>
        <rFont val="Arial Narrow"/>
        <family val="2"/>
      </rPr>
      <t>13/09/2023 - OCL</t>
    </r>
    <r>
      <rPr>
        <sz val="12"/>
        <color theme="1"/>
        <rFont val="Arial Narrow"/>
        <family val="2"/>
      </rPr>
      <t>: De acuerdo con la revisión de la siguientes evidencia correspondiente los meses de, julio: 
- INFORME CUATRIMESTRAL REVISION DE CONCEPTOS
Agosto:
- INFORME SEGUNDO CUATRIMESTRE 2023
La OCI verificó el cumplimiento de lo establecido en el control.</t>
    </r>
  </si>
  <si>
    <r>
      <t xml:space="preserve">JAG: </t>
    </r>
    <r>
      <rPr>
        <sz val="12"/>
        <color theme="1"/>
        <rFont val="Arial Narrow"/>
        <family val="2"/>
      </rPr>
      <t xml:space="preserve">El control es efectivo para identificar si se presento la materialización del riesgo.
</t>
    </r>
    <r>
      <rPr>
        <b/>
        <sz val="12"/>
        <color theme="1"/>
        <rFont val="Arial Narrow"/>
        <family val="2"/>
      </rPr>
      <t>13/09/2023 - OCL:</t>
    </r>
    <r>
      <rPr>
        <sz val="12"/>
        <color theme="1"/>
        <rFont val="Arial Narrow"/>
        <family val="2"/>
      </rPr>
      <t xml:space="preserve"> Con base en la verificación de las evidencias y la no materialización del riesgo, la OCI verificó la efectividad del control.</t>
    </r>
  </si>
  <si>
    <t>23/05/2023
21/09/2023</t>
  </si>
  <si>
    <r>
      <t xml:space="preserve">JAG: </t>
    </r>
    <r>
      <rPr>
        <sz val="10"/>
        <color theme="1"/>
        <rFont val="Arial Narrow"/>
        <family val="2"/>
      </rPr>
      <t xml:space="preserve">El control es efectivo para evitar la materialización del riesgo.
</t>
    </r>
    <r>
      <rPr>
        <b/>
        <sz val="10"/>
        <color theme="1"/>
        <rFont val="Arial Narrow"/>
        <family val="2"/>
      </rPr>
      <t>21/09/2023 - OCL:</t>
    </r>
    <r>
      <rPr>
        <sz val="10"/>
        <color theme="1"/>
        <rFont val="Arial Narrow"/>
        <family val="2"/>
      </rPr>
      <t xml:space="preserve"> De acuerdo con las evidencias y seguimiento del proceso, la OCI establece que el control fue efectivo.</t>
    </r>
  </si>
  <si>
    <r>
      <t xml:space="preserve">JAG: </t>
    </r>
    <r>
      <rPr>
        <sz val="10"/>
        <color theme="1"/>
        <rFont val="Arial Narrow"/>
        <family val="2"/>
      </rPr>
      <t>El proceso ejecuta el control propuesto para evitar la materialización del riesgo y remite la evidencia de cumplimiento con las actas de seguimiento realizadas.
Se recomienda utilizar los formatos vigentes de acta dispuestos en el micrositio del Sistema Integrado de Gestión, con los logos de la certificación.</t>
    </r>
    <r>
      <rPr>
        <b/>
        <sz val="10"/>
        <color theme="1"/>
        <rFont val="Arial Narrow"/>
        <family val="2"/>
      </rPr>
      <t xml:space="preserve">
21/09/2023 - OCL</t>
    </r>
    <r>
      <rPr>
        <sz val="10"/>
        <color theme="1"/>
        <rFont val="Arial Narrow"/>
        <family val="2"/>
      </rPr>
      <t>: Con base en el seguimiento de la SAL y la revisión de las siguientes evidencias: 
- ACTAS REUNION DEFENSA JUDICIAL AGOSTO 2023
- Reunion grupo defensa judicial y extrajudicial jul 2023
 La OCI, verifica el cumplimiento del control  de acuerdo con lo establecido.</t>
    </r>
  </si>
  <si>
    <r>
      <t xml:space="preserve">JAG: </t>
    </r>
    <r>
      <rPr>
        <sz val="10"/>
        <color theme="1"/>
        <rFont val="Arial Narrow"/>
        <family val="2"/>
      </rPr>
      <t>El proceso ejecuta el control propuesto para evitar la materialización del riesgo.</t>
    </r>
    <r>
      <rPr>
        <b/>
        <sz val="10"/>
        <color theme="1"/>
        <rFont val="Arial Narrow"/>
        <family val="2"/>
      </rPr>
      <t xml:space="preserve">
</t>
    </r>
    <r>
      <rPr>
        <sz val="10"/>
        <color theme="1"/>
        <rFont val="Arial Narrow"/>
        <family val="2"/>
      </rPr>
      <t xml:space="preserve">
</t>
    </r>
    <r>
      <rPr>
        <b/>
        <sz val="10"/>
        <color theme="1"/>
        <rFont val="Arial Narrow"/>
        <family val="2"/>
      </rPr>
      <t>21/09/2023 - OCL:</t>
    </r>
    <r>
      <rPr>
        <sz val="10"/>
        <color theme="1"/>
        <rFont val="Arial Narrow"/>
        <family val="2"/>
      </rPr>
      <t xml:space="preserve"> Con base en el seguimiento de la SAL y la revisión de las siguientes evidencias: 
- INFORME PROCESOS ANDRES LEON AGO 2023
- INFORME PROCESOS JUAN JOSE GOMEZ AGO 2023
 La OCI, verifica el cumplimiento del control  de acuerdo con lo establecido.</t>
    </r>
  </si>
  <si>
    <r>
      <t xml:space="preserve">JAG: </t>
    </r>
    <r>
      <rPr>
        <sz val="10"/>
        <color theme="1"/>
        <rFont val="Arial Narrow"/>
        <family val="2"/>
      </rPr>
      <t xml:space="preserve">El control es efectivo para evitar la materialización del riesgo.
</t>
    </r>
    <r>
      <rPr>
        <b/>
        <sz val="10"/>
        <color theme="1"/>
        <rFont val="Arial Narrow"/>
        <family val="2"/>
      </rPr>
      <t xml:space="preserve">21/09/2023 - OCL: </t>
    </r>
    <r>
      <rPr>
        <sz val="10"/>
        <color theme="1"/>
        <rFont val="Arial Narrow"/>
        <family val="2"/>
      </rPr>
      <t>De acuerdo con las evidencias y seguimiento del proceso, la OCI establece que el control fue efectivo.</t>
    </r>
  </si>
  <si>
    <r>
      <t xml:space="preserve">JAG: </t>
    </r>
    <r>
      <rPr>
        <sz val="10"/>
        <color theme="1"/>
        <rFont val="Arial Narrow"/>
        <family val="2"/>
      </rPr>
      <t xml:space="preserve">El proceso indica que la acción está en ejecución, pero no hay reporte de avance ni evidencia asociada. Se recomienda fortalecer el reporte indicando cual es la gestión realizada y establecer fechas tentativas para realizar las socializaciones
</t>
    </r>
    <r>
      <rPr>
        <b/>
        <sz val="10"/>
        <color theme="1"/>
        <rFont val="Arial Narrow"/>
        <family val="2"/>
      </rPr>
      <t>21/09/2023 - OCL</t>
    </r>
    <r>
      <rPr>
        <sz val="10"/>
        <color theme="1"/>
        <rFont val="Arial Narrow"/>
        <family val="2"/>
      </rPr>
      <t>: Para el periodo de estudio la SAL, no aportó evidencias, la acción continúa en ejecución.</t>
    </r>
  </si>
  <si>
    <r>
      <t xml:space="preserve">JAG: El proceso ejecuta el control propuesto para evitar la materialización del riesgo, aunque se recomienda que indiquen cual es la muestra que utilizan para realizar el reporte y cargar la evidencia.
</t>
    </r>
    <r>
      <rPr>
        <b/>
        <sz val="10"/>
        <color theme="1"/>
        <rFont val="Arial Narrow"/>
        <family val="2"/>
      </rPr>
      <t>21/09/2023 - OCL:</t>
    </r>
    <r>
      <rPr>
        <sz val="10"/>
        <color theme="1"/>
        <rFont val="Arial Narrow"/>
        <family val="2"/>
      </rPr>
      <t xml:space="preserve"> Con base en el seguimiento de la SAL y la revisión de las siguientes evidencias: 
- Correos enviados a dependencias procesos contratacion ago 2023
- Correos enviados a dependencias procesos contratacion jul 2023
 La OCI, verifica el cumplimiento del control  de acuerdo con lo establecido.</t>
    </r>
  </si>
  <si>
    <r>
      <t xml:space="preserve">JAG: El control es efectivo para evitar la materialización del riesgo.
</t>
    </r>
    <r>
      <rPr>
        <b/>
        <sz val="10"/>
        <color theme="1"/>
        <rFont val="Arial Narrow"/>
        <family val="2"/>
      </rPr>
      <t xml:space="preserve">21/09/2023 - OCL: </t>
    </r>
    <r>
      <rPr>
        <sz val="10"/>
        <color theme="1"/>
        <rFont val="Arial Narrow"/>
        <family val="2"/>
      </rPr>
      <t>De acuerdo con las evidencias y seguimiento de la SAL, la OCI establece que el control fue efectivo.</t>
    </r>
  </si>
  <si>
    <r>
      <t xml:space="preserve">JAG: De acuerdo con el reporte del proceso y la evidencia remitida, se evidencia el cumplimiento de la acción del plan de manejo de riesgos para el primer cuatrimestre, aunque se recomienda fortalecer el informe, identificando las causas de devolución  y las recomendaciones para evitar que suceda.
</t>
    </r>
    <r>
      <rPr>
        <b/>
        <sz val="10"/>
        <color theme="1"/>
        <rFont val="Arial Narrow"/>
        <family val="2"/>
      </rPr>
      <t>21/09/2023 - OCL</t>
    </r>
    <r>
      <rPr>
        <sz val="10"/>
        <color theme="1"/>
        <rFont val="Arial Narrow"/>
        <family val="2"/>
      </rPr>
      <t>: Con base en el seguimiento de la SAL y la revisión de las siguientes evidencias: 
- Informe recomendaciones gestion contractual may ago 2023
- Recomendaciones gestion contractual RG1 A1
 La OCI, verifica la ejecución de la acción.</t>
    </r>
  </si>
  <si>
    <t>22/05/2023
21/09/2023</t>
  </si>
  <si>
    <r>
      <rPr>
        <b/>
        <sz val="9"/>
        <color theme="1"/>
        <rFont val="Arial Narrow"/>
        <family val="2"/>
      </rPr>
      <t xml:space="preserve">JAG: </t>
    </r>
    <r>
      <rPr>
        <sz val="9"/>
        <color theme="1"/>
        <rFont val="Arial Narrow"/>
        <family val="2"/>
      </rPr>
      <t xml:space="preserve">De acuerdo con la redacción del control se debe solicitar mensualmente un backup a TICs, se evidencia el cumplimiento, pero no de todos los meses. Se recomienda que se ejecute el control con la periodicidad establecida y si surge algún cambio, que se realice el ajuste en la matriz de riesgos.
</t>
    </r>
    <r>
      <rPr>
        <b/>
        <sz val="9"/>
        <color theme="1"/>
        <rFont val="Arial Narrow"/>
        <family val="2"/>
      </rPr>
      <t>21/09/2023 - OCL:</t>
    </r>
    <r>
      <rPr>
        <sz val="9"/>
        <color theme="1"/>
        <rFont val="Arial Narrow"/>
        <family val="2"/>
      </rPr>
      <t xml:space="preserve"> Con base en el seguimiento de la SAL y la revisión de las siguientes evidencias correspondientes del mes de julio: 
- Acta reunión ajuste 24072023
- Carpeta respaldo archivos contratacion jul 2023
- Correo a OAP ajustes riesgos SAL 27072023
 La OCI, verifica la modificación del control de acuedo con el acta de reunión 24072023 quedando así "verificar mensualmente el control de acceso a 
los documentos que contienen la información contractuall", debido a que la modificación del control se aprobo el 25 de agosto,  la OCI verificará el cumplimiento del control en el próximo seguimiento.</t>
    </r>
  </si>
  <si>
    <r>
      <rPr>
        <b/>
        <sz val="9"/>
        <color theme="1"/>
        <rFont val="Arial Narrow"/>
        <family val="2"/>
      </rPr>
      <t xml:space="preserve">JAG: </t>
    </r>
    <r>
      <rPr>
        <sz val="9"/>
        <color theme="1"/>
        <rFont val="Arial Narrow"/>
        <family val="2"/>
      </rPr>
      <t xml:space="preserve">El Control del riesgo es efectivo para evitar la materialización del mismo
</t>
    </r>
    <r>
      <rPr>
        <b/>
        <sz val="9"/>
        <color theme="1"/>
        <rFont val="Arial Narrow"/>
        <family val="2"/>
      </rPr>
      <t>13/09/2023 - OCL: La OCI,</t>
    </r>
    <r>
      <rPr>
        <sz val="9"/>
        <color theme="1"/>
        <rFont val="Arial Narrow"/>
        <family val="2"/>
      </rPr>
      <t xml:space="preserve"> realizará la verificación en el próximo seguimiento, toda vez que el control fue modificado el 25 de agosto de 2023.</t>
    </r>
  </si>
  <si>
    <r>
      <rPr>
        <b/>
        <sz val="9"/>
        <color theme="1"/>
        <rFont val="Arial Narrow"/>
        <family val="2"/>
      </rPr>
      <t xml:space="preserve">JAG: </t>
    </r>
    <r>
      <rPr>
        <sz val="9"/>
        <color theme="1"/>
        <rFont val="Arial Narrow"/>
        <family val="2"/>
      </rPr>
      <t xml:space="preserve">Se evidencia la gestión del proceso para dar cumplimiento a la acción propuesta en el plan de manejo de riesgos
</t>
    </r>
    <r>
      <rPr>
        <b/>
        <sz val="9"/>
        <color theme="1"/>
        <rFont val="Arial Narrow"/>
        <family val="2"/>
      </rPr>
      <t>13/09/2023 - OCL: La OCI,</t>
    </r>
    <r>
      <rPr>
        <sz val="9"/>
        <color theme="1"/>
        <rFont val="Arial Narrow"/>
        <family val="2"/>
      </rPr>
      <t xml:space="preserve"> realizará la verificación de la acción en el próximo seguimiento, toda vez que esta fue modificada el 25 de agosto de 2023.</t>
    </r>
  </si>
  <si>
    <r>
      <rPr>
        <b/>
        <sz val="10"/>
        <color theme="1"/>
        <rFont val="Arial Narrow"/>
        <family val="2"/>
      </rPr>
      <t xml:space="preserve">JAG: </t>
    </r>
    <r>
      <rPr>
        <sz val="10"/>
        <color theme="1"/>
        <rFont val="Arial Narrow"/>
        <family val="2"/>
      </rPr>
      <t xml:space="preserve">Se evidencia la gestión del proceso para dar cumplimiento a la actividad propuesta.
</t>
    </r>
    <r>
      <rPr>
        <b/>
        <sz val="10"/>
        <color theme="1"/>
        <rFont val="Arial Narrow"/>
        <family val="2"/>
      </rPr>
      <t>21/09/2023 - OCL:</t>
    </r>
    <r>
      <rPr>
        <sz val="10"/>
        <color theme="1"/>
        <rFont val="Arial Narrow"/>
        <family val="2"/>
      </rPr>
      <t xml:space="preserve"> A la fecha de evaluación el proceso no aportó evidencias, por lo que la OCI establece con en el seguimiento del proceso que la oportunidad continúa en ejecución.</t>
    </r>
  </si>
  <si>
    <r>
      <rPr>
        <b/>
        <sz val="10"/>
        <color theme="1"/>
        <rFont val="Arial Narrow"/>
        <family val="2"/>
      </rPr>
      <t>JAG</t>
    </r>
    <r>
      <rPr>
        <sz val="10"/>
        <color theme="1"/>
        <rFont val="Arial Narrow"/>
        <family val="2"/>
      </rPr>
      <t xml:space="preserve">: En ejecución
</t>
    </r>
    <r>
      <rPr>
        <b/>
        <sz val="10"/>
        <color theme="1"/>
        <rFont val="Arial Narrow"/>
        <family val="2"/>
      </rPr>
      <t>21/09/2023 - OCL:</t>
    </r>
    <r>
      <rPr>
        <sz val="10"/>
        <color theme="1"/>
        <rFont val="Arial Narrow"/>
        <family val="2"/>
      </rPr>
      <t xml:space="preserve"> en ejecución.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</si>
</sst>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4"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0"/>
      <color rgb="FF00B0F0"/>
      <name val="Arial Narrow"/>
      <family val="2"/>
    </font>
    <font>
      <sz val="9"/>
      <color theme="1"/>
      <name val="Arial Narrow"/>
      <family val="2"/>
    </font>
    <font>
      <b/>
      <sz val="10"/>
      <color theme="1"/>
      <name val="Arial Rounded MT Bold"/>
      <family val="2"/>
    </font>
    <font>
      <sz val="10"/>
      <color rgb="FFFF0000"/>
      <name val="Arial Narrow"/>
      <family val="2"/>
    </font>
    <font>
      <b/>
      <sz val="9"/>
      <color rgb="FF000000"/>
      <name val="Arial Narrow"/>
      <family val="2"/>
    </font>
    <font>
      <sz val="9"/>
      <color rgb="FF000000"/>
      <name val="Arial Narrow"/>
      <family val="2"/>
    </font>
    <font>
      <sz val="10"/>
      <color rgb="FF000000"/>
      <name val="Arial Narrow"/>
      <family val="2"/>
    </font>
    <font>
      <sz val="9"/>
      <color rgb="FF000000"/>
      <name val="Arial Narrow"/>
      <family val="2"/>
    </font>
    <font>
      <sz val="10"/>
      <name val="Arial Narrow"/>
      <family val="2"/>
    </font>
    <font>
      <sz val="9"/>
      <color rgb="FFFF0000"/>
      <name val="Arial Narrow"/>
      <family val="2"/>
    </font>
    <font>
      <sz val="9"/>
      <color theme="1"/>
      <name val="Arial Narrow"/>
      <family val="2"/>
    </font>
    <font>
      <b/>
      <sz val="12"/>
      <color theme="1"/>
      <name val="Arial Narrow"/>
      <family val="2"/>
    </font>
    <font>
      <i/>
      <sz val="12"/>
      <color theme="1"/>
      <name val="Arial Narrow"/>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FFFF"/>
        <bgColor indexed="64"/>
      </patternFill>
    </fill>
  </fills>
  <borders count="91">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bottom style="thin">
        <color rgb="FF000000"/>
      </bottom>
      <diagonal/>
    </border>
  </borders>
  <cellStyleXfs count="6">
    <xf numFmtId="0" fontId="0" fillId="0" borderId="0"/>
    <xf numFmtId="9" fontId="13" fillId="0" borderId="0" applyFont="0" applyFill="0" applyBorder="0" applyAlignment="0" applyProtection="0"/>
    <xf numFmtId="0" fontId="45" fillId="0" borderId="0"/>
    <xf numFmtId="0" fontId="46" fillId="0" borderId="0"/>
    <xf numFmtId="0" fontId="4" fillId="0" borderId="0"/>
    <xf numFmtId="0" fontId="34" fillId="0" borderId="0"/>
  </cellStyleXfs>
  <cellXfs count="753">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2" xfId="0" applyFont="1" applyFill="1" applyBorder="1" applyAlignment="1">
      <alignment horizontal="center" vertical="center" wrapText="1" readingOrder="1"/>
    </xf>
    <xf numFmtId="0" fontId="9" fillId="0" borderId="2" xfId="0" applyFont="1" applyBorder="1" applyAlignment="1">
      <alignment horizontal="justify" vertical="center" wrapText="1" readingOrder="1"/>
    </xf>
    <xf numFmtId="9" fontId="9" fillId="0" borderId="2"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7" fillId="3" borderId="37" xfId="2" applyFont="1" applyFill="1" applyBorder="1"/>
    <xf numFmtId="0" fontId="47" fillId="3" borderId="38" xfId="2" applyFont="1" applyFill="1" applyBorder="1"/>
    <xf numFmtId="0" fontId="47" fillId="3" borderId="39" xfId="2" applyFont="1" applyFill="1" applyBorder="1"/>
    <xf numFmtId="0" fontId="15" fillId="3" borderId="0" xfId="0" applyFont="1" applyFill="1" applyAlignment="1">
      <alignment vertical="center"/>
    </xf>
    <xf numFmtId="0" fontId="4"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3" fillId="3" borderId="0" xfId="0" applyFont="1" applyFill="1" applyAlignment="1">
      <alignment vertical="center"/>
    </xf>
    <xf numFmtId="0" fontId="14" fillId="3" borderId="0" xfId="0" applyFont="1" applyFill="1"/>
    <xf numFmtId="0" fontId="3" fillId="3" borderId="0" xfId="0" applyFont="1" applyFill="1" applyAlignment="1">
      <alignment horizontal="left" vertical="center"/>
    </xf>
    <xf numFmtId="0" fontId="47" fillId="3" borderId="5"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6" xfId="2" applyFont="1" applyFill="1" applyBorder="1"/>
    <xf numFmtId="0" fontId="47" fillId="3" borderId="7" xfId="2" applyFont="1" applyFill="1" applyBorder="1"/>
    <xf numFmtId="0" fontId="47" fillId="3" borderId="9" xfId="2" applyFont="1" applyFill="1" applyBorder="1"/>
    <xf numFmtId="0" fontId="47" fillId="3" borderId="8"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6" xfId="2" quotePrefix="1" applyFont="1" applyFill="1" applyBorder="1" applyAlignment="1">
      <alignment horizontal="left" vertical="top" wrapText="1"/>
    </xf>
    <xf numFmtId="0" fontId="56" fillId="0" borderId="0" xfId="0" applyFont="1" applyAlignment="1">
      <alignment horizontal="justify" vertical="center"/>
    </xf>
    <xf numFmtId="0" fontId="56" fillId="0" borderId="0" xfId="0" applyFont="1" applyAlignment="1">
      <alignment vertical="center"/>
    </xf>
    <xf numFmtId="0" fontId="57" fillId="0" borderId="0" xfId="0" applyFont="1"/>
    <xf numFmtId="0" fontId="64" fillId="0" borderId="0" xfId="0" applyFont="1"/>
    <xf numFmtId="0" fontId="5" fillId="0" borderId="19" xfId="0" applyFont="1" applyBorder="1" applyAlignment="1" applyProtection="1">
      <alignment horizontal="center" vertical="center" wrapText="1"/>
      <protection hidden="1"/>
    </xf>
    <xf numFmtId="0" fontId="63" fillId="19" borderId="67" xfId="0" applyFont="1" applyFill="1" applyBorder="1" applyAlignment="1" applyProtection="1">
      <alignment horizontal="center" vertical="center" wrapText="1"/>
      <protection hidden="1"/>
    </xf>
    <xf numFmtId="0" fontId="51"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2" fillId="0" borderId="72" xfId="0" applyFont="1" applyBorder="1" applyAlignment="1">
      <alignment horizontal="center" vertical="center"/>
    </xf>
    <xf numFmtId="0" fontId="2" fillId="0" borderId="73" xfId="0"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vertical="center" wrapText="1"/>
    </xf>
    <xf numFmtId="0" fontId="2" fillId="0" borderId="24" xfId="0" applyFont="1" applyBorder="1" applyAlignment="1">
      <alignment vertical="center"/>
    </xf>
    <xf numFmtId="0" fontId="2" fillId="0" borderId="25" xfId="0" applyFont="1" applyBorder="1" applyAlignment="1">
      <alignment horizontal="center" vertical="center"/>
    </xf>
    <xf numFmtId="0" fontId="2"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2" fillId="0" borderId="73"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73" xfId="0" applyFont="1" applyBorder="1" applyAlignment="1">
      <alignment horizontal="center"/>
    </xf>
    <xf numFmtId="0" fontId="2" fillId="0" borderId="27" xfId="0" applyFont="1" applyBorder="1" applyAlignment="1">
      <alignment horizontal="center"/>
    </xf>
    <xf numFmtId="0" fontId="66" fillId="24" borderId="77" xfId="0" applyFont="1" applyFill="1" applyBorder="1" applyAlignment="1">
      <alignment horizontal="center" vertical="center"/>
    </xf>
    <xf numFmtId="0" fontId="2" fillId="0" borderId="24" xfId="0" applyFont="1" applyBorder="1" applyAlignment="1">
      <alignment horizontal="center"/>
    </xf>
    <xf numFmtId="0" fontId="2" fillId="0" borderId="24" xfId="0" applyFont="1" applyBorder="1" applyAlignment="1">
      <alignment horizontal="center" vertical="top"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30" xfId="0" applyFont="1" applyBorder="1" applyAlignment="1">
      <alignment horizontal="center"/>
    </xf>
    <xf numFmtId="0" fontId="2" fillId="0" borderId="33" xfId="0" applyFont="1" applyBorder="1" applyAlignment="1">
      <alignment horizontal="center"/>
    </xf>
    <xf numFmtId="0" fontId="66" fillId="25" borderId="19" xfId="0" applyFont="1" applyFill="1" applyBorder="1"/>
    <xf numFmtId="0" fontId="2" fillId="0" borderId="19" xfId="0" applyFont="1" applyBorder="1"/>
    <xf numFmtId="14" fontId="47" fillId="0" borderId="19"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0" xfId="0" applyFont="1" applyProtection="1">
      <protection locked="0"/>
    </xf>
    <xf numFmtId="0" fontId="5" fillId="3" borderId="0" xfId="0" applyFont="1" applyFill="1" applyProtection="1">
      <protection locked="0"/>
    </xf>
    <xf numFmtId="0" fontId="4" fillId="0" borderId="0" xfId="0" applyFont="1" applyProtection="1">
      <protection locked="0"/>
    </xf>
    <xf numFmtId="0" fontId="5" fillId="0" borderId="19" xfId="0" applyFont="1" applyBorder="1" applyAlignment="1" applyProtection="1">
      <alignment horizontal="center" vertical="center"/>
      <protection locked="0"/>
    </xf>
    <xf numFmtId="14" fontId="5" fillId="0" borderId="19" xfId="0" applyNumberFormat="1" applyFont="1" applyBorder="1" applyAlignment="1" applyProtection="1">
      <alignment horizontal="center" vertical="center"/>
      <protection locked="0"/>
    </xf>
    <xf numFmtId="0" fontId="72" fillId="3" borderId="0" xfId="0" applyFont="1" applyFill="1" applyProtection="1">
      <protection locked="0"/>
    </xf>
    <xf numFmtId="0" fontId="72" fillId="0" borderId="0" xfId="0" applyFont="1" applyProtection="1">
      <protection locked="0"/>
    </xf>
    <xf numFmtId="0" fontId="44" fillId="3"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hidden="1"/>
    </xf>
    <xf numFmtId="9" fontId="72" fillId="0" borderId="19" xfId="0" applyNumberFormat="1" applyFont="1" applyBorder="1" applyAlignment="1" applyProtection="1">
      <alignment horizontal="center" vertical="center"/>
      <protection hidden="1"/>
    </xf>
    <xf numFmtId="164" fontId="72" fillId="0" borderId="19" xfId="1" applyNumberFormat="1" applyFont="1" applyFill="1" applyBorder="1" applyAlignment="1" applyProtection="1">
      <alignment horizontal="center" vertical="center"/>
    </xf>
    <xf numFmtId="0" fontId="44" fillId="0" borderId="19" xfId="0" applyFont="1" applyBorder="1" applyAlignment="1" applyProtection="1">
      <alignment horizontal="center" vertical="center" textRotation="90" wrapText="1"/>
      <protection hidden="1"/>
    </xf>
    <xf numFmtId="0" fontId="44" fillId="0" borderId="19" xfId="0" applyFont="1" applyBorder="1" applyAlignment="1" applyProtection="1">
      <alignment horizontal="center" vertical="center" textRotation="90"/>
      <protection hidden="1"/>
    </xf>
    <xf numFmtId="14" fontId="72" fillId="0" borderId="19" xfId="0" applyNumberFormat="1" applyFont="1" applyBorder="1" applyAlignment="1" applyProtection="1">
      <alignment horizontal="center" vertical="center"/>
      <protection locked="0"/>
    </xf>
    <xf numFmtId="0" fontId="72" fillId="0" borderId="0" xfId="0" applyFont="1" applyAlignment="1" applyProtection="1">
      <alignment vertical="center"/>
      <protection locked="0"/>
    </xf>
    <xf numFmtId="0" fontId="72" fillId="3" borderId="0" xfId="0" applyFont="1" applyFill="1" applyAlignment="1" applyProtection="1">
      <alignment vertical="center"/>
      <protection locked="0"/>
    </xf>
    <xf numFmtId="164" fontId="72" fillId="0" borderId="19" xfId="1" applyNumberFormat="1" applyFont="1" applyBorder="1" applyAlignment="1" applyProtection="1">
      <alignment horizontal="center" vertical="center"/>
    </xf>
    <xf numFmtId="0" fontId="47" fillId="3" borderId="0" xfId="0" applyFont="1" applyFill="1" applyProtection="1">
      <protection locked="0"/>
    </xf>
    <xf numFmtId="0" fontId="47" fillId="0" borderId="0" xfId="0" applyFont="1" applyProtection="1">
      <protection locked="0"/>
    </xf>
    <xf numFmtId="0" fontId="51" fillId="3" borderId="0" xfId="0"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 fillId="3" borderId="0" xfId="0" applyFont="1" applyFill="1" applyAlignment="1" applyProtection="1">
      <alignment vertical="center"/>
      <protection locked="0"/>
    </xf>
    <xf numFmtId="0" fontId="5" fillId="0" borderId="0" xfId="0" applyFont="1" applyAlignment="1" applyProtection="1">
      <alignment vertical="center"/>
      <protection locked="0"/>
    </xf>
    <xf numFmtId="14" fontId="5" fillId="0" borderId="19" xfId="0" applyNumberFormat="1" applyFont="1" applyBorder="1" applyAlignment="1" applyProtection="1">
      <alignment horizontal="center" vertical="center" wrapText="1"/>
      <protection locked="0"/>
    </xf>
    <xf numFmtId="0" fontId="5" fillId="3" borderId="0" xfId="0" applyFont="1" applyFill="1" applyAlignment="1" applyProtection="1">
      <alignment wrapText="1"/>
      <protection locked="0"/>
    </xf>
    <xf numFmtId="0" fontId="65" fillId="3" borderId="0" xfId="0" applyFont="1" applyFill="1" applyAlignment="1" applyProtection="1">
      <alignment horizontal="center" vertical="center"/>
      <protection locked="0"/>
    </xf>
    <xf numFmtId="0" fontId="65" fillId="2" borderId="0" xfId="0" applyFont="1" applyFill="1" applyAlignment="1" applyProtection="1">
      <alignment horizontal="center" vertical="center"/>
      <protection locked="0"/>
    </xf>
    <xf numFmtId="9" fontId="5" fillId="0" borderId="19" xfId="0" applyNumberFormat="1" applyFont="1" applyBorder="1" applyAlignment="1" applyProtection="1">
      <alignment horizontal="center" vertical="center"/>
      <protection hidden="1"/>
    </xf>
    <xf numFmtId="164" fontId="5" fillId="0" borderId="19" xfId="1" applyNumberFormat="1" applyFont="1" applyFill="1" applyBorder="1" applyAlignment="1" applyProtection="1">
      <alignment horizontal="center" vertical="center"/>
    </xf>
    <xf numFmtId="0" fontId="65" fillId="0" borderId="19" xfId="0" applyFont="1" applyBorder="1" applyAlignment="1" applyProtection="1">
      <alignment horizontal="center" vertical="center" textRotation="90" wrapText="1"/>
      <protection hidden="1"/>
    </xf>
    <xf numFmtId="0" fontId="65" fillId="0" borderId="19" xfId="0" applyFont="1" applyBorder="1" applyAlignment="1" applyProtection="1">
      <alignment horizontal="center" vertical="center" textRotation="90"/>
      <protection hidden="1"/>
    </xf>
    <xf numFmtId="14" fontId="74" fillId="0" borderId="19" xfId="0" applyNumberFormat="1" applyFont="1" applyBorder="1" applyAlignment="1" applyProtection="1">
      <alignment horizontal="center" vertical="center" wrapText="1"/>
      <protection locked="0"/>
    </xf>
    <xf numFmtId="0" fontId="47" fillId="0" borderId="78" xfId="0" applyFont="1" applyBorder="1" applyAlignment="1" applyProtection="1">
      <alignment horizontal="center" vertical="center"/>
      <protection locked="0"/>
    </xf>
    <xf numFmtId="164" fontId="5" fillId="0" borderId="19" xfId="1" applyNumberFormat="1" applyFont="1" applyBorder="1" applyAlignment="1" applyProtection="1">
      <alignment horizontal="center" vertical="center"/>
    </xf>
    <xf numFmtId="14" fontId="47" fillId="0" borderId="78" xfId="0" applyNumberFormat="1" applyFont="1" applyBorder="1" applyAlignment="1" applyProtection="1">
      <alignment horizontal="center" vertical="center"/>
      <protection locked="0"/>
    </xf>
    <xf numFmtId="0" fontId="47" fillId="0" borderId="78" xfId="0" applyFont="1" applyBorder="1" applyAlignment="1" applyProtection="1">
      <alignment horizontal="center" vertical="center" wrapText="1"/>
      <protection locked="0"/>
    </xf>
    <xf numFmtId="0" fontId="5" fillId="0" borderId="0" xfId="0" applyFont="1" applyAlignment="1" applyProtection="1">
      <alignment wrapText="1"/>
      <protection locked="0"/>
    </xf>
    <xf numFmtId="0" fontId="5" fillId="0" borderId="19" xfId="0" applyFont="1" applyBorder="1" applyAlignment="1" applyProtection="1">
      <alignment horizontal="center" vertical="center"/>
      <protection hidden="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5" fillId="0" borderId="19" xfId="0" applyFont="1" applyBorder="1" applyAlignment="1">
      <alignment horizontal="center" vertical="center"/>
    </xf>
    <xf numFmtId="0" fontId="5" fillId="0" borderId="19" xfId="0" applyFont="1" applyBorder="1" applyAlignment="1">
      <alignment horizontal="center" vertical="center" wrapText="1"/>
    </xf>
    <xf numFmtId="0" fontId="47" fillId="0" borderId="19" xfId="0" applyFont="1" applyBorder="1" applyAlignment="1">
      <alignment horizontal="center" vertical="center" wrapText="1"/>
    </xf>
    <xf numFmtId="14" fontId="5" fillId="0" borderId="19" xfId="0" applyNumberFormat="1" applyFont="1" applyBorder="1" applyAlignment="1">
      <alignment horizontal="center" vertical="center"/>
    </xf>
    <xf numFmtId="0" fontId="72" fillId="3" borderId="0" xfId="0" applyFont="1" applyFill="1" applyAlignment="1">
      <alignment horizontal="center" vertical="center"/>
    </xf>
    <xf numFmtId="0" fontId="72" fillId="3" borderId="0" xfId="0" applyFont="1" applyFill="1" applyAlignment="1">
      <alignment horizontal="center" vertical="center" wrapText="1"/>
    </xf>
    <xf numFmtId="0" fontId="72" fillId="3" borderId="0" xfId="0" applyFont="1" applyFill="1"/>
    <xf numFmtId="0" fontId="72" fillId="3" borderId="0" xfId="0" applyFont="1" applyFill="1" applyAlignment="1">
      <alignment horizontal="left" vertical="center"/>
    </xf>
    <xf numFmtId="0" fontId="72" fillId="3" borderId="0" xfId="0" applyFont="1" applyFill="1" applyAlignment="1">
      <alignment horizontal="center"/>
    </xf>
    <xf numFmtId="0" fontId="44" fillId="19" borderId="19" xfId="0" applyFont="1" applyFill="1" applyBorder="1" applyAlignment="1">
      <alignment horizontal="center" vertical="center" textRotation="90"/>
    </xf>
    <xf numFmtId="0" fontId="44" fillId="19" borderId="19" xfId="0" applyFont="1" applyFill="1" applyBorder="1" applyAlignment="1">
      <alignment horizontal="center" vertical="center" wrapText="1"/>
    </xf>
    <xf numFmtId="0" fontId="72" fillId="0" borderId="19" xfId="0" applyFont="1" applyBorder="1" applyAlignment="1">
      <alignment horizontal="center" vertical="center"/>
    </xf>
    <xf numFmtId="0" fontId="72"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72" fillId="0" borderId="19" xfId="0" applyFont="1" applyBorder="1" applyAlignment="1">
      <alignment horizontal="justify" vertical="center" wrapText="1"/>
    </xf>
    <xf numFmtId="0" fontId="72" fillId="0" borderId="19" xfId="0" applyFont="1" applyBorder="1" applyAlignment="1">
      <alignment horizontal="center" vertical="center" textRotation="90"/>
    </xf>
    <xf numFmtId="0" fontId="72" fillId="0" borderId="19" xfId="0" applyFont="1" applyBorder="1" applyAlignment="1">
      <alignment horizontal="justify" vertical="center"/>
    </xf>
    <xf numFmtId="0" fontId="72" fillId="0" borderId="0" xfId="0" applyFont="1" applyAlignment="1">
      <alignment horizontal="center" vertical="center"/>
    </xf>
    <xf numFmtId="0" fontId="72" fillId="0" borderId="0" xfId="0" applyFont="1" applyAlignment="1">
      <alignment horizontal="center" vertical="center" wrapText="1"/>
    </xf>
    <xf numFmtId="0" fontId="72" fillId="0" borderId="0" xfId="0" applyFont="1"/>
    <xf numFmtId="0" fontId="72" fillId="0" borderId="0" xfId="0" applyFont="1" applyAlignment="1">
      <alignment horizontal="center"/>
    </xf>
    <xf numFmtId="14" fontId="53" fillId="0" borderId="19" xfId="0" applyNumberFormat="1" applyFont="1" applyBorder="1" applyAlignment="1">
      <alignment horizontal="center" vertical="center"/>
    </xf>
    <xf numFmtId="14" fontId="72" fillId="0" borderId="19" xfId="0" applyNumberFormat="1" applyFont="1" applyBorder="1" applyAlignment="1">
      <alignment horizontal="center" vertical="center"/>
    </xf>
    <xf numFmtId="0" fontId="5" fillId="0" borderId="0" xfId="0" applyFont="1" applyAlignment="1">
      <alignment horizontal="center"/>
    </xf>
    <xf numFmtId="0" fontId="65" fillId="0" borderId="0" xfId="0" applyFont="1"/>
    <xf numFmtId="0" fontId="51" fillId="0" borderId="0" xfId="0" applyFont="1"/>
    <xf numFmtId="0" fontId="65" fillId="19" borderId="19" xfId="0" applyFont="1" applyFill="1" applyBorder="1" applyAlignment="1">
      <alignment horizontal="center" vertical="center"/>
    </xf>
    <xf numFmtId="0" fontId="47" fillId="0" borderId="19" xfId="0" applyFont="1" applyBorder="1" applyAlignment="1">
      <alignment horizontal="justify" vertical="center" wrapText="1"/>
    </xf>
    <xf numFmtId="0" fontId="65" fillId="0" borderId="19" xfId="0" applyFont="1" applyBorder="1" applyAlignment="1">
      <alignment horizontal="center" vertical="center" wrapText="1"/>
    </xf>
    <xf numFmtId="0" fontId="5" fillId="0" borderId="19" xfId="0" applyFont="1" applyBorder="1" applyAlignment="1">
      <alignment horizontal="justify" vertical="center" wrapText="1"/>
    </xf>
    <xf numFmtId="0" fontId="5" fillId="0" borderId="19" xfId="0" applyFont="1" applyBorder="1" applyAlignment="1">
      <alignment horizontal="justify" vertical="center"/>
    </xf>
    <xf numFmtId="14" fontId="47" fillId="0" borderId="19" xfId="0" applyNumberFormat="1" applyFont="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horizontal="center"/>
    </xf>
    <xf numFmtId="0" fontId="65" fillId="19" borderId="19" xfId="0" applyFont="1" applyFill="1" applyBorder="1" applyAlignment="1">
      <alignment horizontal="center" vertical="center" textRotation="90"/>
    </xf>
    <xf numFmtId="0" fontId="65" fillId="19" borderId="19" xfId="0" applyFont="1" applyFill="1" applyBorder="1" applyAlignment="1">
      <alignment horizontal="center" vertical="center" wrapText="1"/>
    </xf>
    <xf numFmtId="0" fontId="47" fillId="0" borderId="19" xfId="0" applyFont="1" applyBorder="1" applyAlignment="1" applyProtection="1">
      <alignment horizontal="center" vertical="center"/>
      <protection hidden="1"/>
    </xf>
    <xf numFmtId="0" fontId="5" fillId="0" borderId="19" xfId="0" applyFont="1" applyBorder="1" applyAlignment="1">
      <alignment horizontal="center" vertical="center" textRotation="90"/>
    </xf>
    <xf numFmtId="0" fontId="47" fillId="0" borderId="19" xfId="0" applyFont="1" applyBorder="1" applyAlignment="1">
      <alignment horizontal="center" vertical="center" textRotation="90"/>
    </xf>
    <xf numFmtId="0" fontId="5" fillId="0" borderId="19" xfId="0" applyFont="1" applyBorder="1" applyAlignment="1">
      <alignment vertical="center" wrapText="1"/>
    </xf>
    <xf numFmtId="0" fontId="47" fillId="0" borderId="78" xfId="0" applyFont="1" applyBorder="1" applyAlignment="1">
      <alignment horizontal="center" vertical="center"/>
    </xf>
    <xf numFmtId="0" fontId="47" fillId="0" borderId="78" xfId="0" applyFont="1" applyBorder="1" applyAlignment="1">
      <alignment horizontal="center" vertical="center" textRotation="90"/>
    </xf>
    <xf numFmtId="0" fontId="47" fillId="0" borderId="19" xfId="0" applyFont="1" applyBorder="1" applyAlignment="1">
      <alignment vertical="center" wrapText="1"/>
    </xf>
    <xf numFmtId="0" fontId="58" fillId="3" borderId="19" xfId="0" applyFont="1" applyFill="1" applyBorder="1" applyAlignment="1">
      <alignment horizontal="center" vertical="center" wrapText="1"/>
    </xf>
    <xf numFmtId="14" fontId="59" fillId="3" borderId="19" xfId="0" applyNumberFormat="1" applyFont="1" applyFill="1" applyBorder="1" applyAlignment="1">
      <alignment horizontal="center"/>
    </xf>
    <xf numFmtId="0" fontId="45" fillId="3" borderId="38" xfId="0" applyFont="1" applyFill="1" applyBorder="1"/>
    <xf numFmtId="0" fontId="45" fillId="0" borderId="0" xfId="0" applyFont="1"/>
    <xf numFmtId="0" fontId="58" fillId="18" borderId="19" xfId="0" applyFont="1" applyFill="1" applyBorder="1" applyAlignment="1">
      <alignment horizontal="center" vertical="center"/>
    </xf>
    <xf numFmtId="0" fontId="58" fillId="18" borderId="19" xfId="0" applyFont="1" applyFill="1" applyBorder="1" applyAlignment="1">
      <alignment horizontal="center" vertical="center" wrapText="1"/>
    </xf>
    <xf numFmtId="0" fontId="45" fillId="0" borderId="0" xfId="0" applyFont="1" applyAlignment="1">
      <alignment horizontal="center"/>
    </xf>
    <xf numFmtId="0" fontId="45" fillId="26" borderId="19" xfId="0" applyFont="1" applyFill="1" applyBorder="1" applyAlignment="1">
      <alignment horizontal="center" vertical="center" wrapText="1"/>
    </xf>
    <xf numFmtId="0" fontId="45" fillId="26" borderId="19" xfId="0" applyFont="1" applyFill="1" applyBorder="1" applyAlignment="1">
      <alignment vertical="center" wrapText="1"/>
    </xf>
    <xf numFmtId="0" fontId="58" fillId="26" borderId="19" xfId="0" applyFont="1" applyFill="1" applyBorder="1" applyAlignment="1">
      <alignment horizontal="center" vertical="center" wrapText="1"/>
    </xf>
    <xf numFmtId="0" fontId="45" fillId="26" borderId="19" xfId="0" applyFont="1" applyFill="1" applyBorder="1" applyAlignment="1">
      <alignment horizontal="justify" vertical="center" wrapText="1"/>
    </xf>
    <xf numFmtId="0" fontId="45" fillId="26" borderId="19" xfId="0" quotePrefix="1" applyFont="1" applyFill="1" applyBorder="1" applyAlignment="1">
      <alignment vertical="center" wrapText="1"/>
    </xf>
    <xf numFmtId="0" fontId="45" fillId="26" borderId="62" xfId="0" quotePrefix="1" applyFont="1" applyFill="1" applyBorder="1" applyAlignment="1">
      <alignment vertical="center" wrapText="1"/>
    </xf>
    <xf numFmtId="0" fontId="45" fillId="26" borderId="19" xfId="4" applyFont="1" applyFill="1" applyBorder="1" applyAlignment="1">
      <alignment vertical="center" wrapText="1"/>
    </xf>
    <xf numFmtId="0" fontId="45" fillId="3" borderId="0" xfId="0" applyFont="1" applyFill="1"/>
    <xf numFmtId="0" fontId="45" fillId="0" borderId="19" xfId="0" applyFont="1" applyBorder="1" applyAlignment="1">
      <alignment horizontal="center" vertical="center" wrapText="1"/>
    </xf>
    <xf numFmtId="0" fontId="45" fillId="0" borderId="19" xfId="0" applyFont="1" applyBorder="1" applyAlignment="1">
      <alignment vertical="center" wrapText="1"/>
    </xf>
    <xf numFmtId="0" fontId="45" fillId="0" borderId="19" xfId="0" applyFont="1" applyBorder="1" applyAlignment="1">
      <alignment horizontal="justify" vertical="center" wrapText="1"/>
    </xf>
    <xf numFmtId="0" fontId="45" fillId="0" borderId="78" xfId="0" applyFont="1" applyBorder="1" applyAlignment="1">
      <alignment horizontal="center" vertical="center" wrapText="1"/>
    </xf>
    <xf numFmtId="0" fontId="45" fillId="0" borderId="78" xfId="0" applyFont="1" applyBorder="1" applyAlignment="1">
      <alignment vertical="center" wrapText="1"/>
    </xf>
    <xf numFmtId="0" fontId="45" fillId="0" borderId="78" xfId="0" applyFont="1" applyBorder="1" applyAlignment="1">
      <alignment horizontal="left" vertical="center" wrapText="1"/>
    </xf>
    <xf numFmtId="0" fontId="45" fillId="0" borderId="82" xfId="0" applyFont="1" applyBorder="1" applyAlignment="1">
      <alignment vertical="center" wrapText="1"/>
    </xf>
    <xf numFmtId="0" fontId="45" fillId="26" borderId="78" xfId="0" applyFont="1" applyFill="1" applyBorder="1" applyAlignment="1">
      <alignment horizontal="center" vertical="center" wrapText="1"/>
    </xf>
    <xf numFmtId="0" fontId="45" fillId="26" borderId="78" xfId="0" applyFont="1" applyFill="1" applyBorder="1" applyAlignment="1">
      <alignment vertical="center" wrapText="1"/>
    </xf>
    <xf numFmtId="0" fontId="45" fillId="26" borderId="78" xfId="0" applyFont="1" applyFill="1" applyBorder="1" applyAlignment="1">
      <alignment horizontal="left" vertical="center" wrapText="1"/>
    </xf>
    <xf numFmtId="0" fontId="45" fillId="26" borderId="82" xfId="0" applyFont="1" applyFill="1" applyBorder="1" applyAlignment="1">
      <alignment vertical="center" wrapText="1"/>
    </xf>
    <xf numFmtId="0" fontId="45" fillId="27" borderId="78" xfId="0" applyFont="1" applyFill="1" applyBorder="1" applyAlignment="1">
      <alignment horizontal="center" vertical="center" wrapText="1"/>
    </xf>
    <xf numFmtId="0" fontId="45" fillId="27" borderId="78" xfId="0" applyFont="1" applyFill="1" applyBorder="1" applyAlignment="1">
      <alignment vertical="center" wrapText="1"/>
    </xf>
    <xf numFmtId="0" fontId="59" fillId="27" borderId="78" xfId="0" applyFont="1" applyFill="1" applyBorder="1" applyAlignment="1">
      <alignment vertical="center" wrapText="1"/>
    </xf>
    <xf numFmtId="0" fontId="45" fillId="27" borderId="78" xfId="0" applyFont="1" applyFill="1" applyBorder="1" applyAlignment="1">
      <alignment horizontal="left" vertical="center" wrapText="1"/>
    </xf>
    <xf numFmtId="0" fontId="45" fillId="27" borderId="78" xfId="0" applyFont="1" applyFill="1" applyBorder="1" applyAlignment="1">
      <alignment wrapText="1"/>
    </xf>
    <xf numFmtId="0" fontId="45" fillId="27" borderId="82" xfId="0" applyFont="1" applyFill="1" applyBorder="1" applyAlignment="1">
      <alignment wrapText="1"/>
    </xf>
    <xf numFmtId="0" fontId="45" fillId="27" borderId="19" xfId="4" applyFont="1" applyFill="1" applyBorder="1" applyAlignment="1">
      <alignment vertical="center" wrapText="1"/>
    </xf>
    <xf numFmtId="0" fontId="45" fillId="0" borderId="82" xfId="0" applyFont="1" applyBorder="1" applyAlignment="1">
      <alignment wrapText="1"/>
    </xf>
    <xf numFmtId="0" fontId="45" fillId="27" borderId="19" xfId="0" applyFont="1" applyFill="1" applyBorder="1" applyAlignment="1">
      <alignment horizontal="center" vertical="center" wrapText="1"/>
    </xf>
    <xf numFmtId="0" fontId="45" fillId="27" borderId="19" xfId="0" applyFont="1" applyFill="1" applyBorder="1" applyAlignment="1">
      <alignment horizontal="justify" vertical="center" wrapText="1"/>
    </xf>
    <xf numFmtId="0" fontId="45" fillId="27" borderId="19" xfId="0" quotePrefix="1" applyFont="1" applyFill="1" applyBorder="1" applyAlignment="1">
      <alignment vertical="center" wrapText="1"/>
    </xf>
    <xf numFmtId="0" fontId="45" fillId="27" borderId="62" xfId="0" quotePrefix="1" applyFont="1" applyFill="1" applyBorder="1" applyAlignment="1">
      <alignment vertical="center" wrapText="1"/>
    </xf>
    <xf numFmtId="0" fontId="45" fillId="27" borderId="19" xfId="0" applyFont="1" applyFill="1" applyBorder="1" applyAlignment="1">
      <alignment vertical="center" wrapText="1"/>
    </xf>
    <xf numFmtId="0" fontId="45" fillId="18" borderId="19" xfId="0" applyFont="1" applyFill="1" applyBorder="1" applyAlignment="1">
      <alignment horizontal="center" vertical="center" wrapText="1"/>
    </xf>
    <xf numFmtId="0" fontId="45" fillId="18" borderId="78" xfId="0" applyFont="1" applyFill="1" applyBorder="1" applyAlignment="1">
      <alignment vertical="center" wrapText="1"/>
    </xf>
    <xf numFmtId="0" fontId="59" fillId="17" borderId="19" xfId="0" applyFont="1" applyFill="1" applyBorder="1" applyAlignment="1">
      <alignment vertical="center" wrapText="1"/>
    </xf>
    <xf numFmtId="0" fontId="45" fillId="18" borderId="19" xfId="0" applyFont="1" applyFill="1" applyBorder="1" applyAlignment="1">
      <alignment horizontal="justify" vertical="center" wrapText="1"/>
    </xf>
    <xf numFmtId="0" fontId="45" fillId="18" borderId="19" xfId="0" applyFont="1" applyFill="1" applyBorder="1" applyAlignment="1">
      <alignment wrapText="1"/>
    </xf>
    <xf numFmtId="0" fontId="45" fillId="18" borderId="78" xfId="0" applyFont="1" applyFill="1" applyBorder="1" applyAlignment="1">
      <alignment horizontal="left" vertical="center" wrapText="1"/>
    </xf>
    <xf numFmtId="0" fontId="45" fillId="18" borderId="62" xfId="0" applyFont="1" applyFill="1" applyBorder="1" applyAlignment="1">
      <alignment wrapText="1"/>
    </xf>
    <xf numFmtId="0" fontId="45" fillId="18" borderId="19" xfId="4" applyFont="1" applyFill="1" applyBorder="1" applyAlignment="1">
      <alignment vertical="center" wrapText="1"/>
    </xf>
    <xf numFmtId="0" fontId="45" fillId="18" borderId="19" xfId="0" applyFont="1" applyFill="1" applyBorder="1" applyAlignment="1">
      <alignment vertical="center" wrapText="1"/>
    </xf>
    <xf numFmtId="0" fontId="45" fillId="0" borderId="19" xfId="0" quotePrefix="1" applyFont="1" applyBorder="1" applyAlignment="1">
      <alignment vertical="center" wrapText="1"/>
    </xf>
    <xf numFmtId="0" fontId="45" fillId="0" borderId="62" xfId="0" applyFont="1" applyBorder="1" applyAlignment="1">
      <alignment wrapText="1"/>
    </xf>
    <xf numFmtId="0" fontId="45" fillId="0" borderId="62" xfId="0" applyFont="1" applyBorder="1" applyAlignment="1">
      <alignment vertical="center" wrapText="1"/>
    </xf>
    <xf numFmtId="0" fontId="45" fillId="0" borderId="19" xfId="4" applyFont="1" applyBorder="1" applyAlignment="1">
      <alignment vertical="center" wrapText="1"/>
    </xf>
    <xf numFmtId="0" fontId="45" fillId="0" borderId="19" xfId="0" applyFont="1" applyBorder="1" applyAlignment="1">
      <alignment horizontal="center" vertical="center"/>
    </xf>
    <xf numFmtId="0" fontId="45" fillId="0" borderId="62" xfId="0" quotePrefix="1" applyFont="1" applyBorder="1" applyAlignment="1">
      <alignment vertical="center" wrapText="1"/>
    </xf>
    <xf numFmtId="0" fontId="0" fillId="0" borderId="19" xfId="0" applyBorder="1" applyAlignment="1">
      <alignment vertical="center" wrapText="1"/>
    </xf>
    <xf numFmtId="0" fontId="45" fillId="0" borderId="19" xfId="0" applyFont="1" applyBorder="1" applyAlignment="1">
      <alignment vertical="center"/>
    </xf>
    <xf numFmtId="0" fontId="45" fillId="0" borderId="19" xfId="0" applyFont="1" applyBorder="1"/>
    <xf numFmtId="0" fontId="45" fillId="0" borderId="62" xfId="0" applyFont="1" applyBorder="1"/>
    <xf numFmtId="0" fontId="45" fillId="0" borderId="62" xfId="0" applyFont="1" applyBorder="1" applyAlignment="1">
      <alignment vertical="center"/>
    </xf>
    <xf numFmtId="0" fontId="45" fillId="0" borderId="19" xfId="0" quotePrefix="1" applyFont="1" applyBorder="1" applyAlignment="1">
      <alignment horizontal="justify" vertical="center" wrapText="1"/>
    </xf>
    <xf numFmtId="0" fontId="45" fillId="0" borderId="19" xfId="0" applyFont="1" applyBorder="1" applyAlignment="1">
      <alignment wrapText="1"/>
    </xf>
    <xf numFmtId="0" fontId="45" fillId="0" borderId="19" xfId="4" applyFont="1" applyBorder="1" applyAlignment="1">
      <alignment horizontal="justify" vertical="center" wrapText="1"/>
    </xf>
    <xf numFmtId="0" fontId="59"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5" fillId="3" borderId="0" xfId="0" applyFont="1" applyFill="1" applyAlignment="1">
      <alignment horizontal="left" vertical="center" wrapText="1"/>
    </xf>
    <xf numFmtId="0" fontId="61" fillId="3" borderId="0" xfId="0" applyFont="1" applyFill="1" applyAlignment="1">
      <alignment vertical="center" wrapText="1"/>
    </xf>
    <xf numFmtId="0" fontId="45" fillId="3" borderId="0" xfId="0" applyFont="1" applyFill="1" applyAlignment="1">
      <alignment wrapText="1"/>
    </xf>
    <xf numFmtId="0" fontId="61" fillId="3" borderId="0" xfId="0" applyFont="1" applyFill="1"/>
    <xf numFmtId="0" fontId="2" fillId="0" borderId="64" xfId="0" applyFont="1" applyBorder="1" applyProtection="1">
      <protection locked="0"/>
    </xf>
    <xf numFmtId="0" fontId="2" fillId="0" borderId="87" xfId="0" applyFont="1" applyBorder="1" applyProtection="1">
      <protection locked="0"/>
    </xf>
    <xf numFmtId="14" fontId="47" fillId="0" borderId="19" xfId="0" applyNumberFormat="1" applyFont="1" applyBorder="1" applyAlignment="1" applyProtection="1">
      <alignment horizontal="center" vertical="center"/>
      <protection locked="0"/>
    </xf>
    <xf numFmtId="14" fontId="2" fillId="0" borderId="19" xfId="0" applyNumberFormat="1" applyFont="1" applyBorder="1" applyAlignment="1" applyProtection="1">
      <alignment horizontal="center" vertical="center" wrapText="1"/>
      <protection locked="0"/>
    </xf>
    <xf numFmtId="0" fontId="72" fillId="0" borderId="88" xfId="0" applyFont="1" applyBorder="1" applyAlignment="1" applyProtection="1">
      <alignment vertical="center"/>
      <protection locked="0"/>
    </xf>
    <xf numFmtId="0" fontId="2" fillId="9" borderId="20" xfId="0" applyFont="1" applyFill="1" applyBorder="1" applyAlignment="1" applyProtection="1">
      <alignment horizontal="center" vertical="center" wrapText="1"/>
      <protection locked="0"/>
    </xf>
    <xf numFmtId="0" fontId="5" fillId="0" borderId="20" xfId="0" applyFont="1" applyBorder="1" applyAlignment="1">
      <alignment horizontal="center" vertical="center" wrapText="1"/>
    </xf>
    <xf numFmtId="14" fontId="47" fillId="0" borderId="19" xfId="0" applyNumberFormat="1" applyFont="1" applyBorder="1" applyAlignment="1">
      <alignment horizontal="center" vertical="center" wrapText="1"/>
    </xf>
    <xf numFmtId="0" fontId="2" fillId="0" borderId="64" xfId="0" applyFont="1" applyBorder="1" applyAlignment="1">
      <alignment wrapText="1"/>
    </xf>
    <xf numFmtId="0" fontId="2" fillId="0" borderId="19" xfId="0" applyFont="1" applyBorder="1" applyAlignment="1">
      <alignment horizontal="center" vertical="center" wrapText="1"/>
    </xf>
    <xf numFmtId="0" fontId="5" fillId="9" borderId="19" xfId="0" applyFont="1" applyFill="1" applyBorder="1" applyAlignment="1">
      <alignment horizontal="center" vertical="center" wrapText="1"/>
    </xf>
    <xf numFmtId="0" fontId="47" fillId="9" borderId="19" xfId="0" applyFont="1" applyFill="1" applyBorder="1" applyAlignment="1">
      <alignment horizontal="center" vertical="center" wrapText="1"/>
    </xf>
    <xf numFmtId="14" fontId="47" fillId="9" borderId="19" xfId="0" applyNumberFormat="1" applyFont="1" applyFill="1" applyBorder="1" applyAlignment="1">
      <alignment horizontal="center" vertical="center"/>
    </xf>
    <xf numFmtId="0" fontId="47" fillId="0" borderId="61" xfId="0" applyFont="1" applyBorder="1" applyAlignment="1">
      <alignment horizontal="center" vertical="center" wrapText="1"/>
    </xf>
    <xf numFmtId="14" fontId="47" fillId="0" borderId="61" xfId="0" applyNumberFormat="1" applyFont="1" applyBorder="1" applyAlignment="1">
      <alignment horizontal="center" vertical="center"/>
    </xf>
    <xf numFmtId="0" fontId="5" fillId="0" borderId="78" xfId="0" applyFont="1" applyBorder="1"/>
    <xf numFmtId="0" fontId="2" fillId="0" borderId="87" xfId="0" applyFont="1" applyBorder="1" applyAlignment="1">
      <alignment wrapText="1"/>
    </xf>
    <xf numFmtId="0" fontId="5" fillId="0" borderId="20" xfId="0" applyFont="1" applyBorder="1" applyAlignment="1">
      <alignment horizontal="center" vertical="center"/>
    </xf>
    <xf numFmtId="14" fontId="5" fillId="0" borderId="20" xfId="0" applyNumberFormat="1" applyFont="1" applyBorder="1" applyAlignment="1">
      <alignment horizontal="center" vertical="center"/>
    </xf>
    <xf numFmtId="14" fontId="2" fillId="0" borderId="20" xfId="0" applyNumberFormat="1" applyFont="1" applyBorder="1" applyAlignment="1">
      <alignment horizontal="center" vertical="center" wrapText="1"/>
    </xf>
    <xf numFmtId="0" fontId="2" fillId="0" borderId="87" xfId="0" applyFont="1" applyBorder="1"/>
    <xf numFmtId="14" fontId="2" fillId="0" borderId="20" xfId="0" applyNumberFormat="1" applyFont="1" applyBorder="1" applyAlignment="1">
      <alignment wrapText="1"/>
    </xf>
    <xf numFmtId="0" fontId="2" fillId="0" borderId="20" xfId="0" applyFont="1" applyBorder="1" applyAlignment="1">
      <alignment wrapText="1"/>
    </xf>
    <xf numFmtId="14" fontId="53" fillId="0" borderId="19" xfId="0" applyNumberFormat="1" applyFont="1" applyBorder="1" applyAlignment="1">
      <alignment horizontal="center" vertical="center" wrapText="1"/>
    </xf>
    <xf numFmtId="0" fontId="76" fillId="0" borderId="19" xfId="0" applyFont="1" applyBorder="1" applyAlignment="1">
      <alignment horizontal="justify" vertical="center" wrapText="1"/>
    </xf>
    <xf numFmtId="0" fontId="2" fillId="0" borderId="19" xfId="0" applyFont="1" applyBorder="1" applyAlignment="1">
      <alignment horizontal="left" vertical="center" wrapText="1"/>
    </xf>
    <xf numFmtId="0" fontId="2" fillId="0" borderId="64" xfId="0" applyFont="1" applyBorder="1" applyAlignment="1">
      <alignment horizontal="left" vertical="center" wrapText="1"/>
    </xf>
    <xf numFmtId="0" fontId="2" fillId="0" borderId="19" xfId="0" applyFont="1" applyBorder="1" applyAlignment="1" applyProtection="1">
      <alignment horizontal="justify" vertical="center" wrapText="1"/>
      <protection locked="0"/>
    </xf>
    <xf numFmtId="14" fontId="66" fillId="0" borderId="19" xfId="0" applyNumberFormat="1" applyFont="1" applyBorder="1" applyAlignment="1" applyProtection="1">
      <alignment horizontal="center" vertical="center" wrapText="1"/>
      <protection locked="0"/>
    </xf>
    <xf numFmtId="14" fontId="66" fillId="0" borderId="19" xfId="0" applyNumberFormat="1" applyFont="1" applyBorder="1" applyAlignment="1">
      <alignment horizontal="center" vertical="center" wrapText="1"/>
    </xf>
    <xf numFmtId="14" fontId="2" fillId="0" borderId="19" xfId="0" applyNumberFormat="1" applyFont="1" applyBorder="1" applyAlignment="1">
      <alignment horizontal="left" vertical="center" wrapText="1"/>
    </xf>
    <xf numFmtId="0" fontId="66" fillId="0" borderId="20" xfId="0" applyFont="1" applyBorder="1" applyAlignment="1">
      <alignment wrapText="1"/>
    </xf>
    <xf numFmtId="14" fontId="66" fillId="0" borderId="20" xfId="0" applyNumberFormat="1" applyFont="1" applyBorder="1" applyAlignment="1">
      <alignment horizontal="left" vertical="center" wrapText="1" indent="1"/>
    </xf>
    <xf numFmtId="14" fontId="72" fillId="0" borderId="19" xfId="0" applyNumberFormat="1" applyFont="1" applyBorder="1" applyAlignment="1" applyProtection="1">
      <alignment horizontal="center" vertical="center" wrapText="1"/>
      <protection locked="0"/>
    </xf>
    <xf numFmtId="0" fontId="2" fillId="0" borderId="89" xfId="0" applyFont="1" applyBorder="1" applyAlignment="1">
      <alignment horizontal="center" vertical="center" wrapText="1"/>
    </xf>
    <xf numFmtId="0" fontId="2" fillId="0" borderId="90" xfId="0" applyFont="1" applyBorder="1" applyAlignment="1" applyProtection="1">
      <alignment wrapText="1"/>
      <protection locked="0"/>
    </xf>
    <xf numFmtId="0" fontId="2" fillId="0" borderId="90" xfId="0" applyFont="1" applyBorder="1" applyProtection="1">
      <protection locked="0"/>
    </xf>
    <xf numFmtId="0" fontId="5" fillId="0" borderId="89"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protection locked="0"/>
    </xf>
    <xf numFmtId="14" fontId="51" fillId="0" borderId="89" xfId="0" applyNumberFormat="1" applyFont="1" applyBorder="1" applyAlignment="1">
      <alignment horizontal="center" vertical="center" wrapText="1"/>
    </xf>
    <xf numFmtId="0" fontId="2" fillId="0" borderId="89" xfId="0" applyFont="1" applyBorder="1" applyAlignment="1">
      <alignment horizontal="left" vertical="center" wrapText="1"/>
    </xf>
    <xf numFmtId="0" fontId="47" fillId="0" borderId="89" xfId="0" applyFont="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5" fillId="9" borderId="19" xfId="0" applyFont="1" applyFill="1" applyBorder="1" applyAlignment="1" applyProtection="1">
      <alignment horizontal="center" vertical="center" wrapText="1"/>
      <protection locked="0"/>
    </xf>
    <xf numFmtId="0" fontId="71" fillId="0" borderId="19" xfId="0" applyFont="1" applyBorder="1" applyAlignment="1">
      <alignment horizontal="center" vertical="center" wrapText="1"/>
    </xf>
    <xf numFmtId="14" fontId="71" fillId="0" borderId="19" xfId="0" applyNumberFormat="1" applyFont="1" applyBorder="1" applyAlignment="1">
      <alignment horizontal="center" vertical="center"/>
    </xf>
    <xf numFmtId="0" fontId="2" fillId="0" borderId="0" xfId="0" applyFont="1"/>
    <xf numFmtId="14" fontId="5" fillId="28" borderId="19" xfId="0" applyNumberFormat="1" applyFont="1" applyFill="1" applyBorder="1" applyAlignment="1">
      <alignment horizontal="center" vertical="center"/>
    </xf>
    <xf numFmtId="0" fontId="74" fillId="0" borderId="19" xfId="0" applyFont="1" applyBorder="1" applyAlignment="1">
      <alignment horizontal="center" vertical="center" wrapText="1"/>
    </xf>
    <xf numFmtId="0" fontId="47" fillId="0" borderId="78" xfId="0" applyFont="1" applyBorder="1" applyAlignment="1">
      <alignment horizontal="left" vertical="center" wrapText="1"/>
    </xf>
    <xf numFmtId="14" fontId="2" fillId="0" borderId="78" xfId="0" applyNumberFormat="1" applyFont="1" applyBorder="1" applyAlignment="1">
      <alignment vertical="center" wrapText="1"/>
    </xf>
    <xf numFmtId="14" fontId="47" fillId="0" borderId="78" xfId="0" applyNumberFormat="1" applyFont="1" applyBorder="1" applyAlignment="1">
      <alignment horizontal="center" vertical="center" wrapText="1"/>
    </xf>
    <xf numFmtId="0" fontId="47" fillId="0" borderId="78" xfId="0" applyFont="1" applyBorder="1" applyAlignment="1">
      <alignment horizontal="center" vertical="center" wrapText="1"/>
    </xf>
    <xf numFmtId="14" fontId="5" fillId="0" borderId="19" xfId="0" applyNumberFormat="1" applyFont="1" applyBorder="1" applyAlignment="1">
      <alignment horizontal="center" vertical="center" wrapText="1"/>
    </xf>
    <xf numFmtId="0" fontId="2" fillId="0" borderId="19" xfId="0" applyFont="1" applyBorder="1" applyAlignment="1">
      <alignment horizontal="justify" vertical="center" wrapText="1"/>
    </xf>
    <xf numFmtId="14" fontId="47" fillId="0" borderId="78" xfId="0" applyNumberFormat="1" applyFont="1" applyBorder="1" applyAlignment="1">
      <alignment horizontal="center" vertical="center"/>
    </xf>
    <xf numFmtId="0" fontId="77" fillId="0" borderId="19" xfId="0" applyFont="1" applyBorder="1" applyAlignment="1">
      <alignment horizontal="justify" vertical="center" wrapText="1"/>
    </xf>
    <xf numFmtId="0" fontId="2" fillId="0" borderId="87" xfId="0" applyFont="1" applyBorder="1" applyAlignment="1" applyProtection="1">
      <alignment horizontal="center" vertical="center" wrapText="1"/>
      <protection locked="0"/>
    </xf>
    <xf numFmtId="0" fontId="47" fillId="9" borderId="61" xfId="0" applyFont="1" applyFill="1" applyBorder="1" applyAlignment="1">
      <alignment horizontal="center" vertical="center" wrapText="1"/>
    </xf>
    <xf numFmtId="14" fontId="2" fillId="0" borderId="87" xfId="0" applyNumberFormat="1" applyFont="1" applyBorder="1" applyAlignment="1">
      <alignment horizontal="center" vertical="center" wrapText="1"/>
    </xf>
    <xf numFmtId="0" fontId="2" fillId="0" borderId="87" xfId="0" applyFont="1" applyBorder="1" applyAlignment="1">
      <alignment horizontal="center" vertical="center" wrapText="1"/>
    </xf>
    <xf numFmtId="14" fontId="2" fillId="0" borderId="87" xfId="0" applyNumberFormat="1" applyFont="1" applyBorder="1" applyAlignment="1">
      <alignment wrapText="1"/>
    </xf>
    <xf numFmtId="0" fontId="2" fillId="0" borderId="90" xfId="0" applyFont="1" applyBorder="1" applyAlignment="1">
      <alignment wrapText="1"/>
    </xf>
    <xf numFmtId="14" fontId="72" fillId="0" borderId="19" xfId="0" applyNumberFormat="1" applyFont="1" applyBorder="1" applyAlignment="1">
      <alignment horizontal="center" vertical="center" wrapText="1"/>
    </xf>
    <xf numFmtId="0" fontId="5" fillId="0" borderId="19" xfId="0" applyFont="1" applyBorder="1" applyAlignment="1" applyProtection="1">
      <alignment vertical="center"/>
      <protection locked="0"/>
    </xf>
    <xf numFmtId="0" fontId="77" fillId="0" borderId="19" xfId="0" applyFont="1" applyBorder="1" applyAlignment="1" applyProtection="1">
      <alignment horizontal="center" vertical="center" wrapText="1"/>
      <protection locked="0"/>
    </xf>
    <xf numFmtId="14" fontId="77" fillId="0" borderId="19" xfId="0" applyNumberFormat="1" applyFont="1" applyBorder="1" applyAlignment="1" applyProtection="1">
      <alignment horizontal="center" vertical="center" wrapText="1"/>
      <protection locked="0"/>
    </xf>
    <xf numFmtId="0" fontId="2" fillId="0" borderId="87" xfId="0" applyFont="1" applyBorder="1" applyAlignment="1" applyProtection="1">
      <alignment wrapText="1"/>
      <protection locked="0"/>
    </xf>
    <xf numFmtId="14" fontId="76" fillId="0" borderId="19" xfId="0" applyNumberFormat="1" applyFont="1" applyBorder="1" applyAlignment="1" applyProtection="1">
      <alignment horizontal="center" vertical="center" wrapText="1"/>
      <protection locked="0"/>
    </xf>
    <xf numFmtId="0" fontId="76" fillId="0" borderId="19" xfId="0" applyFont="1" applyBorder="1" applyAlignment="1" applyProtection="1">
      <alignment horizontal="center" vertical="center" wrapText="1"/>
      <protection locked="0"/>
    </xf>
    <xf numFmtId="0" fontId="79" fillId="0" borderId="19" xfId="0" applyFont="1" applyBorder="1" applyAlignment="1">
      <alignment horizontal="justify" vertical="center" wrapText="1"/>
    </xf>
    <xf numFmtId="0" fontId="77" fillId="0" borderId="19" xfId="0" applyFont="1" applyBorder="1" applyAlignment="1">
      <alignment horizontal="center" vertical="center" wrapText="1"/>
    </xf>
    <xf numFmtId="0" fontId="81" fillId="0" borderId="19" xfId="0" applyFont="1" applyBorder="1" applyAlignment="1">
      <alignment horizontal="justify" vertical="center" wrapText="1"/>
    </xf>
    <xf numFmtId="0" fontId="81" fillId="0" borderId="19" xfId="0" applyFont="1" applyBorder="1" applyAlignment="1">
      <alignment horizontal="center" vertical="center" wrapText="1"/>
    </xf>
    <xf numFmtId="0" fontId="77" fillId="0" borderId="78" xfId="0" applyFont="1" applyBorder="1" applyAlignment="1" applyProtection="1">
      <alignment horizontal="center" vertical="center" wrapText="1"/>
      <protection locked="0"/>
    </xf>
    <xf numFmtId="0" fontId="77" fillId="0" borderId="64" xfId="0" applyFont="1" applyBorder="1" applyAlignment="1" applyProtection="1">
      <alignment horizontal="center" vertical="center" wrapText="1"/>
      <protection locked="0"/>
    </xf>
    <xf numFmtId="14" fontId="77" fillId="0" borderId="64" xfId="0" applyNumberFormat="1" applyFont="1" applyBorder="1" applyAlignment="1" applyProtection="1">
      <alignment horizontal="center" vertical="center" wrapText="1"/>
      <protection locked="0"/>
    </xf>
    <xf numFmtId="14" fontId="77" fillId="0" borderId="87" xfId="0" applyNumberFormat="1" applyFont="1" applyBorder="1" applyAlignment="1" applyProtection="1">
      <alignment horizontal="center" vertical="center" wrapText="1"/>
      <protection locked="0"/>
    </xf>
    <xf numFmtId="0" fontId="77" fillId="0" borderId="87" xfId="0" applyFont="1" applyBorder="1" applyAlignment="1" applyProtection="1">
      <alignment horizontal="center" vertical="center" wrapText="1"/>
      <protection locked="0"/>
    </xf>
    <xf numFmtId="14" fontId="78" fillId="0" borderId="19" xfId="0" applyNumberFormat="1" applyFont="1" applyBorder="1" applyAlignment="1" applyProtection="1">
      <alignment horizontal="center" vertical="center" wrapText="1"/>
      <protection locked="0"/>
    </xf>
    <xf numFmtId="0" fontId="78"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protection locked="0"/>
    </xf>
    <xf numFmtId="14" fontId="77" fillId="0" borderId="78"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14" fontId="76" fillId="0" borderId="19" xfId="0" applyNumberFormat="1" applyFont="1" applyBorder="1" applyAlignment="1" applyProtection="1">
      <alignment horizontal="center" vertical="center"/>
      <protection locked="0"/>
    </xf>
    <xf numFmtId="14" fontId="77" fillId="3" borderId="19" xfId="0" applyNumberFormat="1" applyFont="1" applyFill="1" applyBorder="1" applyAlignment="1" applyProtection="1">
      <alignment horizontal="center" vertical="center" wrapText="1"/>
      <protection locked="0"/>
    </xf>
    <xf numFmtId="0" fontId="77" fillId="3" borderId="19" xfId="0"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82" fillId="0" borderId="19" xfId="0" applyNumberFormat="1" applyFont="1" applyBorder="1" applyAlignment="1" applyProtection="1">
      <alignment horizontal="center" vertical="center" wrapText="1"/>
      <protection locked="0"/>
    </xf>
    <xf numFmtId="0" fontId="33" fillId="0" borderId="19" xfId="0" applyFont="1" applyBorder="1" applyAlignment="1" applyProtection="1">
      <alignment horizontal="left" vertical="top" wrapText="1"/>
      <protection locked="0"/>
    </xf>
    <xf numFmtId="0" fontId="82" fillId="0" borderId="19" xfId="0" applyFont="1" applyBorder="1" applyAlignment="1" applyProtection="1">
      <alignment horizontal="left" vertical="top" wrapText="1"/>
      <protection locked="0"/>
    </xf>
    <xf numFmtId="0" fontId="82" fillId="0" borderId="19" xfId="0" applyFont="1" applyBorder="1" applyAlignment="1" applyProtection="1">
      <alignment horizontal="left" vertical="top"/>
      <protection locked="0"/>
    </xf>
    <xf numFmtId="14" fontId="82" fillId="0" borderId="19" xfId="0" applyNumberFormat="1" applyFont="1" applyBorder="1" applyAlignment="1" applyProtection="1">
      <alignment horizontal="center" vertical="center"/>
      <protection locked="0"/>
    </xf>
    <xf numFmtId="0" fontId="33" fillId="0" borderId="19" xfId="0" applyFont="1" applyBorder="1" applyAlignment="1" applyProtection="1">
      <alignment horizontal="left" vertical="top"/>
      <protection locked="0"/>
    </xf>
    <xf numFmtId="0" fontId="33" fillId="0" borderId="19"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protection locked="0"/>
    </xf>
    <xf numFmtId="0" fontId="5" fillId="0" borderId="19" xfId="0" applyFont="1" applyBorder="1" applyAlignment="1" applyProtection="1">
      <alignment horizontal="left" vertical="top" wrapText="1"/>
      <protection locked="0"/>
    </xf>
    <xf numFmtId="0" fontId="65" fillId="0" borderId="19" xfId="0" applyFont="1" applyBorder="1" applyAlignment="1" applyProtection="1">
      <alignment horizontal="left" vertical="top" wrapText="1"/>
      <protection locked="0"/>
    </xf>
    <xf numFmtId="0" fontId="53" fillId="3" borderId="50" xfId="2" applyFont="1" applyFill="1" applyBorder="1" applyAlignment="1">
      <alignment horizontal="justify" vertical="center" wrapText="1"/>
    </xf>
    <xf numFmtId="0" fontId="53" fillId="3" borderId="51" xfId="2" applyFont="1" applyFill="1" applyBorder="1" applyAlignment="1">
      <alignment horizontal="justify" vertical="center"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44" xfId="3" applyFont="1" applyFill="1" applyBorder="1" applyAlignment="1">
      <alignment horizontal="left" vertical="top" wrapText="1" readingOrder="1"/>
    </xf>
    <xf numFmtId="0" fontId="52" fillId="3" borderId="45" xfId="3" applyFont="1" applyFill="1" applyBorder="1" applyAlignment="1">
      <alignment horizontal="left" vertical="top" wrapText="1" readingOrder="1"/>
    </xf>
    <xf numFmtId="0" fontId="53" fillId="3" borderId="46" xfId="2" applyFont="1" applyFill="1" applyBorder="1" applyAlignment="1">
      <alignment horizontal="justify" vertical="center" wrapText="1"/>
    </xf>
    <xf numFmtId="0" fontId="53" fillId="3" borderId="47" xfId="2"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47" fillId="3" borderId="5"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6"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48" fillId="14" borderId="34" xfId="2" applyFont="1" applyFill="1" applyBorder="1" applyAlignment="1">
      <alignment horizontal="center" vertical="center" wrapText="1"/>
    </xf>
    <xf numFmtId="0" fontId="48" fillId="14" borderId="35" xfId="2" applyFont="1" applyFill="1" applyBorder="1" applyAlignment="1">
      <alignment horizontal="center" vertical="center" wrapText="1"/>
    </xf>
    <xf numFmtId="0" fontId="48" fillId="14" borderId="36" xfId="2" applyFont="1" applyFill="1" applyBorder="1" applyAlignment="1">
      <alignment horizontal="center" vertical="center" wrapText="1"/>
    </xf>
    <xf numFmtId="0" fontId="47" fillId="0" borderId="5"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6" xfId="2" quotePrefix="1" applyFont="1" applyBorder="1" applyAlignment="1">
      <alignment horizontal="left" vertical="center" wrapText="1"/>
    </xf>
    <xf numFmtId="0" fontId="47" fillId="0" borderId="54" xfId="2" quotePrefix="1" applyFont="1" applyBorder="1" applyAlignment="1">
      <alignment horizontal="left" vertical="center" wrapText="1"/>
    </xf>
    <xf numFmtId="0" fontId="47" fillId="0" borderId="55"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9" fillId="3" borderId="37" xfId="2" quotePrefix="1" applyFont="1" applyFill="1" applyBorder="1" applyAlignment="1">
      <alignment horizontal="left" vertical="top" wrapText="1"/>
    </xf>
    <xf numFmtId="0" fontId="50" fillId="3" borderId="38" xfId="2" quotePrefix="1" applyFont="1" applyFill="1" applyBorder="1" applyAlignment="1">
      <alignment horizontal="left" vertical="top" wrapText="1"/>
    </xf>
    <xf numFmtId="0" fontId="50" fillId="3" borderId="39" xfId="2" quotePrefix="1" applyFont="1" applyFill="1" applyBorder="1" applyAlignment="1">
      <alignment horizontal="left" vertical="top" wrapText="1"/>
    </xf>
    <xf numFmtId="0" fontId="47" fillId="0" borderId="5"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6" xfId="2" quotePrefix="1" applyFont="1" applyBorder="1" applyAlignment="1">
      <alignment horizontal="left" vertical="top" wrapText="1"/>
    </xf>
    <xf numFmtId="0" fontId="52" fillId="14" borderId="40" xfId="3" applyFont="1" applyFill="1" applyBorder="1" applyAlignment="1">
      <alignment horizontal="center" vertical="center" wrapText="1"/>
    </xf>
    <xf numFmtId="0" fontId="52" fillId="14" borderId="41" xfId="3" applyFont="1" applyFill="1" applyBorder="1" applyAlignment="1">
      <alignment horizontal="center" vertical="center" wrapText="1"/>
    </xf>
    <xf numFmtId="0" fontId="52" fillId="14" borderId="42" xfId="2" applyFont="1" applyFill="1" applyBorder="1" applyAlignment="1">
      <alignment horizontal="center" vertical="center"/>
    </xf>
    <xf numFmtId="0" fontId="52" fillId="14" borderId="43" xfId="2" applyFont="1" applyFill="1" applyBorder="1" applyAlignment="1">
      <alignment horizontal="center" vertical="center"/>
    </xf>
    <xf numFmtId="0" fontId="1" fillId="3" borderId="54" xfId="2" quotePrefix="1" applyFont="1" applyFill="1" applyBorder="1" applyAlignment="1">
      <alignment horizontal="justify" vertical="center" wrapText="1"/>
    </xf>
    <xf numFmtId="0" fontId="1" fillId="3" borderId="55" xfId="2" quotePrefix="1" applyFont="1" applyFill="1" applyBorder="1" applyAlignment="1">
      <alignment horizontal="justify" vertical="center" wrapText="1"/>
    </xf>
    <xf numFmtId="0" fontId="1" fillId="3" borderId="56" xfId="2" quotePrefix="1" applyFont="1" applyFill="1" applyBorder="1" applyAlignment="1">
      <alignment horizontal="justify" vertical="center" wrapText="1"/>
    </xf>
    <xf numFmtId="0" fontId="45" fillId="0" borderId="61" xfId="4" applyFont="1" applyBorder="1" applyAlignment="1">
      <alignment horizontal="center" vertical="center" wrapText="1"/>
    </xf>
    <xf numFmtId="0" fontId="45" fillId="0" borderId="20" xfId="4" applyFont="1" applyBorder="1" applyAlignment="1">
      <alignment horizontal="center" vertical="center" wrapText="1"/>
    </xf>
    <xf numFmtId="0" fontId="45" fillId="0" borderId="61" xfId="0" applyFont="1" applyBorder="1" applyAlignment="1">
      <alignment horizontal="center" vertical="center" wrapText="1"/>
    </xf>
    <xf numFmtId="0" fontId="45" fillId="0" borderId="20" xfId="0" applyFont="1" applyBorder="1" applyAlignment="1">
      <alignment horizontal="center" vertical="center" wrapText="1"/>
    </xf>
    <xf numFmtId="0" fontId="58" fillId="0" borderId="19" xfId="0" applyFont="1" applyBorder="1" applyAlignment="1">
      <alignment horizontal="justify" vertical="center" wrapText="1"/>
    </xf>
    <xf numFmtId="0" fontId="58" fillId="16" borderId="61" xfId="0" applyFont="1" applyFill="1" applyBorder="1" applyAlignment="1">
      <alignment horizontal="center" vertical="center" wrapText="1"/>
    </xf>
    <xf numFmtId="0" fontId="58" fillId="16" borderId="65" xfId="0" applyFont="1" applyFill="1" applyBorder="1" applyAlignment="1">
      <alignment horizontal="center" vertical="center" wrapText="1"/>
    </xf>
    <xf numFmtId="0" fontId="58" fillId="16" borderId="20" xfId="0" applyFont="1" applyFill="1" applyBorder="1" applyAlignment="1">
      <alignment horizontal="center" vertical="center" wrapText="1"/>
    </xf>
    <xf numFmtId="14" fontId="60" fillId="3" borderId="19" xfId="0" applyNumberFormat="1" applyFont="1" applyFill="1" applyBorder="1" applyAlignment="1">
      <alignment horizontal="center" vertical="center"/>
    </xf>
    <xf numFmtId="0" fontId="58" fillId="16" borderId="62"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64" xfId="0" applyFont="1" applyFill="1" applyBorder="1" applyAlignment="1">
      <alignment horizontal="center" vertical="center" wrapText="1"/>
    </xf>
    <xf numFmtId="0" fontId="58" fillId="17" borderId="19" xfId="0" applyFont="1" applyFill="1" applyBorder="1" applyAlignment="1">
      <alignment horizontal="center" vertical="center" wrapText="1"/>
    </xf>
    <xf numFmtId="0" fontId="45" fillId="0" borderId="65" xfId="4" applyFont="1" applyBorder="1" applyAlignment="1">
      <alignment horizontal="center" vertical="center" wrapText="1"/>
    </xf>
    <xf numFmtId="0" fontId="45" fillId="4" borderId="61" xfId="4" applyFont="1" applyFill="1" applyBorder="1" applyAlignment="1">
      <alignment horizontal="center" vertical="center" wrapText="1"/>
    </xf>
    <xf numFmtId="0" fontId="45" fillId="4" borderId="65" xfId="4" applyFont="1" applyFill="1" applyBorder="1" applyAlignment="1">
      <alignment horizontal="center" vertical="center" wrapText="1"/>
    </xf>
    <xf numFmtId="0" fontId="45" fillId="4" borderId="20" xfId="4" applyFont="1" applyFill="1" applyBorder="1" applyAlignment="1">
      <alignment horizontal="center" vertical="center" wrapText="1"/>
    </xf>
    <xf numFmtId="0" fontId="65" fillId="20" borderId="19" xfId="0" applyFont="1" applyFill="1" applyBorder="1" applyAlignment="1">
      <alignment horizontal="center" vertical="center"/>
    </xf>
    <xf numFmtId="0" fontId="65" fillId="20" borderId="19"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19" xfId="0" applyFont="1" applyBorder="1" applyAlignment="1">
      <alignment horizontal="center" vertical="center" wrapText="1"/>
    </xf>
    <xf numFmtId="0" fontId="65" fillId="15" borderId="62" xfId="0" applyFont="1" applyFill="1" applyBorder="1" applyAlignment="1">
      <alignment horizontal="center" vertical="center"/>
    </xf>
    <xf numFmtId="0" fontId="65" fillId="15" borderId="63" xfId="0" applyFont="1" applyFill="1" applyBorder="1" applyAlignment="1">
      <alignment horizontal="center" vertical="center"/>
    </xf>
    <xf numFmtId="0" fontId="65" fillId="15" borderId="64" xfId="0" applyFont="1" applyFill="1" applyBorder="1" applyAlignment="1">
      <alignment horizontal="center" vertical="center"/>
    </xf>
    <xf numFmtId="0" fontId="65" fillId="19" borderId="62" xfId="0" applyFont="1" applyFill="1" applyBorder="1" applyAlignment="1">
      <alignment horizontal="center" vertical="center"/>
    </xf>
    <xf numFmtId="0" fontId="65" fillId="19" borderId="63" xfId="0" applyFont="1" applyFill="1" applyBorder="1" applyAlignment="1">
      <alignment horizontal="center" vertical="center"/>
    </xf>
    <xf numFmtId="0" fontId="65" fillId="19" borderId="64" xfId="0" applyFont="1" applyFill="1" applyBorder="1" applyAlignment="1">
      <alignment horizontal="center" vertical="center"/>
    </xf>
    <xf numFmtId="0" fontId="5" fillId="0" borderId="61" xfId="0" applyFont="1" applyBorder="1" applyAlignment="1">
      <alignment horizontal="center" vertical="center" textRotation="90"/>
    </xf>
    <xf numFmtId="0" fontId="5" fillId="0" borderId="65" xfId="0" applyFont="1" applyBorder="1" applyAlignment="1">
      <alignment horizontal="center" vertical="center" textRotation="90"/>
    </xf>
    <xf numFmtId="0" fontId="5" fillId="0" borderId="20" xfId="0" applyFont="1" applyBorder="1" applyAlignment="1">
      <alignment horizontal="center" vertical="center" textRotation="90"/>
    </xf>
    <xf numFmtId="0" fontId="65" fillId="23" borderId="19" xfId="0" applyFont="1" applyFill="1" applyBorder="1" applyAlignment="1">
      <alignment horizontal="center" vertical="center"/>
    </xf>
    <xf numFmtId="0" fontId="65" fillId="23" borderId="19" xfId="0" applyFont="1" applyFill="1" applyBorder="1" applyAlignment="1">
      <alignment horizontal="center" vertical="center" wrapText="1"/>
    </xf>
    <xf numFmtId="0" fontId="47" fillId="0" borderId="79" xfId="0" applyFont="1" applyBorder="1" applyAlignment="1">
      <alignment horizontal="center" vertical="center" textRotation="90"/>
    </xf>
    <xf numFmtId="0" fontId="45" fillId="0" borderId="80" xfId="0" applyFont="1" applyBorder="1"/>
    <xf numFmtId="0" fontId="45" fillId="0" borderId="81" xfId="0" applyFont="1" applyBorder="1"/>
    <xf numFmtId="0" fontId="5" fillId="0" borderId="61" xfId="0" applyFont="1" applyBorder="1" applyAlignment="1">
      <alignment horizontal="center" vertical="center" textRotation="90" wrapText="1"/>
    </xf>
    <xf numFmtId="0" fontId="5" fillId="0" borderId="65" xfId="0" applyFont="1" applyBorder="1" applyAlignment="1">
      <alignment horizontal="center" vertical="center" textRotation="90" wrapText="1"/>
    </xf>
    <xf numFmtId="0" fontId="5" fillId="0" borderId="20" xfId="0" applyFont="1" applyBorder="1" applyAlignment="1">
      <alignment horizontal="center" vertical="center" textRotation="90" wrapText="1"/>
    </xf>
    <xf numFmtId="0" fontId="65" fillId="21" borderId="19" xfId="0" applyFont="1" applyFill="1" applyBorder="1" applyAlignment="1">
      <alignment horizontal="center" vertical="center" wrapText="1"/>
    </xf>
    <xf numFmtId="0" fontId="65" fillId="21" borderId="61" xfId="0" applyFont="1" applyFill="1" applyBorder="1" applyAlignment="1">
      <alignment horizontal="center" vertical="center" wrapText="1"/>
    </xf>
    <xf numFmtId="0" fontId="65" fillId="21" borderId="20" xfId="0" applyFont="1" applyFill="1" applyBorder="1" applyAlignment="1">
      <alignment horizontal="center" vertical="center" wrapText="1"/>
    </xf>
    <xf numFmtId="9" fontId="5" fillId="0" borderId="19" xfId="0" applyNumberFormat="1" applyFont="1" applyBorder="1" applyAlignment="1">
      <alignment horizontal="center" vertical="center" wrapText="1"/>
    </xf>
    <xf numFmtId="9" fontId="5" fillId="0" borderId="61" xfId="0" applyNumberFormat="1" applyFont="1" applyBorder="1" applyAlignment="1" applyProtection="1">
      <alignment horizontal="center" vertical="center" wrapText="1"/>
      <protection hidden="1"/>
    </xf>
    <xf numFmtId="0" fontId="4" fillId="0" borderId="65" xfId="0" applyFont="1" applyBorder="1" applyAlignment="1">
      <alignment horizontal="center" vertical="center" wrapText="1"/>
    </xf>
    <xf numFmtId="0" fontId="4" fillId="0" borderId="20" xfId="0" applyFont="1" applyBorder="1" applyAlignment="1">
      <alignment horizontal="center" vertical="center" wrapText="1"/>
    </xf>
    <xf numFmtId="0" fontId="65" fillId="0" borderId="19" xfId="0" applyFont="1" applyBorder="1" applyAlignment="1" applyProtection="1">
      <alignment horizontal="center" vertical="center" wrapText="1"/>
      <protection hidden="1"/>
    </xf>
    <xf numFmtId="9" fontId="5" fillId="0" borderId="19" xfId="0" applyNumberFormat="1" applyFont="1" applyBorder="1" applyAlignment="1" applyProtection="1">
      <alignment horizontal="center" vertical="center" wrapText="1"/>
      <protection hidden="1"/>
    </xf>
    <xf numFmtId="0" fontId="65" fillId="0" borderId="19" xfId="0" applyFont="1" applyBorder="1" applyAlignment="1" applyProtection="1">
      <alignment horizontal="center" vertical="center"/>
      <protection hidden="1"/>
    </xf>
    <xf numFmtId="0" fontId="47" fillId="0" borderId="19" xfId="0" applyFont="1" applyBorder="1" applyAlignment="1">
      <alignment horizontal="center" vertical="center" wrapText="1"/>
    </xf>
    <xf numFmtId="0" fontId="47" fillId="0" borderId="79" xfId="0" applyFont="1" applyBorder="1" applyAlignment="1">
      <alignment horizontal="center" vertical="center" wrapText="1"/>
    </xf>
    <xf numFmtId="0" fontId="47" fillId="0" borderId="19" xfId="0" applyFont="1" applyBorder="1" applyAlignment="1">
      <alignment horizontal="center" vertical="center"/>
    </xf>
    <xf numFmtId="9" fontId="47" fillId="0" borderId="79" xfId="0" applyNumberFormat="1" applyFont="1" applyBorder="1" applyAlignment="1">
      <alignment horizontal="center" vertical="center" wrapText="1"/>
    </xf>
    <xf numFmtId="0" fontId="47" fillId="0" borderId="83" xfId="0" applyFont="1" applyBorder="1" applyAlignment="1">
      <alignment horizontal="center" vertical="center" wrapText="1"/>
    </xf>
    <xf numFmtId="0" fontId="47" fillId="0" borderId="84" xfId="0" applyFont="1" applyBorder="1" applyAlignment="1">
      <alignment horizontal="center" vertical="center" wrapText="1"/>
    </xf>
    <xf numFmtId="0" fontId="47" fillId="0" borderId="85" xfId="0" applyFont="1" applyBorder="1" applyAlignment="1">
      <alignment horizontal="center" vertical="center" wrapText="1"/>
    </xf>
    <xf numFmtId="0" fontId="65" fillId="19" borderId="19" xfId="0" applyFont="1" applyFill="1" applyBorder="1" applyAlignment="1">
      <alignment horizontal="center" vertical="center" textRotation="90"/>
    </xf>
    <xf numFmtId="0" fontId="65" fillId="19" borderId="19" xfId="0" applyFont="1" applyFill="1" applyBorder="1" applyAlignment="1">
      <alignment horizontal="center" vertical="center" wrapText="1"/>
    </xf>
    <xf numFmtId="0" fontId="51" fillId="19" borderId="19" xfId="0" applyFont="1" applyFill="1" applyBorder="1" applyAlignment="1">
      <alignment horizontal="center" vertical="center" wrapText="1"/>
    </xf>
    <xf numFmtId="0" fontId="65" fillId="19" borderId="19" xfId="0" applyFont="1" applyFill="1" applyBorder="1" applyAlignment="1">
      <alignment horizontal="center" vertical="center" textRotation="90" wrapText="1"/>
    </xf>
    <xf numFmtId="0" fontId="65" fillId="19" borderId="19" xfId="0" applyFont="1" applyFill="1" applyBorder="1" applyAlignment="1">
      <alignment horizontal="center" vertical="center"/>
    </xf>
    <xf numFmtId="0" fontId="65" fillId="19" borderId="62" xfId="0" applyFont="1" applyFill="1" applyBorder="1" applyAlignment="1">
      <alignment horizontal="center" vertical="center" wrapText="1"/>
    </xf>
    <xf numFmtId="0" fontId="65" fillId="19" borderId="63" xfId="0" applyFont="1" applyFill="1" applyBorder="1" applyAlignment="1">
      <alignment horizontal="center" vertical="center" wrapText="1"/>
    </xf>
    <xf numFmtId="0" fontId="65" fillId="19" borderId="64" xfId="0" applyFont="1" applyFill="1" applyBorder="1" applyAlignment="1">
      <alignment horizontal="center" vertical="center" wrapText="1"/>
    </xf>
    <xf numFmtId="0" fontId="65" fillId="17" borderId="19" xfId="0" applyFont="1" applyFill="1" applyBorder="1" applyAlignment="1">
      <alignment horizontal="center" vertical="center"/>
    </xf>
    <xf numFmtId="0" fontId="65" fillId="17" borderId="19" xfId="0" applyFont="1" applyFill="1" applyBorder="1" applyAlignment="1">
      <alignment horizontal="center" vertical="center" wrapText="1"/>
    </xf>
    <xf numFmtId="0" fontId="65" fillId="21" borderId="19" xfId="0" applyFont="1" applyFill="1" applyBorder="1" applyAlignment="1">
      <alignment horizontal="center" vertical="center"/>
    </xf>
    <xf numFmtId="0" fontId="65" fillId="19" borderId="61" xfId="0" applyFont="1" applyFill="1" applyBorder="1" applyAlignment="1">
      <alignment horizontal="center" vertical="center" wrapText="1"/>
    </xf>
    <xf numFmtId="0" fontId="65" fillId="19" borderId="20" xfId="0" applyFont="1" applyFill="1" applyBorder="1" applyAlignment="1">
      <alignment horizontal="center" vertical="center" wrapText="1"/>
    </xf>
    <xf numFmtId="0" fontId="65" fillId="15" borderId="19" xfId="0" applyFont="1" applyFill="1" applyBorder="1" applyAlignment="1">
      <alignment horizontal="center" vertical="center" wrapText="1"/>
    </xf>
    <xf numFmtId="0" fontId="65" fillId="20" borderId="19" xfId="0" applyFont="1" applyFill="1" applyBorder="1" applyAlignment="1" applyProtection="1">
      <alignment horizontal="center" vertical="center"/>
      <protection locked="0"/>
    </xf>
    <xf numFmtId="0" fontId="65" fillId="21" borderId="19" xfId="0" applyFont="1" applyFill="1" applyBorder="1" applyAlignment="1" applyProtection="1">
      <alignment horizontal="center" vertical="center" wrapText="1"/>
      <protection locked="0"/>
    </xf>
    <xf numFmtId="0" fontId="65" fillId="21" borderId="61" xfId="0" applyFont="1" applyFill="1" applyBorder="1" applyAlignment="1" applyProtection="1">
      <alignment horizontal="center" vertical="center" wrapText="1"/>
      <protection locked="0"/>
    </xf>
    <xf numFmtId="0" fontId="65" fillId="21" borderId="20" xfId="0" applyFont="1" applyFill="1" applyBorder="1" applyAlignment="1" applyProtection="1">
      <alignment horizontal="center" vertical="center" wrapText="1"/>
      <protection locked="0"/>
    </xf>
    <xf numFmtId="0" fontId="65" fillId="20" borderId="19" xfId="0" applyFont="1" applyFill="1" applyBorder="1" applyAlignment="1" applyProtection="1">
      <alignment horizontal="center" vertical="center" wrapText="1"/>
      <protection locked="0"/>
    </xf>
    <xf numFmtId="0" fontId="65" fillId="15" borderId="62" xfId="0" applyFont="1" applyFill="1" applyBorder="1" applyAlignment="1" applyProtection="1">
      <alignment horizontal="center" vertical="center"/>
      <protection locked="0"/>
    </xf>
    <xf numFmtId="0" fontId="65" fillId="15" borderId="63" xfId="0" applyFont="1" applyFill="1" applyBorder="1" applyAlignment="1" applyProtection="1">
      <alignment horizontal="center" vertical="center"/>
      <protection locked="0"/>
    </xf>
    <xf numFmtId="0" fontId="65" fillId="15" borderId="64" xfId="0" applyFont="1" applyFill="1" applyBorder="1" applyAlignment="1" applyProtection="1">
      <alignment horizontal="center" vertical="center"/>
      <protection locked="0"/>
    </xf>
    <xf numFmtId="0" fontId="73" fillId="19" borderId="66" xfId="0" applyFont="1" applyFill="1" applyBorder="1" applyAlignment="1">
      <alignment horizontal="center" vertical="center"/>
    </xf>
    <xf numFmtId="0" fontId="65" fillId="0" borderId="61" xfId="0" applyFont="1" applyBorder="1" applyAlignment="1" applyProtection="1">
      <alignment horizontal="center" vertical="center" wrapText="1"/>
      <protection hidden="1"/>
    </xf>
    <xf numFmtId="0" fontId="65" fillId="0" borderId="65" xfId="0" applyFont="1" applyBorder="1" applyAlignment="1" applyProtection="1">
      <alignment horizontal="center" vertical="center" wrapText="1"/>
      <protection hidden="1"/>
    </xf>
    <xf numFmtId="0" fontId="65" fillId="0" borderId="20"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protection hidden="1"/>
    </xf>
    <xf numFmtId="0" fontId="63" fillId="22" borderId="66" xfId="0" applyFont="1" applyFill="1" applyBorder="1" applyAlignment="1" applyProtection="1">
      <alignment horizontal="center" vertical="center" wrapText="1"/>
      <protection hidden="1"/>
    </xf>
    <xf numFmtId="0" fontId="62"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5" fillId="0" borderId="61"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0" xfId="0" applyFont="1" applyBorder="1" applyAlignment="1">
      <alignment horizontal="center" vertical="center" wrapText="1"/>
    </xf>
    <xf numFmtId="0" fontId="65" fillId="23" borderId="19" xfId="0" applyFont="1" applyFill="1" applyBorder="1" applyAlignment="1" applyProtection="1">
      <alignment horizontal="center" vertical="center"/>
      <protection locked="0"/>
    </xf>
    <xf numFmtId="0" fontId="65" fillId="23" borderId="19" xfId="0" applyFont="1" applyFill="1" applyBorder="1" applyAlignment="1" applyProtection="1">
      <alignment horizontal="center" vertical="center" wrapText="1"/>
      <protection locked="0"/>
    </xf>
    <xf numFmtId="0" fontId="5" fillId="0" borderId="86" xfId="0" applyFont="1" applyBorder="1" applyAlignment="1">
      <alignment horizontal="center" vertical="center" wrapText="1"/>
    </xf>
    <xf numFmtId="0" fontId="51" fillId="19" borderId="61" xfId="0" applyFont="1" applyFill="1" applyBorder="1" applyAlignment="1">
      <alignment horizontal="center" vertical="center" wrapText="1"/>
    </xf>
    <xf numFmtId="0" fontId="51" fillId="19" borderId="20" xfId="0" applyFont="1" applyFill="1" applyBorder="1" applyAlignment="1">
      <alignment horizontal="center" vertical="center" wrapText="1"/>
    </xf>
    <xf numFmtId="0" fontId="65" fillId="15" borderId="19" xfId="0" applyFont="1" applyFill="1" applyBorder="1" applyAlignment="1" applyProtection="1">
      <alignment horizontal="center" vertical="center" wrapText="1"/>
      <protection locked="0"/>
    </xf>
    <xf numFmtId="0" fontId="51" fillId="17" borderId="19" xfId="0" applyFont="1" applyFill="1" applyBorder="1" applyAlignment="1" applyProtection="1">
      <alignment horizontal="center" vertical="center" wrapText="1"/>
      <protection locked="0"/>
    </xf>
    <xf numFmtId="0" fontId="51" fillId="19" borderId="19" xfId="0" applyFont="1" applyFill="1" applyBorder="1" applyAlignment="1">
      <alignment horizontal="center" vertical="center" textRotation="90" wrapText="1"/>
    </xf>
    <xf numFmtId="0" fontId="51" fillId="19" borderId="68" xfId="0" applyFont="1" applyFill="1" applyBorder="1" applyAlignment="1">
      <alignment horizontal="center" vertical="center" wrapText="1"/>
    </xf>
    <xf numFmtId="0" fontId="51" fillId="19" borderId="69" xfId="0" applyFont="1" applyFill="1" applyBorder="1" applyAlignment="1">
      <alignment horizontal="center" vertical="center" wrapText="1"/>
    </xf>
    <xf numFmtId="0" fontId="51" fillId="19" borderId="70" xfId="0" applyFont="1" applyFill="1" applyBorder="1" applyAlignment="1">
      <alignment horizontal="center" vertical="center" wrapText="1"/>
    </xf>
    <xf numFmtId="0" fontId="51" fillId="19" borderId="71" xfId="0" applyFont="1" applyFill="1" applyBorder="1" applyAlignment="1">
      <alignment horizontal="center" vertical="center" wrapText="1"/>
    </xf>
    <xf numFmtId="0" fontId="65" fillId="21" borderId="19" xfId="0" applyFont="1" applyFill="1" applyBorder="1" applyAlignment="1" applyProtection="1">
      <alignment horizontal="center" vertical="center"/>
      <protection locked="0"/>
    </xf>
    <xf numFmtId="0" fontId="65" fillId="17" borderId="19" xfId="0" applyFont="1" applyFill="1" applyBorder="1" applyAlignment="1" applyProtection="1">
      <alignment horizontal="center" vertical="center"/>
      <protection locked="0"/>
    </xf>
    <xf numFmtId="0" fontId="51" fillId="19" borderId="19" xfId="0" applyFont="1" applyFill="1" applyBorder="1" applyAlignment="1">
      <alignment horizontal="center" vertical="center" textRotation="90"/>
    </xf>
    <xf numFmtId="0" fontId="51" fillId="19" borderId="19" xfId="0" applyFont="1" applyFill="1" applyBorder="1" applyAlignment="1">
      <alignment horizontal="center" vertical="center"/>
    </xf>
    <xf numFmtId="0" fontId="44" fillId="21" borderId="19" xfId="0" applyFont="1" applyFill="1" applyBorder="1" applyAlignment="1">
      <alignment horizontal="center" vertical="center"/>
    </xf>
    <xf numFmtId="0" fontId="44" fillId="20" borderId="19" xfId="0" applyFont="1" applyFill="1" applyBorder="1" applyAlignment="1">
      <alignment horizontal="center" vertical="center"/>
    </xf>
    <xf numFmtId="0" fontId="44" fillId="21" borderId="19" xfId="0" applyFont="1" applyFill="1" applyBorder="1" applyAlignment="1">
      <alignment horizontal="center" vertical="center" wrapText="1"/>
    </xf>
    <xf numFmtId="0" fontId="44" fillId="21" borderId="61" xfId="0" applyFont="1" applyFill="1" applyBorder="1" applyAlignment="1">
      <alignment horizontal="center" vertical="center" wrapText="1"/>
    </xf>
    <xf numFmtId="0" fontId="44" fillId="21" borderId="20" xfId="0" applyFont="1" applyFill="1" applyBorder="1" applyAlignment="1">
      <alignment horizontal="center" vertical="center" wrapText="1"/>
    </xf>
    <xf numFmtId="0" fontId="44" fillId="20" borderId="19" xfId="0" applyFont="1" applyFill="1" applyBorder="1" applyAlignment="1">
      <alignment horizontal="center" vertical="center" wrapText="1"/>
    </xf>
    <xf numFmtId="0" fontId="44" fillId="15" borderId="62" xfId="0" applyFont="1" applyFill="1" applyBorder="1" applyAlignment="1">
      <alignment horizontal="center" vertical="center"/>
    </xf>
    <xf numFmtId="0" fontId="44" fillId="15" borderId="63" xfId="0" applyFont="1" applyFill="1" applyBorder="1" applyAlignment="1">
      <alignment horizontal="center" vertical="center"/>
    </xf>
    <xf numFmtId="0" fontId="44" fillId="15" borderId="64" xfId="0" applyFont="1" applyFill="1" applyBorder="1" applyAlignment="1">
      <alignment horizontal="center" vertical="center"/>
    </xf>
    <xf numFmtId="0" fontId="44" fillId="19" borderId="62" xfId="0" applyFont="1" applyFill="1" applyBorder="1" applyAlignment="1">
      <alignment horizontal="center" vertical="center"/>
    </xf>
    <xf numFmtId="0" fontId="44" fillId="19" borderId="63" xfId="0" applyFont="1" applyFill="1" applyBorder="1" applyAlignment="1">
      <alignment horizontal="center" vertical="center"/>
    </xf>
    <xf numFmtId="0" fontId="44" fillId="19" borderId="64" xfId="0" applyFont="1" applyFill="1" applyBorder="1" applyAlignment="1">
      <alignment horizontal="center" vertical="center"/>
    </xf>
    <xf numFmtId="0" fontId="44" fillId="17" borderId="19" xfId="0" applyFont="1" applyFill="1" applyBorder="1" applyAlignment="1">
      <alignment horizontal="center" vertical="center"/>
    </xf>
    <xf numFmtId="0" fontId="44" fillId="23" borderId="19" xfId="0" applyFont="1" applyFill="1" applyBorder="1" applyAlignment="1">
      <alignment horizontal="center" vertical="center"/>
    </xf>
    <xf numFmtId="0" fontId="44" fillId="19" borderId="19" xfId="0" applyFont="1" applyFill="1" applyBorder="1" applyAlignment="1">
      <alignment horizontal="center" vertical="center" textRotation="90"/>
    </xf>
    <xf numFmtId="0" fontId="44" fillId="19" borderId="19" xfId="0" applyFont="1" applyFill="1" applyBorder="1" applyAlignment="1">
      <alignment horizontal="center" vertical="center" wrapText="1"/>
    </xf>
    <xf numFmtId="0" fontId="44" fillId="19" borderId="19" xfId="0" applyFont="1" applyFill="1" applyBorder="1" applyAlignment="1">
      <alignment horizontal="center" vertical="center"/>
    </xf>
    <xf numFmtId="0" fontId="44" fillId="19" borderId="19" xfId="0" applyFont="1" applyFill="1" applyBorder="1" applyAlignment="1">
      <alignment horizontal="center" vertical="center" textRotation="90" wrapText="1"/>
    </xf>
    <xf numFmtId="0" fontId="44" fillId="19" borderId="62" xfId="0" applyFont="1" applyFill="1" applyBorder="1" applyAlignment="1">
      <alignment horizontal="center" vertical="center" wrapText="1"/>
    </xf>
    <xf numFmtId="0" fontId="44" fillId="19" borderId="63" xfId="0" applyFont="1" applyFill="1" applyBorder="1" applyAlignment="1">
      <alignment horizontal="center" vertical="center" wrapText="1"/>
    </xf>
    <xf numFmtId="0" fontId="44" fillId="19" borderId="64" xfId="0" applyFont="1" applyFill="1" applyBorder="1" applyAlignment="1">
      <alignment horizontal="center" vertical="center" wrapText="1"/>
    </xf>
    <xf numFmtId="0" fontId="44" fillId="15" borderId="19" xfId="0" applyFont="1" applyFill="1" applyBorder="1" applyAlignment="1">
      <alignment horizontal="center" vertical="center" wrapText="1"/>
    </xf>
    <xf numFmtId="0" fontId="72" fillId="0" borderId="19" xfId="0" applyFont="1" applyBorder="1" applyAlignment="1">
      <alignment horizontal="center" vertical="center"/>
    </xf>
    <xf numFmtId="0" fontId="72"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44" fillId="17" borderId="19" xfId="0" applyFont="1" applyFill="1" applyBorder="1" applyAlignment="1">
      <alignment horizontal="center" vertical="center" wrapText="1"/>
    </xf>
    <xf numFmtId="0" fontId="44" fillId="23" borderId="19" xfId="0" applyFont="1" applyFill="1" applyBorder="1" applyAlignment="1">
      <alignment horizontal="center" vertical="center" wrapText="1"/>
    </xf>
    <xf numFmtId="9" fontId="72" fillId="0" borderId="19" xfId="0" applyNumberFormat="1" applyFont="1" applyBorder="1" applyAlignment="1" applyProtection="1">
      <alignment horizontal="center" vertical="center" wrapText="1"/>
      <protection hidden="1"/>
    </xf>
    <xf numFmtId="0" fontId="44" fillId="0" borderId="19" xfId="0" applyFont="1" applyBorder="1" applyAlignment="1" applyProtection="1">
      <alignment horizontal="center" vertical="center" wrapText="1"/>
      <protection hidden="1"/>
    </xf>
    <xf numFmtId="0" fontId="44" fillId="0" borderId="19" xfId="0" applyFont="1" applyBorder="1" applyAlignment="1" applyProtection="1">
      <alignment horizontal="center" vertical="center"/>
      <protection hidden="1"/>
    </xf>
    <xf numFmtId="0" fontId="72" fillId="0" borderId="61" xfId="0" applyFont="1" applyBorder="1" applyAlignment="1">
      <alignment horizontal="center" vertical="center" textRotation="90"/>
    </xf>
    <xf numFmtId="0" fontId="72" fillId="0" borderId="65" xfId="0" applyFont="1" applyBorder="1" applyAlignment="1">
      <alignment horizontal="center" vertical="center" textRotation="90"/>
    </xf>
    <xf numFmtId="0" fontId="72" fillId="0" borderId="20" xfId="0" applyFont="1" applyBorder="1" applyAlignment="1">
      <alignment horizontal="center" vertical="center" textRotation="90"/>
    </xf>
    <xf numFmtId="9" fontId="72" fillId="0" borderId="19" xfId="0" applyNumberFormat="1" applyFont="1" applyBorder="1" applyAlignment="1">
      <alignment horizontal="center" vertical="center" wrapText="1"/>
    </xf>
    <xf numFmtId="0" fontId="65" fillId="15" borderId="19" xfId="0" applyFont="1" applyFill="1" applyBorder="1" applyAlignment="1" applyProtection="1">
      <alignment horizontal="center" vertical="center"/>
      <protection locked="0"/>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1" fillId="0" borderId="10"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2" fillId="0" borderId="7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2" fillId="0" borderId="72" xfId="0" applyFont="1" applyBorder="1" applyAlignment="1">
      <alignment horizontal="center" vertical="center"/>
    </xf>
    <xf numFmtId="0" fontId="2" fillId="0" borderId="25"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2" xfId="0" applyFont="1" applyBorder="1" applyAlignment="1">
      <alignment horizontal="center" wrapText="1"/>
    </xf>
    <xf numFmtId="0" fontId="2" fillId="0" borderId="25" xfId="0" applyFont="1" applyBorder="1" applyAlignment="1">
      <alignment horizontal="center" wrapText="1"/>
    </xf>
    <xf numFmtId="0" fontId="65" fillId="3" borderId="0" xfId="0" applyFont="1" applyFill="1" applyProtection="1">
      <protection locked="0"/>
    </xf>
    <xf numFmtId="14" fontId="65" fillId="0" borderId="19" xfId="0" applyNumberFormat="1" applyFont="1" applyBorder="1" applyAlignment="1" applyProtection="1">
      <alignment horizontal="center" vertical="center" wrapText="1"/>
      <protection locked="0"/>
    </xf>
    <xf numFmtId="14" fontId="65" fillId="0" borderId="19" xfId="0" applyNumberFormat="1" applyFont="1" applyBorder="1" applyAlignment="1" applyProtection="1">
      <alignment horizontal="center" vertical="center"/>
      <protection locked="0"/>
    </xf>
    <xf numFmtId="0" fontId="65" fillId="0" borderId="0" xfId="0" applyFont="1" applyProtection="1">
      <protection locked="0"/>
    </xf>
    <xf numFmtId="0" fontId="44" fillId="3" borderId="0" xfId="0" applyFont="1" applyFill="1" applyProtection="1">
      <protection locked="0"/>
    </xf>
    <xf numFmtId="14" fontId="44" fillId="0" borderId="19" xfId="0" applyNumberFormat="1" applyFont="1" applyBorder="1" applyAlignment="1" applyProtection="1">
      <alignment horizontal="center" vertical="center"/>
      <protection locked="0"/>
    </xf>
    <xf numFmtId="0" fontId="44" fillId="0" borderId="0" xfId="0" applyFont="1" applyProtection="1">
      <protection locked="0"/>
    </xf>
    <xf numFmtId="0" fontId="72" fillId="0" borderId="19" xfId="0" applyFont="1" applyBorder="1" applyAlignment="1" applyProtection="1">
      <alignment horizontal="left" vertical="top" wrapText="1"/>
      <protection locked="0"/>
    </xf>
    <xf numFmtId="14" fontId="44" fillId="0" borderId="19" xfId="0" applyNumberFormat="1" applyFont="1" applyBorder="1" applyAlignment="1" applyProtection="1">
      <alignment horizontal="center" vertical="center" wrapText="1"/>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1">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 displayName="Deicy Astrid  Beltran Angel" id="{81DF5118-E6BD-4E91-82EB-A6615F566591}" userId="S::deicy.beltran@uaesp.gov.co::b6552de8-19ed-4408-b9dd-455c8ff1bf0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0" dataDxfId="239">
  <autoFilter ref="B209:C219" xr:uid="{00000000-0009-0000-0100-000001000000}"/>
  <tableColumns count="2">
    <tableColumn id="1" xr3:uid="{00000000-0010-0000-0000-000001000000}" name="Criterios" dataDxfId="238"/>
    <tableColumn id="2" xr3:uid="{00000000-0010-0000-0000-000002000000}" name="Subcriterios" dataDxfId="23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8" dT="2022-12-09T15:25:23.43" personId="{81DF5118-E6BD-4E91-82EB-A6615F566591}" id="{B7DC1730-DE80-4C10-B7AE-47B047FE0B2F}">
    <text>Favor cambiar por
Lineamientos de fichas técnicas para la contratación sostenible de acuerdo con la normativa vigente</text>
  </threadedComment>
  <threadedComment ref="J11" dT="2022-12-09T15:15:25.57" personId="{81DF5118-E6BD-4E91-82EB-A6615F566591}" id="{DC353E2A-08E2-4C55-BEEA-EB54D20FAE36}">
    <text>Favor cambiar el riesgo
Posibilidad de afectacion económica y reputacional por sancion del ente correspondiente, debido a la gestion del proceso administrativo o de defensa judicial fuera de los terminos legales establecidos.</text>
  </threadedComment>
  <threadedComment ref="J17" dT="2022-12-09T15:19:46.69" personId="{81DF5118-E6BD-4E91-82EB-A6615F566591}" id="{B64CE026-CB51-4F7F-B64A-F2B938007A4B}">
    <text>Favor cambiar por 
Posibilidad de favorecimiento propio o de terceros debido al direccioamiento de la contratación de la Unidad, por la existencia de amiguismos, clientelismo y tráfico de influencias.</text>
  </threadedComment>
  <threadedComment ref="E19" dT="2022-12-09T15:25:55.38" personId="{81DF5118-E6BD-4E91-82EB-A6615F566591}" id="{32DBACF0-6735-4D3F-B640-FAF30920118D}">
    <text>Favor cambiar por
Lineamientos de fichas técnicas para la contratación sostenible de acuerdo con la normativa vigente</text>
  </threadedComment>
  <threadedComment ref="J22" dT="2022-12-09T15:30:44.38" personId="{81DF5118-E6BD-4E91-82EB-A6615F566591}" id="{22A22512-52DD-4332-89A7-B1C0FC2A6837}">
    <text>Favor cambiar po
Posibilidad de favorecer indebidamente intereses de terceros por la generawción de conceptos jurídicos inadecuados  por amiguismos, clientelismo o tráfico de influencias</text>
  </threadedComment>
  <threadedComment ref="A26" dT="2022-12-09T15:35:06.85" personId="{81DF5118-E6BD-4E91-82EB-A6615F566591}" id="{EC349F9E-B302-4936-8CCD-D0E2FF1195E6}">
    <text>Falta incluir el contexto del riesgo de seguridad de la información, no se pudo por estar protegida la hoja</text>
  </threadedComment>
</ThreadedComments>
</file>

<file path=xl/threadedComments/threadedComment2.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3.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4.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5.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422" t="s">
        <v>0</v>
      </c>
      <c r="C2" s="423"/>
      <c r="D2" s="423"/>
      <c r="E2" s="423"/>
      <c r="F2" s="423"/>
      <c r="G2" s="423"/>
      <c r="H2" s="424"/>
    </row>
    <row r="3" spans="2:8" x14ac:dyDescent="0.25">
      <c r="B3" s="70"/>
      <c r="C3" s="71"/>
      <c r="D3" s="71"/>
      <c r="E3" s="71"/>
      <c r="F3" s="71"/>
      <c r="G3" s="71"/>
      <c r="H3" s="72"/>
    </row>
    <row r="4" spans="2:8" ht="63" customHeight="1" x14ac:dyDescent="0.25">
      <c r="B4" s="425" t="s">
        <v>1</v>
      </c>
      <c r="C4" s="426"/>
      <c r="D4" s="426"/>
      <c r="E4" s="426"/>
      <c r="F4" s="426"/>
      <c r="G4" s="426"/>
      <c r="H4" s="427"/>
    </row>
    <row r="5" spans="2:8" ht="63" customHeight="1" x14ac:dyDescent="0.25">
      <c r="B5" s="428"/>
      <c r="C5" s="429"/>
      <c r="D5" s="429"/>
      <c r="E5" s="429"/>
      <c r="F5" s="429"/>
      <c r="G5" s="429"/>
      <c r="H5" s="430"/>
    </row>
    <row r="6" spans="2:8" ht="16.5" x14ac:dyDescent="0.25">
      <c r="B6" s="431" t="s">
        <v>2</v>
      </c>
      <c r="C6" s="432"/>
      <c r="D6" s="432"/>
      <c r="E6" s="432"/>
      <c r="F6" s="432"/>
      <c r="G6" s="432"/>
      <c r="H6" s="433"/>
    </row>
    <row r="7" spans="2:8" ht="95.25" customHeight="1" x14ac:dyDescent="0.25">
      <c r="B7" s="441" t="s">
        <v>3</v>
      </c>
      <c r="C7" s="442"/>
      <c r="D7" s="442"/>
      <c r="E7" s="442"/>
      <c r="F7" s="442"/>
      <c r="G7" s="442"/>
      <c r="H7" s="443"/>
    </row>
    <row r="8" spans="2:8" ht="16.5" x14ac:dyDescent="0.25">
      <c r="B8" s="106"/>
      <c r="C8" s="107"/>
      <c r="D8" s="107"/>
      <c r="E8" s="107"/>
      <c r="F8" s="107"/>
      <c r="G8" s="107"/>
      <c r="H8" s="108"/>
    </row>
    <row r="9" spans="2:8" ht="16.5" customHeight="1" x14ac:dyDescent="0.25">
      <c r="B9" s="434" t="s">
        <v>4</v>
      </c>
      <c r="C9" s="435"/>
      <c r="D9" s="435"/>
      <c r="E9" s="435"/>
      <c r="F9" s="435"/>
      <c r="G9" s="435"/>
      <c r="H9" s="436"/>
    </row>
    <row r="10" spans="2:8" ht="44.25" customHeight="1" x14ac:dyDescent="0.25">
      <c r="B10" s="434"/>
      <c r="C10" s="435"/>
      <c r="D10" s="435"/>
      <c r="E10" s="435"/>
      <c r="F10" s="435"/>
      <c r="G10" s="435"/>
      <c r="H10" s="436"/>
    </row>
    <row r="11" spans="2:8" ht="15.75" thickBot="1" x14ac:dyDescent="0.3">
      <c r="B11" s="95"/>
      <c r="C11" s="98"/>
      <c r="D11" s="103"/>
      <c r="E11" s="104"/>
      <c r="F11" s="104"/>
      <c r="G11" s="105"/>
      <c r="H11" s="99"/>
    </row>
    <row r="12" spans="2:8" ht="15.75" thickTop="1" x14ac:dyDescent="0.25">
      <c r="B12" s="95"/>
      <c r="C12" s="437" t="s">
        <v>5</v>
      </c>
      <c r="D12" s="438"/>
      <c r="E12" s="439" t="s">
        <v>6</v>
      </c>
      <c r="F12" s="440"/>
      <c r="G12" s="98"/>
      <c r="H12" s="99"/>
    </row>
    <row r="13" spans="2:8" ht="35.25" customHeight="1" x14ac:dyDescent="0.25">
      <c r="B13" s="95"/>
      <c r="C13" s="409" t="s">
        <v>7</v>
      </c>
      <c r="D13" s="410"/>
      <c r="E13" s="411" t="s">
        <v>8</v>
      </c>
      <c r="F13" s="412"/>
      <c r="G13" s="98"/>
      <c r="H13" s="99"/>
    </row>
    <row r="14" spans="2:8" ht="17.25" customHeight="1" x14ac:dyDescent="0.25">
      <c r="B14" s="95"/>
      <c r="C14" s="409" t="s">
        <v>9</v>
      </c>
      <c r="D14" s="410"/>
      <c r="E14" s="411" t="s">
        <v>10</v>
      </c>
      <c r="F14" s="412"/>
      <c r="G14" s="98"/>
      <c r="H14" s="99"/>
    </row>
    <row r="15" spans="2:8" ht="19.5" customHeight="1" x14ac:dyDescent="0.25">
      <c r="B15" s="95"/>
      <c r="C15" s="409" t="s">
        <v>11</v>
      </c>
      <c r="D15" s="410"/>
      <c r="E15" s="411" t="s">
        <v>12</v>
      </c>
      <c r="F15" s="412"/>
      <c r="G15" s="98"/>
      <c r="H15" s="99"/>
    </row>
    <row r="16" spans="2:8" ht="69.75" customHeight="1" x14ac:dyDescent="0.25">
      <c r="B16" s="95"/>
      <c r="C16" s="409" t="s">
        <v>13</v>
      </c>
      <c r="D16" s="410"/>
      <c r="E16" s="411" t="s">
        <v>14</v>
      </c>
      <c r="F16" s="412"/>
      <c r="G16" s="98"/>
      <c r="H16" s="99"/>
    </row>
    <row r="17" spans="2:8" ht="34.5" customHeight="1" x14ac:dyDescent="0.25">
      <c r="B17" s="95"/>
      <c r="C17" s="413" t="s">
        <v>15</v>
      </c>
      <c r="D17" s="414"/>
      <c r="E17" s="405" t="s">
        <v>16</v>
      </c>
      <c r="F17" s="406"/>
      <c r="G17" s="98"/>
      <c r="H17" s="99"/>
    </row>
    <row r="18" spans="2:8" ht="27.75" customHeight="1" x14ac:dyDescent="0.25">
      <c r="B18" s="95"/>
      <c r="C18" s="413" t="s">
        <v>17</v>
      </c>
      <c r="D18" s="414"/>
      <c r="E18" s="405" t="s">
        <v>18</v>
      </c>
      <c r="F18" s="406"/>
      <c r="G18" s="98"/>
      <c r="H18" s="99"/>
    </row>
    <row r="19" spans="2:8" ht="28.5" customHeight="1" x14ac:dyDescent="0.25">
      <c r="B19" s="95"/>
      <c r="C19" s="413" t="s">
        <v>19</v>
      </c>
      <c r="D19" s="414"/>
      <c r="E19" s="405" t="s">
        <v>20</v>
      </c>
      <c r="F19" s="406"/>
      <c r="G19" s="98"/>
      <c r="H19" s="99"/>
    </row>
    <row r="20" spans="2:8" ht="72.75" customHeight="1" x14ac:dyDescent="0.25">
      <c r="B20" s="95"/>
      <c r="C20" s="413" t="s">
        <v>21</v>
      </c>
      <c r="D20" s="414"/>
      <c r="E20" s="405" t="s">
        <v>22</v>
      </c>
      <c r="F20" s="406"/>
      <c r="G20" s="98"/>
      <c r="H20" s="99"/>
    </row>
    <row r="21" spans="2:8" ht="64.5" customHeight="1" x14ac:dyDescent="0.25">
      <c r="B21" s="95"/>
      <c r="C21" s="413" t="s">
        <v>23</v>
      </c>
      <c r="D21" s="414"/>
      <c r="E21" s="405" t="s">
        <v>24</v>
      </c>
      <c r="F21" s="406"/>
      <c r="G21" s="98"/>
      <c r="H21" s="99"/>
    </row>
    <row r="22" spans="2:8" ht="71.25" customHeight="1" x14ac:dyDescent="0.25">
      <c r="B22" s="95"/>
      <c r="C22" s="413" t="s">
        <v>25</v>
      </c>
      <c r="D22" s="414"/>
      <c r="E22" s="405" t="s">
        <v>26</v>
      </c>
      <c r="F22" s="406"/>
      <c r="G22" s="98"/>
      <c r="H22" s="99"/>
    </row>
    <row r="23" spans="2:8" ht="55.5" customHeight="1" x14ac:dyDescent="0.25">
      <c r="B23" s="95"/>
      <c r="C23" s="407" t="s">
        <v>27</v>
      </c>
      <c r="D23" s="408"/>
      <c r="E23" s="405" t="s">
        <v>28</v>
      </c>
      <c r="F23" s="406"/>
      <c r="G23" s="98"/>
      <c r="H23" s="99"/>
    </row>
    <row r="24" spans="2:8" ht="42" customHeight="1" x14ac:dyDescent="0.25">
      <c r="B24" s="95"/>
      <c r="C24" s="407" t="s">
        <v>29</v>
      </c>
      <c r="D24" s="408"/>
      <c r="E24" s="405" t="s">
        <v>30</v>
      </c>
      <c r="F24" s="406"/>
      <c r="G24" s="98"/>
      <c r="H24" s="99"/>
    </row>
    <row r="25" spans="2:8" ht="59.25" customHeight="1" x14ac:dyDescent="0.25">
      <c r="B25" s="95"/>
      <c r="C25" s="407" t="s">
        <v>31</v>
      </c>
      <c r="D25" s="408"/>
      <c r="E25" s="405" t="s">
        <v>32</v>
      </c>
      <c r="F25" s="406"/>
      <c r="G25" s="98"/>
      <c r="H25" s="99"/>
    </row>
    <row r="26" spans="2:8" ht="23.25" customHeight="1" x14ac:dyDescent="0.25">
      <c r="B26" s="95"/>
      <c r="C26" s="407" t="s">
        <v>33</v>
      </c>
      <c r="D26" s="408"/>
      <c r="E26" s="405" t="s">
        <v>34</v>
      </c>
      <c r="F26" s="406"/>
      <c r="G26" s="98"/>
      <c r="H26" s="99"/>
    </row>
    <row r="27" spans="2:8" ht="30.75" customHeight="1" x14ac:dyDescent="0.25">
      <c r="B27" s="95"/>
      <c r="C27" s="407" t="s">
        <v>35</v>
      </c>
      <c r="D27" s="408"/>
      <c r="E27" s="405" t="s">
        <v>36</v>
      </c>
      <c r="F27" s="406"/>
      <c r="G27" s="98"/>
      <c r="H27" s="99"/>
    </row>
    <row r="28" spans="2:8" ht="35.25" customHeight="1" x14ac:dyDescent="0.25">
      <c r="B28" s="95"/>
      <c r="C28" s="407" t="s">
        <v>37</v>
      </c>
      <c r="D28" s="408"/>
      <c r="E28" s="405" t="s">
        <v>38</v>
      </c>
      <c r="F28" s="406"/>
      <c r="G28" s="98"/>
      <c r="H28" s="99"/>
    </row>
    <row r="29" spans="2:8" ht="33" customHeight="1" x14ac:dyDescent="0.25">
      <c r="B29" s="95"/>
      <c r="C29" s="407" t="s">
        <v>37</v>
      </c>
      <c r="D29" s="408"/>
      <c r="E29" s="405" t="s">
        <v>38</v>
      </c>
      <c r="F29" s="406"/>
      <c r="G29" s="98"/>
      <c r="H29" s="99"/>
    </row>
    <row r="30" spans="2:8" ht="30" customHeight="1" x14ac:dyDescent="0.25">
      <c r="B30" s="95"/>
      <c r="C30" s="407" t="s">
        <v>39</v>
      </c>
      <c r="D30" s="408"/>
      <c r="E30" s="405" t="s">
        <v>40</v>
      </c>
      <c r="F30" s="406"/>
      <c r="G30" s="98"/>
      <c r="H30" s="99"/>
    </row>
    <row r="31" spans="2:8" ht="35.25" customHeight="1" x14ac:dyDescent="0.25">
      <c r="B31" s="95"/>
      <c r="C31" s="407" t="s">
        <v>41</v>
      </c>
      <c r="D31" s="408"/>
      <c r="E31" s="405" t="s">
        <v>42</v>
      </c>
      <c r="F31" s="406"/>
      <c r="G31" s="98"/>
      <c r="H31" s="99"/>
    </row>
    <row r="32" spans="2:8" ht="31.5" customHeight="1" x14ac:dyDescent="0.25">
      <c r="B32" s="95"/>
      <c r="C32" s="407" t="s">
        <v>43</v>
      </c>
      <c r="D32" s="408"/>
      <c r="E32" s="405" t="s">
        <v>44</v>
      </c>
      <c r="F32" s="406"/>
      <c r="G32" s="98"/>
      <c r="H32" s="99"/>
    </row>
    <row r="33" spans="2:8" ht="35.25" customHeight="1" x14ac:dyDescent="0.25">
      <c r="B33" s="95"/>
      <c r="C33" s="407" t="s">
        <v>45</v>
      </c>
      <c r="D33" s="408"/>
      <c r="E33" s="405" t="s">
        <v>46</v>
      </c>
      <c r="F33" s="406"/>
      <c r="G33" s="98"/>
      <c r="H33" s="99"/>
    </row>
    <row r="34" spans="2:8" ht="59.25" customHeight="1" x14ac:dyDescent="0.25">
      <c r="B34" s="95"/>
      <c r="C34" s="407" t="s">
        <v>47</v>
      </c>
      <c r="D34" s="408"/>
      <c r="E34" s="405" t="s">
        <v>48</v>
      </c>
      <c r="F34" s="406"/>
      <c r="G34" s="98"/>
      <c r="H34" s="99"/>
    </row>
    <row r="35" spans="2:8" ht="29.25" customHeight="1" x14ac:dyDescent="0.25">
      <c r="B35" s="95"/>
      <c r="C35" s="407" t="s">
        <v>49</v>
      </c>
      <c r="D35" s="408"/>
      <c r="E35" s="405" t="s">
        <v>50</v>
      </c>
      <c r="F35" s="406"/>
      <c r="G35" s="98"/>
      <c r="H35" s="99"/>
    </row>
    <row r="36" spans="2:8" ht="82.5" customHeight="1" x14ac:dyDescent="0.25">
      <c r="B36" s="95"/>
      <c r="C36" s="407" t="s">
        <v>51</v>
      </c>
      <c r="D36" s="408"/>
      <c r="E36" s="405" t="s">
        <v>52</v>
      </c>
      <c r="F36" s="406"/>
      <c r="G36" s="98"/>
      <c r="H36" s="99"/>
    </row>
    <row r="37" spans="2:8" ht="46.5" customHeight="1" x14ac:dyDescent="0.25">
      <c r="B37" s="95"/>
      <c r="C37" s="407" t="s">
        <v>53</v>
      </c>
      <c r="D37" s="408"/>
      <c r="E37" s="405" t="s">
        <v>54</v>
      </c>
      <c r="F37" s="406"/>
      <c r="G37" s="98"/>
      <c r="H37" s="99"/>
    </row>
    <row r="38" spans="2:8" ht="6.75" customHeight="1" thickBot="1" x14ac:dyDescent="0.3">
      <c r="B38" s="95"/>
      <c r="C38" s="418"/>
      <c r="D38" s="419"/>
      <c r="E38" s="420"/>
      <c r="F38" s="421"/>
      <c r="G38" s="98"/>
      <c r="H38" s="99"/>
    </row>
    <row r="39" spans="2:8" ht="15.75" thickTop="1" x14ac:dyDescent="0.25">
      <c r="B39" s="95"/>
      <c r="C39" s="96"/>
      <c r="D39" s="96"/>
      <c r="E39" s="97"/>
      <c r="F39" s="97"/>
      <c r="G39" s="98"/>
      <c r="H39" s="99"/>
    </row>
    <row r="40" spans="2:8" ht="21" customHeight="1" x14ac:dyDescent="0.25">
      <c r="B40" s="415" t="s">
        <v>55</v>
      </c>
      <c r="C40" s="416"/>
      <c r="D40" s="416"/>
      <c r="E40" s="416"/>
      <c r="F40" s="416"/>
      <c r="G40" s="416"/>
      <c r="H40" s="417"/>
    </row>
    <row r="41" spans="2:8" ht="20.25" customHeight="1" x14ac:dyDescent="0.25">
      <c r="B41" s="415" t="s">
        <v>56</v>
      </c>
      <c r="C41" s="416"/>
      <c r="D41" s="416"/>
      <c r="E41" s="416"/>
      <c r="F41" s="416"/>
      <c r="G41" s="416"/>
      <c r="H41" s="417"/>
    </row>
    <row r="42" spans="2:8" ht="20.25" customHeight="1" x14ac:dyDescent="0.25">
      <c r="B42" s="415" t="s">
        <v>57</v>
      </c>
      <c r="C42" s="416"/>
      <c r="D42" s="416"/>
      <c r="E42" s="416"/>
      <c r="F42" s="416"/>
      <c r="G42" s="416"/>
      <c r="H42" s="417"/>
    </row>
    <row r="43" spans="2:8" ht="20.25" customHeight="1" x14ac:dyDescent="0.25">
      <c r="B43" s="415" t="s">
        <v>58</v>
      </c>
      <c r="C43" s="416"/>
      <c r="D43" s="416"/>
      <c r="E43" s="416"/>
      <c r="F43" s="416"/>
      <c r="G43" s="416"/>
      <c r="H43" s="417"/>
    </row>
    <row r="44" spans="2:8" x14ac:dyDescent="0.25">
      <c r="B44" s="415" t="s">
        <v>59</v>
      </c>
      <c r="C44" s="416"/>
      <c r="D44" s="416"/>
      <c r="E44" s="416"/>
      <c r="F44" s="416"/>
      <c r="G44" s="416"/>
      <c r="H44" s="417"/>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95" zoomScaleNormal="95" zoomScalePageLayoutView="55" workbookViewId="0">
      <pane ySplit="4" topLeftCell="A8" activePane="bottomLeft" state="frozen"/>
      <selection pane="bottomLeft" activeCell="D8" sqref="D8"/>
    </sheetView>
  </sheetViews>
  <sheetFormatPr baseColWidth="10" defaultColWidth="17.42578125" defaultRowHeight="12.75" x14ac:dyDescent="0.2"/>
  <cols>
    <col min="1" max="1" width="17.42578125" style="248"/>
    <col min="2" max="2" width="36.28515625" style="248" customWidth="1"/>
    <col min="3" max="3" width="23" style="248" customWidth="1"/>
    <col min="4" max="4" width="38.7109375" style="248" customWidth="1"/>
    <col min="5" max="5" width="22.42578125" style="248" customWidth="1"/>
    <col min="6" max="6" width="30.42578125" style="248" customWidth="1"/>
    <col min="7" max="7" width="17.42578125" style="248"/>
    <col min="8" max="8" width="41.42578125" style="248" customWidth="1"/>
    <col min="9" max="10" width="17.42578125" style="248"/>
    <col min="11" max="11" width="44.5703125" style="248" customWidth="1"/>
    <col min="12" max="16384" width="17.42578125" style="248"/>
  </cols>
  <sheetData>
    <row r="1" spans="1:11" s="236" customFormat="1" ht="39" customHeight="1" x14ac:dyDescent="0.2">
      <c r="A1" s="234" t="s">
        <v>60</v>
      </c>
      <c r="B1" s="235">
        <v>44585</v>
      </c>
      <c r="C1" s="452" t="s">
        <v>61</v>
      </c>
      <c r="D1" s="452"/>
      <c r="E1" s="452"/>
      <c r="F1" s="452"/>
      <c r="G1" s="452"/>
      <c r="H1" s="452"/>
      <c r="I1" s="452"/>
      <c r="J1" s="452"/>
      <c r="K1" s="452"/>
    </row>
    <row r="2" spans="1:11" s="237" customFormat="1" ht="25.5" customHeight="1" x14ac:dyDescent="0.2">
      <c r="A2" s="449" t="s">
        <v>62</v>
      </c>
      <c r="B2" s="453" t="s">
        <v>63</v>
      </c>
      <c r="C2" s="454"/>
      <c r="D2" s="454"/>
      <c r="E2" s="454"/>
      <c r="F2" s="454"/>
      <c r="G2" s="454"/>
      <c r="H2" s="454"/>
      <c r="I2" s="455"/>
      <c r="J2" s="449" t="s">
        <v>64</v>
      </c>
      <c r="K2" s="449" t="s">
        <v>65</v>
      </c>
    </row>
    <row r="3" spans="1:11" s="237" customFormat="1" ht="22.5" customHeight="1" x14ac:dyDescent="0.2">
      <c r="A3" s="450"/>
      <c r="B3" s="456" t="s">
        <v>66</v>
      </c>
      <c r="C3" s="456"/>
      <c r="D3" s="456" t="s">
        <v>67</v>
      </c>
      <c r="E3" s="456"/>
      <c r="F3" s="456" t="s">
        <v>68</v>
      </c>
      <c r="G3" s="456"/>
      <c r="H3" s="456" t="s">
        <v>69</v>
      </c>
      <c r="I3" s="456"/>
      <c r="J3" s="450"/>
      <c r="K3" s="450"/>
    </row>
    <row r="4" spans="1:11" s="240" customFormat="1" ht="27" customHeight="1" x14ac:dyDescent="0.2">
      <c r="A4" s="451"/>
      <c r="B4" s="238" t="s">
        <v>70</v>
      </c>
      <c r="C4" s="239" t="s">
        <v>71</v>
      </c>
      <c r="D4" s="238" t="s">
        <v>70</v>
      </c>
      <c r="E4" s="239" t="s">
        <v>71</v>
      </c>
      <c r="F4" s="238" t="s">
        <v>70</v>
      </c>
      <c r="G4" s="239" t="s">
        <v>71</v>
      </c>
      <c r="H4" s="238" t="s">
        <v>70</v>
      </c>
      <c r="I4" s="239" t="s">
        <v>71</v>
      </c>
      <c r="J4" s="451"/>
      <c r="K4" s="451"/>
    </row>
    <row r="5" spans="1:11" ht="35.25" customHeight="1" x14ac:dyDescent="0.2">
      <c r="A5" s="241"/>
      <c r="B5" s="242"/>
      <c r="C5" s="243" t="s">
        <v>72</v>
      </c>
      <c r="D5" s="242"/>
      <c r="E5" s="244"/>
      <c r="F5" s="242"/>
      <c r="G5" s="245"/>
      <c r="H5" s="241"/>
      <c r="I5" s="246"/>
      <c r="J5" s="247"/>
      <c r="K5" s="247"/>
    </row>
    <row r="6" spans="1:11" ht="77.25" customHeight="1" x14ac:dyDescent="0.2">
      <c r="A6" s="249" t="s">
        <v>73</v>
      </c>
      <c r="B6" s="250" t="s">
        <v>74</v>
      </c>
      <c r="C6" s="251" t="s">
        <v>75</v>
      </c>
      <c r="D6" s="250" t="s">
        <v>76</v>
      </c>
      <c r="E6" s="251" t="s">
        <v>77</v>
      </c>
      <c r="F6" s="250" t="s">
        <v>78</v>
      </c>
      <c r="G6" s="251" t="s">
        <v>79</v>
      </c>
      <c r="H6" s="249" t="s">
        <v>80</v>
      </c>
      <c r="I6" s="251" t="s">
        <v>81</v>
      </c>
      <c r="J6" s="444" t="s">
        <v>82</v>
      </c>
      <c r="K6" s="444" t="s">
        <v>83</v>
      </c>
    </row>
    <row r="7" spans="1:11" ht="66" customHeight="1" x14ac:dyDescent="0.2">
      <c r="A7" s="249" t="s">
        <v>73</v>
      </c>
      <c r="B7" s="250" t="s">
        <v>84</v>
      </c>
      <c r="C7" s="251" t="s">
        <v>85</v>
      </c>
      <c r="D7" s="250" t="s">
        <v>86</v>
      </c>
      <c r="E7" s="251" t="s">
        <v>87</v>
      </c>
      <c r="F7" s="250" t="s">
        <v>88</v>
      </c>
      <c r="G7" s="251" t="s">
        <v>89</v>
      </c>
      <c r="H7" s="249" t="s">
        <v>90</v>
      </c>
      <c r="I7" s="251" t="s">
        <v>91</v>
      </c>
      <c r="J7" s="457"/>
      <c r="K7" s="457"/>
    </row>
    <row r="8" spans="1:11" ht="99.75" customHeight="1" x14ac:dyDescent="0.2">
      <c r="A8" s="249" t="s">
        <v>73</v>
      </c>
      <c r="B8" s="250" t="s">
        <v>68</v>
      </c>
      <c r="C8" s="251" t="s">
        <v>92</v>
      </c>
      <c r="D8" s="250" t="s">
        <v>93</v>
      </c>
      <c r="E8" s="251" t="s">
        <v>94</v>
      </c>
      <c r="F8" s="250" t="s">
        <v>95</v>
      </c>
      <c r="G8" s="251" t="s">
        <v>96</v>
      </c>
      <c r="H8" s="249" t="s">
        <v>97</v>
      </c>
      <c r="I8" s="251" t="s">
        <v>98</v>
      </c>
      <c r="J8" s="457"/>
      <c r="K8" s="457"/>
    </row>
    <row r="9" spans="1:11" ht="138.75" customHeight="1" x14ac:dyDescent="0.2">
      <c r="A9" s="252" t="s">
        <v>73</v>
      </c>
      <c r="B9" s="253" t="s">
        <v>99</v>
      </c>
      <c r="C9" s="251" t="s">
        <v>100</v>
      </c>
      <c r="D9" s="253" t="s">
        <v>101</v>
      </c>
      <c r="E9" s="254" t="s">
        <v>102</v>
      </c>
      <c r="F9" s="253" t="s">
        <v>103</v>
      </c>
      <c r="G9" s="251" t="s">
        <v>104</v>
      </c>
      <c r="H9" s="252"/>
      <c r="I9" s="255"/>
      <c r="J9" s="445"/>
      <c r="K9" s="445"/>
    </row>
    <row r="10" spans="1:11" ht="78.75" customHeight="1" x14ac:dyDescent="0.2">
      <c r="A10" s="256"/>
      <c r="B10" s="257"/>
      <c r="C10" s="243" t="s">
        <v>105</v>
      </c>
      <c r="D10" s="257"/>
      <c r="E10" s="258"/>
      <c r="F10" s="257"/>
      <c r="G10" s="257"/>
      <c r="H10" s="256"/>
      <c r="I10" s="259"/>
      <c r="J10" s="247"/>
      <c r="K10" s="247"/>
    </row>
    <row r="11" spans="1:11" ht="179.25" customHeight="1" x14ac:dyDescent="0.2">
      <c r="A11" s="252" t="s">
        <v>73</v>
      </c>
      <c r="B11" s="253" t="s">
        <v>84</v>
      </c>
      <c r="C11" s="251" t="s">
        <v>106</v>
      </c>
      <c r="D11" s="253" t="s">
        <v>76</v>
      </c>
      <c r="E11" s="251" t="s">
        <v>107</v>
      </c>
      <c r="F11" s="251" t="s">
        <v>88</v>
      </c>
      <c r="G11" s="251" t="s">
        <v>108</v>
      </c>
      <c r="H11" s="249" t="s">
        <v>80</v>
      </c>
      <c r="I11" s="251" t="s">
        <v>109</v>
      </c>
      <c r="J11" s="458" t="s">
        <v>110</v>
      </c>
      <c r="K11" s="444" t="s">
        <v>111</v>
      </c>
    </row>
    <row r="12" spans="1:11" ht="57.75" customHeight="1" x14ac:dyDescent="0.2">
      <c r="A12" s="252" t="s">
        <v>73</v>
      </c>
      <c r="B12" s="253" t="s">
        <v>68</v>
      </c>
      <c r="C12" s="251" t="s">
        <v>112</v>
      </c>
      <c r="D12" s="253" t="s">
        <v>86</v>
      </c>
      <c r="E12" s="251" t="s">
        <v>113</v>
      </c>
      <c r="F12" s="253" t="s">
        <v>95</v>
      </c>
      <c r="G12" s="251" t="s">
        <v>96</v>
      </c>
      <c r="H12" s="252" t="s">
        <v>90</v>
      </c>
      <c r="I12" s="255" t="s">
        <v>91</v>
      </c>
      <c r="J12" s="459"/>
      <c r="K12" s="457"/>
    </row>
    <row r="13" spans="1:11" ht="136.5" customHeight="1" x14ac:dyDescent="0.2">
      <c r="A13" s="252" t="s">
        <v>73</v>
      </c>
      <c r="B13" s="253" t="s">
        <v>99</v>
      </c>
      <c r="C13" s="251" t="s">
        <v>114</v>
      </c>
      <c r="D13" s="253"/>
      <c r="E13" s="254"/>
      <c r="F13" s="253" t="s">
        <v>115</v>
      </c>
      <c r="G13" s="251" t="s">
        <v>116</v>
      </c>
      <c r="H13" s="252" t="s">
        <v>97</v>
      </c>
      <c r="I13" s="255" t="s">
        <v>98</v>
      </c>
      <c r="J13" s="459"/>
      <c r="K13" s="457"/>
    </row>
    <row r="14" spans="1:11" ht="169.5" customHeight="1" x14ac:dyDescent="0.2">
      <c r="A14" s="252" t="s">
        <v>73</v>
      </c>
      <c r="B14" s="253" t="s">
        <v>117</v>
      </c>
      <c r="C14" s="251" t="s">
        <v>118</v>
      </c>
      <c r="D14" s="253"/>
      <c r="E14" s="254"/>
      <c r="F14" s="253" t="s">
        <v>78</v>
      </c>
      <c r="G14" s="251" t="s">
        <v>119</v>
      </c>
      <c r="H14" s="252"/>
      <c r="I14" s="255"/>
      <c r="J14" s="459"/>
      <c r="K14" s="457"/>
    </row>
    <row r="15" spans="1:11" ht="72.75" customHeight="1" x14ac:dyDescent="0.2">
      <c r="A15" s="252" t="s">
        <v>73</v>
      </c>
      <c r="B15" s="253" t="s">
        <v>74</v>
      </c>
      <c r="C15" s="253" t="s">
        <v>120</v>
      </c>
      <c r="D15" s="253"/>
      <c r="E15" s="254"/>
      <c r="F15" s="253"/>
      <c r="G15" s="253"/>
      <c r="H15" s="252"/>
      <c r="I15" s="255"/>
      <c r="J15" s="460"/>
      <c r="K15" s="445"/>
    </row>
    <row r="16" spans="1:11" ht="36" customHeight="1" x14ac:dyDescent="0.2">
      <c r="A16" s="260"/>
      <c r="B16" s="261"/>
      <c r="C16" s="262" t="s">
        <v>121</v>
      </c>
      <c r="D16" s="261"/>
      <c r="E16" s="263"/>
      <c r="F16" s="261"/>
      <c r="G16" s="264"/>
      <c r="H16" s="263"/>
      <c r="I16" s="265"/>
      <c r="J16" s="266"/>
      <c r="K16" s="266"/>
    </row>
    <row r="17" spans="1:11" ht="72" customHeight="1" x14ac:dyDescent="0.2">
      <c r="A17" s="252" t="s">
        <v>73</v>
      </c>
      <c r="B17" s="253" t="s">
        <v>74</v>
      </c>
      <c r="C17" s="251" t="s">
        <v>75</v>
      </c>
      <c r="D17" s="253" t="s">
        <v>76</v>
      </c>
      <c r="E17" s="251" t="s">
        <v>77</v>
      </c>
      <c r="F17" s="253" t="s">
        <v>78</v>
      </c>
      <c r="G17" s="251" t="s">
        <v>79</v>
      </c>
      <c r="H17" s="252" t="s">
        <v>80</v>
      </c>
      <c r="I17" s="251" t="s">
        <v>81</v>
      </c>
      <c r="J17" s="444" t="s">
        <v>122</v>
      </c>
      <c r="K17" s="444" t="s">
        <v>123</v>
      </c>
    </row>
    <row r="18" spans="1:11" ht="92.25" customHeight="1" x14ac:dyDescent="0.2">
      <c r="A18" s="252" t="s">
        <v>73</v>
      </c>
      <c r="B18" s="253" t="s">
        <v>84</v>
      </c>
      <c r="C18" s="251" t="s">
        <v>85</v>
      </c>
      <c r="D18" s="253" t="s">
        <v>86</v>
      </c>
      <c r="E18" s="251" t="s">
        <v>87</v>
      </c>
      <c r="F18" s="253" t="s">
        <v>88</v>
      </c>
      <c r="G18" s="251" t="s">
        <v>89</v>
      </c>
      <c r="H18" s="252" t="s">
        <v>90</v>
      </c>
      <c r="I18" s="251" t="s">
        <v>91</v>
      </c>
      <c r="J18" s="457"/>
      <c r="K18" s="457"/>
    </row>
    <row r="19" spans="1:11" ht="64.5" customHeight="1" x14ac:dyDescent="0.2">
      <c r="A19" s="252" t="s">
        <v>73</v>
      </c>
      <c r="B19" s="253" t="s">
        <v>68</v>
      </c>
      <c r="C19" s="251" t="s">
        <v>92</v>
      </c>
      <c r="D19" s="253" t="s">
        <v>93</v>
      </c>
      <c r="E19" s="251" t="s">
        <v>94</v>
      </c>
      <c r="F19" s="253" t="s">
        <v>95</v>
      </c>
      <c r="G19" s="251" t="s">
        <v>96</v>
      </c>
      <c r="H19" s="252" t="s">
        <v>97</v>
      </c>
      <c r="I19" s="251" t="s">
        <v>98</v>
      </c>
      <c r="J19" s="457"/>
      <c r="K19" s="457"/>
    </row>
    <row r="20" spans="1:11" ht="104.25" customHeight="1" x14ac:dyDescent="0.2">
      <c r="A20" s="252" t="s">
        <v>73</v>
      </c>
      <c r="B20" s="253" t="s">
        <v>99</v>
      </c>
      <c r="C20" s="251" t="s">
        <v>124</v>
      </c>
      <c r="D20" s="253"/>
      <c r="E20" s="254"/>
      <c r="F20" s="253" t="s">
        <v>103</v>
      </c>
      <c r="G20" s="251" t="s">
        <v>104</v>
      </c>
      <c r="H20" s="254"/>
      <c r="I20" s="267"/>
      <c r="J20" s="445"/>
      <c r="K20" s="445"/>
    </row>
    <row r="21" spans="1:11" ht="44.25" customHeight="1" x14ac:dyDescent="0.2">
      <c r="A21" s="268"/>
      <c r="B21" s="261"/>
      <c r="C21" s="262" t="s">
        <v>125</v>
      </c>
      <c r="D21" s="261"/>
      <c r="E21" s="269"/>
      <c r="F21" s="261"/>
      <c r="G21" s="270"/>
      <c r="H21" s="263"/>
      <c r="I21" s="271"/>
      <c r="J21" s="266"/>
      <c r="K21" s="272"/>
    </row>
    <row r="22" spans="1:11" ht="93.75" customHeight="1" x14ac:dyDescent="0.2">
      <c r="A22" s="249" t="s">
        <v>73</v>
      </c>
      <c r="B22" s="253" t="s">
        <v>84</v>
      </c>
      <c r="C22" s="251" t="s">
        <v>126</v>
      </c>
      <c r="D22" s="253" t="s">
        <v>86</v>
      </c>
      <c r="E22" s="251" t="s">
        <v>127</v>
      </c>
      <c r="F22" s="253" t="s">
        <v>95</v>
      </c>
      <c r="G22" s="251" t="s">
        <v>128</v>
      </c>
      <c r="H22" s="254" t="s">
        <v>90</v>
      </c>
      <c r="I22" s="251" t="s">
        <v>91</v>
      </c>
      <c r="J22" s="444" t="s">
        <v>129</v>
      </c>
      <c r="K22" s="446" t="s">
        <v>123</v>
      </c>
    </row>
    <row r="23" spans="1:11" ht="149.25" customHeight="1" x14ac:dyDescent="0.2">
      <c r="A23" s="249" t="s">
        <v>73</v>
      </c>
      <c r="B23" s="253" t="s">
        <v>68</v>
      </c>
      <c r="C23" s="251" t="s">
        <v>130</v>
      </c>
      <c r="D23" s="253" t="s">
        <v>101</v>
      </c>
      <c r="E23" s="251" t="s">
        <v>131</v>
      </c>
      <c r="F23" s="253" t="s">
        <v>115</v>
      </c>
      <c r="G23" s="251" t="s">
        <v>132</v>
      </c>
      <c r="H23" s="254" t="s">
        <v>97</v>
      </c>
      <c r="I23" s="251" t="s">
        <v>98</v>
      </c>
      <c r="J23" s="445"/>
      <c r="K23" s="447"/>
    </row>
    <row r="24" spans="1:11" ht="36.950000000000003" customHeight="1" x14ac:dyDescent="0.2">
      <c r="A24" s="273"/>
      <c r="B24" s="274"/>
      <c r="C24" s="275" t="s">
        <v>133</v>
      </c>
      <c r="D24" s="274"/>
      <c r="E24" s="276"/>
      <c r="F24" s="274"/>
      <c r="G24" s="277"/>
      <c r="H24" s="278"/>
      <c r="I24" s="279"/>
      <c r="J24" s="280"/>
      <c r="K24" s="281"/>
    </row>
    <row r="25" spans="1:11" ht="55.5" customHeight="1" x14ac:dyDescent="0.2">
      <c r="A25" s="249" t="s">
        <v>73</v>
      </c>
      <c r="B25" s="253" t="s">
        <v>84</v>
      </c>
      <c r="C25" s="282" t="s">
        <v>134</v>
      </c>
      <c r="D25" s="253" t="s">
        <v>76</v>
      </c>
      <c r="E25" s="251" t="s">
        <v>135</v>
      </c>
      <c r="F25" s="253" t="s">
        <v>95</v>
      </c>
      <c r="G25" s="251" t="s">
        <v>128</v>
      </c>
      <c r="H25" s="254" t="s">
        <v>90</v>
      </c>
      <c r="I25" s="283" t="s">
        <v>91</v>
      </c>
      <c r="J25" s="444" t="s">
        <v>136</v>
      </c>
      <c r="K25" s="446" t="s">
        <v>137</v>
      </c>
    </row>
    <row r="26" spans="1:11" ht="61.5" customHeight="1" x14ac:dyDescent="0.2">
      <c r="A26" s="249" t="s">
        <v>73</v>
      </c>
      <c r="B26" s="253" t="s">
        <v>68</v>
      </c>
      <c r="C26" s="250" t="s">
        <v>138</v>
      </c>
      <c r="D26" s="253"/>
      <c r="E26" s="251"/>
      <c r="F26" s="253" t="s">
        <v>115</v>
      </c>
      <c r="G26" s="251" t="s">
        <v>139</v>
      </c>
      <c r="H26" s="254" t="s">
        <v>97</v>
      </c>
      <c r="I26" s="284" t="s">
        <v>98</v>
      </c>
      <c r="J26" s="445"/>
      <c r="K26" s="447"/>
    </row>
    <row r="27" spans="1:11" ht="36.950000000000003" customHeight="1" x14ac:dyDescent="0.2">
      <c r="A27" s="249"/>
      <c r="B27" s="253"/>
      <c r="C27" s="250"/>
      <c r="D27" s="253"/>
      <c r="E27" s="251"/>
      <c r="F27" s="253"/>
      <c r="H27" s="254"/>
      <c r="I27" s="284"/>
      <c r="J27" s="285"/>
      <c r="K27" s="250"/>
    </row>
    <row r="28" spans="1:11" ht="36.950000000000003" customHeight="1" x14ac:dyDescent="0.2">
      <c r="A28" s="249"/>
      <c r="B28" s="250"/>
      <c r="C28" s="282"/>
      <c r="D28" s="253"/>
      <c r="E28" s="282"/>
      <c r="F28" s="253"/>
      <c r="G28" s="282"/>
      <c r="H28" s="286"/>
      <c r="I28" s="287"/>
      <c r="J28" s="285"/>
      <c r="K28" s="250"/>
    </row>
    <row r="29" spans="1:11" ht="36.950000000000003" customHeight="1" x14ac:dyDescent="0.2">
      <c r="A29" s="249"/>
      <c r="B29" s="250"/>
      <c r="C29" s="250"/>
      <c r="D29" s="253"/>
      <c r="E29" s="251"/>
      <c r="F29" s="253"/>
      <c r="G29" s="250"/>
      <c r="H29" s="286"/>
      <c r="I29" s="284"/>
      <c r="J29" s="288"/>
      <c r="K29" s="288"/>
    </row>
    <row r="30" spans="1:11" ht="36.950000000000003" customHeight="1" x14ac:dyDescent="0.2">
      <c r="A30" s="249"/>
      <c r="B30" s="250"/>
      <c r="C30" s="250"/>
      <c r="D30" s="253"/>
      <c r="E30" s="251"/>
      <c r="F30" s="253"/>
      <c r="G30" s="250"/>
      <c r="H30" s="286"/>
      <c r="I30" s="284"/>
      <c r="J30" s="288"/>
      <c r="K30" s="288"/>
    </row>
    <row r="31" spans="1:11" ht="36.950000000000003" customHeight="1" x14ac:dyDescent="0.2">
      <c r="A31" s="249"/>
      <c r="B31" s="250"/>
      <c r="C31" s="282"/>
      <c r="D31" s="289"/>
      <c r="E31" s="251"/>
      <c r="F31" s="253"/>
      <c r="G31" s="290"/>
      <c r="H31" s="286"/>
      <c r="I31" s="291"/>
      <c r="J31" s="288"/>
      <c r="K31" s="288"/>
    </row>
    <row r="32" spans="1:11" ht="36.950000000000003" customHeight="1" x14ac:dyDescent="0.2">
      <c r="A32" s="249"/>
      <c r="B32" s="250"/>
      <c r="C32" s="250"/>
      <c r="D32" s="289"/>
      <c r="E32" s="251"/>
      <c r="F32" s="253"/>
      <c r="G32" s="250"/>
      <c r="H32" s="286"/>
      <c r="I32" s="292"/>
      <c r="J32" s="250"/>
      <c r="K32" s="250"/>
    </row>
    <row r="33" spans="1:11" ht="36.950000000000003" customHeight="1" x14ac:dyDescent="0.2">
      <c r="A33" s="249"/>
      <c r="B33" s="250"/>
      <c r="C33" s="250"/>
      <c r="D33" s="289"/>
      <c r="E33" s="251"/>
      <c r="F33" s="253"/>
      <c r="G33" s="250"/>
      <c r="H33" s="286"/>
      <c r="I33" s="291"/>
      <c r="J33" s="288"/>
      <c r="K33" s="288"/>
    </row>
    <row r="34" spans="1:11" ht="36.950000000000003" customHeight="1" x14ac:dyDescent="0.2">
      <c r="A34" s="249"/>
      <c r="B34" s="253"/>
      <c r="C34" s="293"/>
      <c r="D34" s="250"/>
      <c r="E34" s="251"/>
      <c r="F34" s="253"/>
      <c r="G34" s="294"/>
      <c r="H34" s="294"/>
      <c r="I34" s="283"/>
      <c r="J34" s="295"/>
      <c r="K34" s="251"/>
    </row>
    <row r="35" spans="1:11" ht="36.950000000000003" customHeight="1" x14ac:dyDescent="0.2">
      <c r="A35" s="249"/>
      <c r="B35" s="253"/>
      <c r="C35" s="293"/>
      <c r="D35" s="250"/>
      <c r="E35" s="251"/>
      <c r="F35" s="250"/>
      <c r="G35" s="294"/>
      <c r="H35" s="294"/>
      <c r="I35" s="283"/>
      <c r="J35" s="295"/>
      <c r="K35" s="251"/>
    </row>
    <row r="36" spans="1:11" ht="36.950000000000003" customHeight="1" x14ac:dyDescent="0.2">
      <c r="A36" s="249"/>
      <c r="B36" s="253"/>
      <c r="C36" s="293"/>
      <c r="D36" s="250"/>
      <c r="E36" s="251"/>
      <c r="F36" s="250"/>
      <c r="G36" s="294"/>
      <c r="H36" s="294"/>
      <c r="I36" s="283"/>
      <c r="J36" s="295"/>
      <c r="K36" s="251"/>
    </row>
    <row r="37" spans="1:11" ht="36.950000000000003" customHeight="1" x14ac:dyDescent="0.2">
      <c r="A37" s="249"/>
      <c r="B37" s="253"/>
      <c r="C37" s="293"/>
      <c r="D37" s="250"/>
      <c r="E37" s="251"/>
      <c r="F37" s="250"/>
      <c r="G37" s="294"/>
      <c r="H37" s="294"/>
      <c r="I37" s="283"/>
      <c r="J37" s="295"/>
      <c r="K37" s="251"/>
    </row>
    <row r="38" spans="1:11" ht="36.950000000000003" customHeight="1" x14ac:dyDescent="0.2">
      <c r="A38" s="249"/>
      <c r="B38" s="253"/>
      <c r="C38" s="293"/>
      <c r="D38" s="250"/>
      <c r="E38" s="251"/>
      <c r="F38" s="250"/>
      <c r="G38" s="294"/>
      <c r="H38" s="294"/>
      <c r="I38" s="283"/>
      <c r="J38" s="295"/>
      <c r="K38" s="251"/>
    </row>
    <row r="39" spans="1:11" ht="36.950000000000003" customHeight="1" x14ac:dyDescent="0.2">
      <c r="A39" s="249"/>
      <c r="B39" s="253"/>
      <c r="C39" s="293"/>
      <c r="D39" s="250"/>
      <c r="E39" s="251"/>
      <c r="F39" s="250"/>
      <c r="G39" s="294"/>
      <c r="H39" s="294"/>
      <c r="I39" s="283"/>
      <c r="J39" s="295"/>
      <c r="K39" s="251"/>
    </row>
    <row r="40" spans="1:11" ht="36.950000000000003" customHeight="1" x14ac:dyDescent="0.2">
      <c r="A40" s="249"/>
      <c r="B40" s="253"/>
      <c r="C40" s="293"/>
      <c r="D40" s="250"/>
      <c r="E40" s="251"/>
      <c r="F40" s="250"/>
      <c r="G40" s="294"/>
      <c r="H40" s="294"/>
      <c r="I40" s="283"/>
      <c r="J40" s="295"/>
      <c r="K40" s="251"/>
    </row>
    <row r="41" spans="1:11" ht="36.950000000000003" customHeight="1" x14ac:dyDescent="0.2">
      <c r="A41" s="249"/>
      <c r="B41" s="253"/>
      <c r="C41" s="293"/>
      <c r="D41" s="250"/>
      <c r="E41" s="251"/>
      <c r="F41" s="250"/>
      <c r="G41" s="294"/>
      <c r="H41" s="294"/>
      <c r="I41" s="283"/>
      <c r="J41" s="295"/>
      <c r="K41" s="251"/>
    </row>
    <row r="42" spans="1:11" ht="36.950000000000003" customHeight="1" x14ac:dyDescent="0.2">
      <c r="A42" s="249"/>
      <c r="B42" s="253"/>
      <c r="C42" s="293"/>
      <c r="D42" s="250"/>
      <c r="E42" s="251"/>
      <c r="F42" s="250"/>
      <c r="G42" s="294"/>
      <c r="H42" s="294"/>
      <c r="I42" s="283"/>
      <c r="J42" s="295"/>
      <c r="K42" s="251"/>
    </row>
    <row r="43" spans="1:11" ht="36.950000000000003" customHeight="1" x14ac:dyDescent="0.2">
      <c r="A43" s="249"/>
      <c r="B43" s="253"/>
      <c r="C43" s="293"/>
      <c r="D43" s="250"/>
      <c r="E43" s="251"/>
      <c r="F43" s="250"/>
      <c r="G43" s="294"/>
      <c r="H43" s="294"/>
      <c r="I43" s="283"/>
      <c r="J43" s="295"/>
      <c r="K43" s="251"/>
    </row>
    <row r="44" spans="1:11" ht="36.950000000000003" customHeight="1" x14ac:dyDescent="0.2">
      <c r="A44" s="249"/>
      <c r="B44" s="253"/>
      <c r="C44" s="293"/>
      <c r="D44" s="250"/>
      <c r="E44" s="251"/>
      <c r="F44" s="250"/>
      <c r="G44" s="294"/>
      <c r="H44" s="294"/>
      <c r="I44" s="283"/>
      <c r="J44" s="295"/>
      <c r="K44" s="251"/>
    </row>
    <row r="45" spans="1:11" ht="42.95" customHeight="1" x14ac:dyDescent="0.2">
      <c r="A45" s="296" t="s">
        <v>140</v>
      </c>
      <c r="B45" s="448"/>
      <c r="C45" s="448"/>
      <c r="D45" s="448"/>
      <c r="E45" s="448"/>
      <c r="F45" s="448"/>
      <c r="G45" s="448"/>
      <c r="H45" s="448"/>
      <c r="I45" s="448"/>
      <c r="J45" s="448"/>
      <c r="K45" s="448"/>
    </row>
    <row r="49" spans="1:8" hidden="1" x14ac:dyDescent="0.2">
      <c r="A49" s="248" t="s">
        <v>141</v>
      </c>
      <c r="B49" s="248" t="s">
        <v>74</v>
      </c>
      <c r="C49" s="248" t="s">
        <v>142</v>
      </c>
      <c r="D49" s="248" t="s">
        <v>80</v>
      </c>
      <c r="F49" s="248" t="s">
        <v>80</v>
      </c>
      <c r="H49" s="248" t="s">
        <v>80</v>
      </c>
    </row>
    <row r="50" spans="1:8" hidden="1" x14ac:dyDescent="0.2">
      <c r="A50" s="248" t="s">
        <v>101</v>
      </c>
      <c r="B50" s="248" t="s">
        <v>84</v>
      </c>
      <c r="C50" s="248" t="s">
        <v>115</v>
      </c>
      <c r="D50" s="248" t="s">
        <v>90</v>
      </c>
      <c r="F50" s="248" t="s">
        <v>90</v>
      </c>
      <c r="H50" s="248" t="s">
        <v>90</v>
      </c>
    </row>
    <row r="51" spans="1:8" hidden="1" x14ac:dyDescent="0.2">
      <c r="A51" s="248" t="s">
        <v>143</v>
      </c>
      <c r="B51" s="248" t="s">
        <v>68</v>
      </c>
      <c r="C51" s="248" t="s">
        <v>103</v>
      </c>
      <c r="D51" s="248" t="s">
        <v>97</v>
      </c>
      <c r="F51" s="248" t="s">
        <v>97</v>
      </c>
      <c r="H51" s="248" t="s">
        <v>97</v>
      </c>
    </row>
    <row r="52" spans="1:8" hidden="1" x14ac:dyDescent="0.2">
      <c r="A52" s="248" t="s">
        <v>76</v>
      </c>
      <c r="B52" s="248" t="s">
        <v>99</v>
      </c>
      <c r="C52" s="248" t="s">
        <v>88</v>
      </c>
    </row>
    <row r="53" spans="1:8" hidden="1" x14ac:dyDescent="0.2">
      <c r="A53" s="248" t="s">
        <v>93</v>
      </c>
      <c r="B53" s="248" t="s">
        <v>144</v>
      </c>
      <c r="C53" s="248" t="s">
        <v>95</v>
      </c>
    </row>
    <row r="54" spans="1:8" hidden="1" x14ac:dyDescent="0.2">
      <c r="A54" s="248" t="s">
        <v>86</v>
      </c>
      <c r="B54" s="248" t="s">
        <v>117</v>
      </c>
      <c r="C54" s="248" t="s">
        <v>78</v>
      </c>
    </row>
    <row r="55" spans="1:8" hidden="1" x14ac:dyDescent="0.2"/>
    <row r="56" spans="1:8" s="297" customFormat="1" x14ac:dyDescent="0.2"/>
    <row r="57" spans="1:8" s="297" customFormat="1" x14ac:dyDescent="0.2"/>
    <row r="58" spans="1:8" s="297" customFormat="1" ht="15" x14ac:dyDescent="0.25">
      <c r="A58" s="298"/>
      <c r="B58" s="298"/>
      <c r="C58" s="298"/>
    </row>
    <row r="59" spans="1:8" s="297" customFormat="1" ht="14.25" x14ac:dyDescent="0.2">
      <c r="A59" s="299"/>
      <c r="B59" s="300"/>
      <c r="C59" s="301"/>
    </row>
    <row r="60" spans="1:8" s="297" customFormat="1" ht="14.25" x14ac:dyDescent="0.2">
      <c r="A60" s="299"/>
      <c r="B60" s="300"/>
      <c r="C60" s="301"/>
    </row>
    <row r="61" spans="1:8" s="297" customFormat="1" ht="14.25" x14ac:dyDescent="0.2">
      <c r="A61" s="299"/>
      <c r="B61" s="300"/>
      <c r="C61" s="301"/>
    </row>
    <row r="62" spans="1:8" s="297" customFormat="1" ht="14.25" x14ac:dyDescent="0.2">
      <c r="A62" s="299"/>
      <c r="B62" s="300"/>
      <c r="C62" s="301"/>
    </row>
    <row r="63" spans="1:8" s="297" customFormat="1" ht="14.25" x14ac:dyDescent="0.2">
      <c r="A63" s="299"/>
      <c r="B63" s="300"/>
      <c r="C63" s="301"/>
    </row>
    <row r="64" spans="1:8" ht="14.25" x14ac:dyDescent="0.2">
      <c r="A64" s="302"/>
      <c r="B64" s="303"/>
      <c r="C64" s="304"/>
    </row>
    <row r="65" spans="1:3" ht="14.25" x14ac:dyDescent="0.2">
      <c r="A65" s="302"/>
      <c r="B65" s="303"/>
      <c r="C65" s="304"/>
    </row>
    <row r="66" spans="1:3" ht="14.25" x14ac:dyDescent="0.2">
      <c r="A66" s="302"/>
      <c r="B66" s="303"/>
      <c r="C66" s="304"/>
    </row>
    <row r="67" spans="1:3" ht="14.25" x14ac:dyDescent="0.2">
      <c r="A67" s="302"/>
      <c r="B67" s="303"/>
      <c r="C67" s="304"/>
    </row>
    <row r="68" spans="1:3" ht="14.25" x14ac:dyDescent="0.2">
      <c r="A68" s="302"/>
      <c r="B68" s="303"/>
      <c r="C68" s="304"/>
    </row>
    <row r="69" spans="1:3" ht="14.25" x14ac:dyDescent="0.2">
      <c r="A69" s="302"/>
      <c r="B69" s="303"/>
      <c r="C69" s="304"/>
    </row>
    <row r="70" spans="1:3" ht="14.25" x14ac:dyDescent="0.2">
      <c r="A70" s="302"/>
      <c r="B70" s="303"/>
    </row>
    <row r="71" spans="1:3" ht="14.25" x14ac:dyDescent="0.2">
      <c r="A71" s="302"/>
      <c r="B71" s="303"/>
    </row>
    <row r="72" spans="1:3" ht="14.25" x14ac:dyDescent="0.2">
      <c r="A72" s="302"/>
      <c r="B72" s="303"/>
    </row>
    <row r="144" s="305" customFormat="1" ht="25.5" customHeight="1" x14ac:dyDescent="0.2"/>
    <row r="145" s="305" customFormat="1" ht="24" customHeight="1" x14ac:dyDescent="0.2"/>
    <row r="146" s="305" customFormat="1" ht="22.5" customHeight="1" x14ac:dyDescent="0.2"/>
    <row r="147" s="248" customFormat="1" ht="31.5" customHeight="1" x14ac:dyDescent="0.2"/>
  </sheetData>
  <sheetProtection algorithmName="SHA-512" hashValue="TkFZOV3z+gU7O5sDG4MKOrsvue4nO8yzCEfaha6XPitj0nEEFEvvRCn4+pZCDfWyyYDz98p/j7uPCWM8A5DaSw==" saltValue="V50D2koxdPrqcpDXAKUJYw==" spinCount="100000" sheet="1" formatCells="0" formatColumns="0" formatRows="0"/>
  <mergeCells count="20">
    <mergeCell ref="J6:J9"/>
    <mergeCell ref="K6:K9"/>
    <mergeCell ref="J11:J15"/>
    <mergeCell ref="J17:J20"/>
    <mergeCell ref="K17:K20"/>
    <mergeCell ref="K11:K15"/>
    <mergeCell ref="J2:J4"/>
    <mergeCell ref="K2:K4"/>
    <mergeCell ref="C1:K1"/>
    <mergeCell ref="A2:A4"/>
    <mergeCell ref="B2:I2"/>
    <mergeCell ref="B3:C3"/>
    <mergeCell ref="D3:E3"/>
    <mergeCell ref="F3:G3"/>
    <mergeCell ref="H3:I3"/>
    <mergeCell ref="J22:J23"/>
    <mergeCell ref="K22:K23"/>
    <mergeCell ref="J25:J26"/>
    <mergeCell ref="K25:K26"/>
    <mergeCell ref="B45:K45"/>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opLeftCell="BZ2" zoomScaleNormal="100" zoomScaleSheetLayoutView="100" zoomScalePageLayoutView="55" workbookViewId="0">
      <pane ySplit="3" topLeftCell="A5" activePane="bottomLeft" state="frozen"/>
      <selection pane="bottomLeft" activeCell="BZ11" sqref="BZ11"/>
    </sheetView>
  </sheetViews>
  <sheetFormatPr baseColWidth="10" defaultColWidth="11.42578125" defaultRowHeight="16.5" customHeight="1" x14ac:dyDescent="0.2"/>
  <cols>
    <col min="1" max="1" width="4" style="185" bestFit="1" customWidth="1"/>
    <col min="2" max="4" width="18.7109375" style="186" customWidth="1"/>
    <col min="5" max="5" width="32.42578125" style="187" customWidth="1"/>
    <col min="6" max="6" width="18.42578125" style="185" customWidth="1"/>
    <col min="7" max="7" width="16.42578125" style="185" customWidth="1"/>
    <col min="8" max="8" width="16.140625" style="185" customWidth="1"/>
    <col min="9" max="9" width="19" style="211" customWidth="1"/>
    <col min="10" max="10" width="24.42578125" style="187" customWidth="1"/>
    <col min="11" max="11" width="16.5703125" style="187" customWidth="1"/>
    <col min="12" max="12" width="6.28515625" style="187" bestFit="1" customWidth="1"/>
    <col min="13" max="13" width="27" style="187" customWidth="1"/>
    <col min="14" max="14" width="21.28515625" style="187" hidden="1" customWidth="1"/>
    <col min="15" max="15" width="17.5703125" style="187" customWidth="1"/>
    <col min="16" max="16" width="6.28515625" style="187" bestFit="1" customWidth="1"/>
    <col min="17" max="17" width="20.42578125" style="187" customWidth="1"/>
    <col min="18" max="18" width="5.85546875" style="187" customWidth="1"/>
    <col min="19" max="19" width="31" style="187" customWidth="1"/>
    <col min="20" max="20" width="15.140625" style="187" hidden="1" customWidth="1"/>
    <col min="21" max="21" width="18.42578125" style="187" hidden="1" customWidth="1"/>
    <col min="22" max="22" width="21" style="187" hidden="1" customWidth="1"/>
    <col min="23" max="23" width="19.28515625" style="187" hidden="1" customWidth="1"/>
    <col min="24" max="24" width="28.42578125" style="187" hidden="1" customWidth="1"/>
    <col min="25" max="25" width="6.85546875" style="187" hidden="1" customWidth="1"/>
    <col min="26" max="26" width="5" style="187" hidden="1" customWidth="1"/>
    <col min="27" max="27" width="5.5703125" style="187" hidden="1" customWidth="1"/>
    <col min="28" max="28" width="7.140625" style="187" hidden="1" customWidth="1"/>
    <col min="29" max="29" width="6.7109375" style="187" hidden="1" customWidth="1"/>
    <col min="30" max="30" width="7.5703125" style="187" hidden="1" customWidth="1"/>
    <col min="31" max="31" width="15.28515625" style="187" hidden="1" customWidth="1"/>
    <col min="32" max="32" width="12" style="187" hidden="1" customWidth="1"/>
    <col min="33" max="33" width="10.42578125" style="187" hidden="1" customWidth="1"/>
    <col min="34" max="34" width="9.28515625" style="187" hidden="1" customWidth="1"/>
    <col min="35" max="35" width="9.140625" style="187" hidden="1" customWidth="1"/>
    <col min="36" max="36" width="8.42578125" style="187" hidden="1" customWidth="1"/>
    <col min="37" max="37" width="7.28515625" style="187" hidden="1" customWidth="1"/>
    <col min="38" max="38" width="23" style="187" customWidth="1"/>
    <col min="39" max="39" width="18.85546875" style="187" customWidth="1"/>
    <col min="40" max="40" width="22.140625" style="187" customWidth="1"/>
    <col min="41" max="41" width="20.5703125" style="144" hidden="1" customWidth="1"/>
    <col min="42" max="42" width="18.5703125" style="144" hidden="1" customWidth="1"/>
    <col min="43" max="43" width="20.5703125" style="144" customWidth="1"/>
    <col min="44" max="44" width="18.5703125" style="144" customWidth="1"/>
    <col min="45" max="45" width="20.5703125" style="144" customWidth="1"/>
    <col min="46" max="46" width="18.5703125" style="144" customWidth="1"/>
    <col min="47" max="47" width="20.5703125" style="144" hidden="1" customWidth="1"/>
    <col min="48" max="48" width="18.5703125" style="144" hidden="1" customWidth="1"/>
    <col min="49" max="49" width="21" style="144" customWidth="1"/>
    <col min="50" max="51" width="23" style="144" hidden="1" customWidth="1"/>
    <col min="52" max="52" width="18.85546875" style="144" hidden="1" customWidth="1"/>
    <col min="53" max="53" width="19.28515625" style="144" hidden="1" customWidth="1"/>
    <col min="54" max="54" width="19.5703125" style="144" hidden="1" customWidth="1"/>
    <col min="55" max="56" width="23" style="144" customWidth="1"/>
    <col min="57" max="57" width="18.85546875" style="144" customWidth="1"/>
    <col min="58" max="58" width="16.85546875" style="144" customWidth="1"/>
    <col min="59" max="59" width="19.5703125" style="144" customWidth="1"/>
    <col min="60" max="60" width="23" style="144" customWidth="1"/>
    <col min="61" max="61" width="50.28515625" style="144" customWidth="1"/>
    <col min="62" max="62" width="18.85546875" style="144" customWidth="1"/>
    <col min="63" max="63" width="16.85546875" style="144" customWidth="1"/>
    <col min="64" max="64" width="19.5703125" style="144" customWidth="1"/>
    <col min="65" max="66" width="23" style="144" hidden="1" customWidth="1"/>
    <col min="67" max="67" width="18.85546875" style="144" hidden="1" customWidth="1"/>
    <col min="68" max="68" width="16.85546875" style="144" hidden="1" customWidth="1"/>
    <col min="69" max="69" width="19.5703125" style="144" hidden="1" customWidth="1"/>
    <col min="70" max="70" width="20.5703125" style="183" customWidth="1"/>
    <col min="71" max="72" width="23" style="144" customWidth="1"/>
    <col min="73" max="73" width="18.5703125" style="144" customWidth="1"/>
    <col min="74" max="74" width="20.5703125" style="144" customWidth="1"/>
    <col min="75" max="75" width="23" style="144" customWidth="1"/>
    <col min="76" max="76" width="18.5703125" style="144" customWidth="1"/>
    <col min="77" max="77" width="20.5703125" style="747" customWidth="1"/>
    <col min="78" max="78" width="66" style="144" customWidth="1"/>
    <col min="79" max="80" width="44.85546875" style="144" customWidth="1"/>
    <col min="81" max="16384" width="11.42578125" style="144"/>
  </cols>
  <sheetData>
    <row r="1" spans="1:106" ht="16.5" customHeight="1" x14ac:dyDescent="0.2">
      <c r="A1" s="220"/>
      <c r="B1" s="221"/>
      <c r="C1" s="221"/>
      <c r="E1" s="222"/>
      <c r="F1" s="223"/>
      <c r="G1" s="220"/>
      <c r="H1" s="220"/>
      <c r="I1" s="224"/>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71"/>
      <c r="BS1" s="145"/>
      <c r="BT1" s="145"/>
      <c r="BU1" s="145"/>
      <c r="BV1" s="145"/>
      <c r="BW1" s="145"/>
      <c r="BX1" s="145"/>
      <c r="BY1" s="744"/>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ht="16.5" customHeight="1" x14ac:dyDescent="0.2">
      <c r="A2" s="468" t="s">
        <v>145</v>
      </c>
      <c r="B2" s="469"/>
      <c r="C2" s="469"/>
      <c r="D2" s="469"/>
      <c r="E2" s="469"/>
      <c r="F2" s="469"/>
      <c r="G2" s="469"/>
      <c r="H2" s="469"/>
      <c r="I2" s="470"/>
      <c r="J2" s="468" t="s">
        <v>146</v>
      </c>
      <c r="K2" s="469"/>
      <c r="L2" s="469"/>
      <c r="M2" s="469"/>
      <c r="N2" s="469"/>
      <c r="O2" s="469"/>
      <c r="P2" s="469"/>
      <c r="Q2" s="470"/>
      <c r="R2" s="503" t="s">
        <v>147</v>
      </c>
      <c r="S2" s="503"/>
      <c r="T2" s="503"/>
      <c r="U2" s="503"/>
      <c r="V2" s="503"/>
      <c r="W2" s="503"/>
      <c r="X2" s="503"/>
      <c r="Y2" s="503"/>
      <c r="Z2" s="503"/>
      <c r="AA2" s="503"/>
      <c r="AB2" s="503"/>
      <c r="AC2" s="503"/>
      <c r="AD2" s="503"/>
      <c r="AE2" s="503" t="s">
        <v>148</v>
      </c>
      <c r="AF2" s="503"/>
      <c r="AG2" s="503"/>
      <c r="AH2" s="503"/>
      <c r="AI2" s="503"/>
      <c r="AJ2" s="503"/>
      <c r="AK2" s="503"/>
      <c r="AL2" s="509" t="s">
        <v>149</v>
      </c>
      <c r="AM2" s="509"/>
      <c r="AN2" s="509"/>
      <c r="AO2" s="509"/>
      <c r="AP2" s="509"/>
      <c r="AQ2" s="509"/>
      <c r="AR2" s="509"/>
      <c r="AS2" s="509"/>
      <c r="AT2" s="509"/>
      <c r="AU2" s="509"/>
      <c r="AV2" s="509"/>
      <c r="AW2" s="509"/>
      <c r="AX2" s="461" t="s">
        <v>150</v>
      </c>
      <c r="AY2" s="461"/>
      <c r="AZ2" s="461"/>
      <c r="BA2" s="461"/>
      <c r="BB2" s="461"/>
      <c r="BC2" s="461" t="s">
        <v>151</v>
      </c>
      <c r="BD2" s="461"/>
      <c r="BE2" s="461"/>
      <c r="BF2" s="461"/>
      <c r="BG2" s="461"/>
      <c r="BH2" s="461" t="s">
        <v>152</v>
      </c>
      <c r="BI2" s="461"/>
      <c r="BJ2" s="461"/>
      <c r="BK2" s="461"/>
      <c r="BL2" s="461"/>
      <c r="BM2" s="461" t="s">
        <v>153</v>
      </c>
      <c r="BN2" s="461"/>
      <c r="BO2" s="461"/>
      <c r="BP2" s="461"/>
      <c r="BQ2" s="461"/>
      <c r="BR2" s="507" t="s">
        <v>154</v>
      </c>
      <c r="BS2" s="507"/>
      <c r="BT2" s="507"/>
      <c r="BU2" s="507"/>
      <c r="BV2" s="474" t="s">
        <v>155</v>
      </c>
      <c r="BW2" s="474"/>
      <c r="BX2" s="474"/>
      <c r="BY2" s="465" t="s">
        <v>156</v>
      </c>
      <c r="BZ2" s="466"/>
      <c r="CA2" s="466"/>
      <c r="CB2" s="467"/>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ht="16.5" customHeight="1" x14ac:dyDescent="0.2">
      <c r="A3" s="499" t="s">
        <v>157</v>
      </c>
      <c r="B3" s="500" t="s">
        <v>7</v>
      </c>
      <c r="C3" s="500" t="s">
        <v>9</v>
      </c>
      <c r="D3" s="501" t="s">
        <v>158</v>
      </c>
      <c r="E3" s="501" t="s">
        <v>21</v>
      </c>
      <c r="F3" s="503" t="s">
        <v>15</v>
      </c>
      <c r="G3" s="500" t="s">
        <v>17</v>
      </c>
      <c r="H3" s="500" t="s">
        <v>159</v>
      </c>
      <c r="I3" s="500" t="s">
        <v>23</v>
      </c>
      <c r="J3" s="500" t="s">
        <v>160</v>
      </c>
      <c r="K3" s="500" t="s">
        <v>161</v>
      </c>
      <c r="L3" s="501" t="s">
        <v>162</v>
      </c>
      <c r="M3" s="500" t="s">
        <v>163</v>
      </c>
      <c r="N3" s="510" t="s">
        <v>164</v>
      </c>
      <c r="O3" s="500" t="s">
        <v>165</v>
      </c>
      <c r="P3" s="503" t="s">
        <v>162</v>
      </c>
      <c r="Q3" s="500" t="s">
        <v>29</v>
      </c>
      <c r="R3" s="502" t="s">
        <v>166</v>
      </c>
      <c r="S3" s="500" t="s">
        <v>31</v>
      </c>
      <c r="T3" s="500" t="s">
        <v>33</v>
      </c>
      <c r="U3" s="504" t="s">
        <v>167</v>
      </c>
      <c r="V3" s="505"/>
      <c r="W3" s="505"/>
      <c r="X3" s="506"/>
      <c r="Y3" s="500" t="s">
        <v>168</v>
      </c>
      <c r="Z3" s="500"/>
      <c r="AA3" s="500"/>
      <c r="AB3" s="500"/>
      <c r="AC3" s="500"/>
      <c r="AD3" s="500"/>
      <c r="AE3" s="502" t="s">
        <v>169</v>
      </c>
      <c r="AF3" s="502" t="s">
        <v>170</v>
      </c>
      <c r="AG3" s="502" t="s">
        <v>162</v>
      </c>
      <c r="AH3" s="502" t="s">
        <v>171</v>
      </c>
      <c r="AI3" s="502" t="s">
        <v>162</v>
      </c>
      <c r="AJ3" s="502" t="s">
        <v>172</v>
      </c>
      <c r="AK3" s="502" t="s">
        <v>49</v>
      </c>
      <c r="AL3" s="482" t="s">
        <v>173</v>
      </c>
      <c r="AM3" s="482" t="s">
        <v>174</v>
      </c>
      <c r="AN3" s="482" t="s">
        <v>175</v>
      </c>
      <c r="AO3" s="482" t="s">
        <v>176</v>
      </c>
      <c r="AP3" s="482" t="s">
        <v>177</v>
      </c>
      <c r="AQ3" s="482" t="s">
        <v>176</v>
      </c>
      <c r="AR3" s="483" t="s">
        <v>178</v>
      </c>
      <c r="AS3" s="482" t="s">
        <v>176</v>
      </c>
      <c r="AT3" s="482" t="s">
        <v>179</v>
      </c>
      <c r="AU3" s="482" t="s">
        <v>176</v>
      </c>
      <c r="AV3" s="483" t="s">
        <v>180</v>
      </c>
      <c r="AW3" s="482" t="s">
        <v>53</v>
      </c>
      <c r="AX3" s="462" t="s">
        <v>181</v>
      </c>
      <c r="AY3" s="462" t="s">
        <v>182</v>
      </c>
      <c r="AZ3" s="462" t="s">
        <v>174</v>
      </c>
      <c r="BA3" s="462" t="s">
        <v>183</v>
      </c>
      <c r="BB3" s="462" t="s">
        <v>184</v>
      </c>
      <c r="BC3" s="462" t="s">
        <v>181</v>
      </c>
      <c r="BD3" s="462" t="s">
        <v>182</v>
      </c>
      <c r="BE3" s="462" t="s">
        <v>174</v>
      </c>
      <c r="BF3" s="462" t="s">
        <v>183</v>
      </c>
      <c r="BG3" s="462" t="s">
        <v>184</v>
      </c>
      <c r="BH3" s="462" t="s">
        <v>181</v>
      </c>
      <c r="BI3" s="462" t="s">
        <v>182</v>
      </c>
      <c r="BJ3" s="462" t="s">
        <v>174</v>
      </c>
      <c r="BK3" s="462" t="s">
        <v>183</v>
      </c>
      <c r="BL3" s="462" t="s">
        <v>184</v>
      </c>
      <c r="BM3" s="462" t="s">
        <v>181</v>
      </c>
      <c r="BN3" s="462" t="s">
        <v>182</v>
      </c>
      <c r="BO3" s="462" t="s">
        <v>174</v>
      </c>
      <c r="BP3" s="462" t="s">
        <v>183</v>
      </c>
      <c r="BQ3" s="462" t="s">
        <v>184</v>
      </c>
      <c r="BR3" s="508" t="s">
        <v>185</v>
      </c>
      <c r="BS3" s="508" t="s">
        <v>186</v>
      </c>
      <c r="BT3" s="508" t="s">
        <v>187</v>
      </c>
      <c r="BU3" s="508" t="s">
        <v>182</v>
      </c>
      <c r="BV3" s="475" t="s">
        <v>176</v>
      </c>
      <c r="BW3" s="475" t="s">
        <v>188</v>
      </c>
      <c r="BX3" s="475" t="s">
        <v>189</v>
      </c>
      <c r="BY3" s="512" t="s">
        <v>190</v>
      </c>
      <c r="BZ3" s="512" t="s">
        <v>191</v>
      </c>
      <c r="CA3" s="512" t="s">
        <v>192</v>
      </c>
      <c r="CB3" s="512" t="s">
        <v>193</v>
      </c>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s="173" customFormat="1" ht="67.5" customHeight="1" x14ac:dyDescent="0.25">
      <c r="A4" s="499"/>
      <c r="B4" s="500"/>
      <c r="C4" s="500"/>
      <c r="D4" s="501"/>
      <c r="E4" s="501"/>
      <c r="F4" s="503"/>
      <c r="G4" s="500"/>
      <c r="H4" s="500"/>
      <c r="I4" s="500"/>
      <c r="J4" s="500"/>
      <c r="K4" s="500"/>
      <c r="L4" s="501"/>
      <c r="M4" s="500"/>
      <c r="N4" s="511"/>
      <c r="O4" s="503"/>
      <c r="P4" s="503"/>
      <c r="Q4" s="500"/>
      <c r="R4" s="502"/>
      <c r="S4" s="500"/>
      <c r="T4" s="500"/>
      <c r="U4" s="226" t="s">
        <v>194</v>
      </c>
      <c r="V4" s="226" t="s">
        <v>195</v>
      </c>
      <c r="W4" s="226" t="s">
        <v>196</v>
      </c>
      <c r="X4" s="226" t="s">
        <v>197</v>
      </c>
      <c r="Y4" s="225" t="s">
        <v>70</v>
      </c>
      <c r="Z4" s="225" t="s">
        <v>198</v>
      </c>
      <c r="AA4" s="225" t="s">
        <v>199</v>
      </c>
      <c r="AB4" s="225" t="s">
        <v>200</v>
      </c>
      <c r="AC4" s="225" t="s">
        <v>201</v>
      </c>
      <c r="AD4" s="225" t="s">
        <v>183</v>
      </c>
      <c r="AE4" s="502"/>
      <c r="AF4" s="502"/>
      <c r="AG4" s="502"/>
      <c r="AH4" s="502"/>
      <c r="AI4" s="502"/>
      <c r="AJ4" s="502"/>
      <c r="AK4" s="502"/>
      <c r="AL4" s="482"/>
      <c r="AM4" s="482"/>
      <c r="AN4" s="482"/>
      <c r="AO4" s="482"/>
      <c r="AP4" s="482"/>
      <c r="AQ4" s="482"/>
      <c r="AR4" s="484"/>
      <c r="AS4" s="482"/>
      <c r="AT4" s="482"/>
      <c r="AU4" s="482"/>
      <c r="AV4" s="484"/>
      <c r="AW4" s="482"/>
      <c r="AX4" s="462"/>
      <c r="AY4" s="462"/>
      <c r="AZ4" s="462"/>
      <c r="BA4" s="462"/>
      <c r="BB4" s="462"/>
      <c r="BC4" s="462"/>
      <c r="BD4" s="462"/>
      <c r="BE4" s="462"/>
      <c r="BF4" s="462"/>
      <c r="BG4" s="462"/>
      <c r="BH4" s="462"/>
      <c r="BI4" s="462"/>
      <c r="BJ4" s="462"/>
      <c r="BK4" s="462"/>
      <c r="BL4" s="462"/>
      <c r="BM4" s="462"/>
      <c r="BN4" s="462"/>
      <c r="BO4" s="462"/>
      <c r="BP4" s="462"/>
      <c r="BQ4" s="462"/>
      <c r="BR4" s="508"/>
      <c r="BS4" s="508"/>
      <c r="BT4" s="508"/>
      <c r="BU4" s="508"/>
      <c r="BV4" s="475"/>
      <c r="BW4" s="475"/>
      <c r="BX4" s="475"/>
      <c r="BY4" s="512"/>
      <c r="BZ4" s="512"/>
      <c r="CA4" s="512"/>
      <c r="CB4" s="51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row>
    <row r="5" spans="1:106" s="169" customFormat="1" ht="345" customHeight="1" x14ac:dyDescent="0.25">
      <c r="A5" s="463">
        <v>1</v>
      </c>
      <c r="B5" s="464" t="s">
        <v>73</v>
      </c>
      <c r="C5" s="464" t="s">
        <v>202</v>
      </c>
      <c r="D5" s="492" t="s">
        <v>203</v>
      </c>
      <c r="E5" s="492" t="s">
        <v>204</v>
      </c>
      <c r="F5" s="464" t="s">
        <v>205</v>
      </c>
      <c r="G5" s="464" t="s">
        <v>206</v>
      </c>
      <c r="H5" s="464" t="s">
        <v>207</v>
      </c>
      <c r="I5" s="464" t="s">
        <v>208</v>
      </c>
      <c r="J5" s="494">
        <v>860</v>
      </c>
      <c r="K5" s="489" t="str">
        <f>IF(J5&lt;=0,"",IF(J5&lt;=2,"Muy Baja",IF(J5&lt;=24,"Baja",IF(J5&lt;=500,"Media",IF(J5&lt;=5000,"Alta","Muy Alta")))))</f>
        <v>Alta</v>
      </c>
      <c r="L5" s="490">
        <f>IF(K5="","",IF(K5="Muy Baja",0.2,IF(K5="Baja",0.4,IF(K5="Media",0.6,IF(K5="Alta",0.8,IF(K5="Muy Alta",1,))))))</f>
        <v>0.8</v>
      </c>
      <c r="M5" s="485" t="s">
        <v>209</v>
      </c>
      <c r="N5" s="486"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489" t="str">
        <f>IF(OR(N5='Tabla Impacto'!$C$11,N5='Tabla Impacto'!$D$11),"Leve",IF(OR(N5='Tabla Impacto'!$C$12,N5='Tabla Impacto'!$D$12),"Menor",IF(OR(N5='Tabla Impacto'!$C$13,N5='Tabla Impacto'!$D$13),"Moderado",IF(OR(N5='Tabla Impacto'!$C$14,N5='Tabla Impacto'!$D$14),"Mayor",IF(OR(N5='Tabla Impacto'!$C$15,N5='Tabla Impacto'!$D$15),"Catastrófico","")))))</f>
        <v>Moderado</v>
      </c>
      <c r="P5" s="490">
        <f>IF(O5="","",IF(O5="Leve",0.2,IF(O5="Menor",0.4,IF(O5="Moderado",0.6,IF(O5="Mayor",0.8,IF(O5="Catastrófico",1,))))))</f>
        <v>0.6</v>
      </c>
      <c r="Q5" s="491"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88">
        <v>1</v>
      </c>
      <c r="S5" s="215" t="s">
        <v>210</v>
      </c>
      <c r="T5" s="184" t="str">
        <f t="shared" ref="T5:T37" si="0">IF(OR(Y5="Preventivo",Y5="Detectivo"),"Probabilidad",IF(Y5="Correctivo","Impacto",""))</f>
        <v>Probabilidad</v>
      </c>
      <c r="U5" s="184" t="s">
        <v>211</v>
      </c>
      <c r="V5" s="184" t="s">
        <v>211</v>
      </c>
      <c r="W5" s="184" t="s">
        <v>211</v>
      </c>
      <c r="X5" s="227" t="s">
        <v>212</v>
      </c>
      <c r="Y5" s="228" t="s">
        <v>213</v>
      </c>
      <c r="Z5" s="228" t="s">
        <v>214</v>
      </c>
      <c r="AA5" s="174" t="str">
        <f t="shared" ref="AA5:AA36" si="1">IF(AND(Y5="Preventivo",Z5="Automático"),"50%",IF(AND(Y5="Preventivo",Z5="Manual"),"40%",IF(AND(Y5="Detectivo",Z5="Automático"),"40%",IF(AND(Y5="Detectivo",Z5="Manual"),"30%",IF(AND(Y5="Correctivo",Z5="Automático"),"35%",IF(AND(Y5="Correctivo",Z5="Manual"),"25%",""))))))</f>
        <v>40%</v>
      </c>
      <c r="AB5" s="229" t="s">
        <v>215</v>
      </c>
      <c r="AC5" s="228" t="s">
        <v>216</v>
      </c>
      <c r="AD5" s="228" t="s">
        <v>217</v>
      </c>
      <c r="AE5" s="175">
        <f>IFERROR(IF(T5="Probabilidad",(L5-(+L5*AA5)),IF(T5="Impacto",L5,"")),"")</f>
        <v>0.48</v>
      </c>
      <c r="AF5" s="176" t="str">
        <f>IFERROR(IF(AE5="","",IF(AE5&lt;=0.2,"Muy Baja",IF(AE5&lt;=0.4,"Baja",IF(AE5&lt;=0.6,"Media",IF(AE5&lt;=0.8,"Alta","Muy Alta"))))),"")</f>
        <v>Media</v>
      </c>
      <c r="AG5" s="174">
        <f t="shared" ref="AG5:AG36" si="2">+AE5</f>
        <v>0.48</v>
      </c>
      <c r="AH5" s="176" t="str">
        <f>IFERROR(IF(AI5="","",IF(AI5&lt;=0.2,"Leve",IF(AI5&lt;=0.4,"Menor",IF(AI5&lt;=0.6,"Moderado",IF(AI5&lt;=0.8,"Mayor","Catastrófico"))))),"")</f>
        <v>Moderado</v>
      </c>
      <c r="AI5" s="174">
        <f>IFERROR(IF(T5="Impacto",(P5-(+P5*AA5)),IF(T5="Probabilidad",P5,"")),"")</f>
        <v>0.6</v>
      </c>
      <c r="AJ5" s="177"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471" t="s">
        <v>218</v>
      </c>
      <c r="AL5" s="190" t="s">
        <v>219</v>
      </c>
      <c r="AM5" s="190" t="s">
        <v>220</v>
      </c>
      <c r="AN5" s="219">
        <v>45291</v>
      </c>
      <c r="AO5" s="219">
        <v>44994</v>
      </c>
      <c r="AP5" s="331" t="s">
        <v>221</v>
      </c>
      <c r="AQ5" s="313">
        <v>45056</v>
      </c>
      <c r="AR5" s="331" t="s">
        <v>222</v>
      </c>
      <c r="AS5" s="388">
        <v>45179</v>
      </c>
      <c r="AT5" s="372" t="s">
        <v>223</v>
      </c>
      <c r="AU5" s="148"/>
      <c r="AV5" s="143"/>
      <c r="AW5" s="147" t="s">
        <v>224</v>
      </c>
      <c r="AX5" s="313" t="s">
        <v>225</v>
      </c>
      <c r="AY5" s="332" t="s">
        <v>226</v>
      </c>
      <c r="AZ5" s="313" t="s">
        <v>227</v>
      </c>
      <c r="BA5" s="331" t="s">
        <v>228</v>
      </c>
      <c r="BB5" s="219" t="s">
        <v>229</v>
      </c>
      <c r="BC5" s="360" t="s">
        <v>230</v>
      </c>
      <c r="BD5" s="189" t="s">
        <v>231</v>
      </c>
      <c r="BE5" s="313" t="s">
        <v>227</v>
      </c>
      <c r="BF5" s="331" t="s">
        <v>232</v>
      </c>
      <c r="BG5" s="191" t="s">
        <v>229</v>
      </c>
      <c r="BH5" s="373" t="s">
        <v>233</v>
      </c>
      <c r="BI5" s="372" t="s">
        <v>234</v>
      </c>
      <c r="BJ5" s="147"/>
      <c r="BK5" s="148"/>
      <c r="BL5" s="148"/>
      <c r="BM5" s="143"/>
      <c r="BN5" s="143"/>
      <c r="BO5" s="147"/>
      <c r="BP5" s="148"/>
      <c r="BQ5" s="148"/>
      <c r="BR5" s="142" t="s">
        <v>235</v>
      </c>
      <c r="BS5" s="143"/>
      <c r="BT5" s="143"/>
      <c r="BU5" s="143"/>
      <c r="BV5" s="170" t="s">
        <v>236</v>
      </c>
      <c r="BW5" s="143" t="s">
        <v>237</v>
      </c>
      <c r="BX5" s="143" t="s">
        <v>238</v>
      </c>
      <c r="BY5" s="745" t="s">
        <v>701</v>
      </c>
      <c r="BZ5" s="403" t="s">
        <v>707</v>
      </c>
      <c r="CA5" s="403" t="s">
        <v>708</v>
      </c>
      <c r="CB5" s="403" t="s">
        <v>709</v>
      </c>
    </row>
    <row r="6" spans="1:106" ht="12.75" x14ac:dyDescent="0.2">
      <c r="A6" s="463"/>
      <c r="B6" s="464"/>
      <c r="C6" s="464"/>
      <c r="D6" s="492"/>
      <c r="E6" s="492"/>
      <c r="F6" s="464"/>
      <c r="G6" s="464"/>
      <c r="H6" s="464"/>
      <c r="I6" s="464"/>
      <c r="J6" s="494"/>
      <c r="K6" s="489"/>
      <c r="L6" s="490"/>
      <c r="M6" s="485"/>
      <c r="N6" s="487"/>
      <c r="O6" s="489"/>
      <c r="P6" s="490"/>
      <c r="Q6" s="491"/>
      <c r="R6" s="188">
        <v>2</v>
      </c>
      <c r="S6" s="217"/>
      <c r="T6" s="184" t="str">
        <f t="shared" si="0"/>
        <v/>
      </c>
      <c r="U6" s="184"/>
      <c r="V6" s="184"/>
      <c r="W6" s="184"/>
      <c r="X6" s="184"/>
      <c r="Y6" s="228"/>
      <c r="Z6" s="228"/>
      <c r="AA6" s="174" t="str">
        <f t="shared" si="1"/>
        <v/>
      </c>
      <c r="AB6" s="228"/>
      <c r="AC6" s="228"/>
      <c r="AD6" s="228"/>
      <c r="AE6" s="175" t="str">
        <f>IFERROR(IF(AND(T5="Probabilidad",T6="Probabilidad"),(AG5-(+AG5*AA6)),IF(T6="Probabilidad",(L5-(+L5*AA6)),IF(T6="Impacto",AG5,""))),"")</f>
        <v/>
      </c>
      <c r="AF6" s="176" t="str">
        <f t="shared" ref="AF6:AF64" si="4">IFERROR(IF(AE6="","",IF(AE6&lt;=0.2,"Muy Baja",IF(AE6&lt;=0.4,"Baja",IF(AE6&lt;=0.6,"Media",IF(AE6&lt;=0.8,"Alta","Muy Alta"))))),"")</f>
        <v/>
      </c>
      <c r="AG6" s="174" t="str">
        <f t="shared" si="2"/>
        <v/>
      </c>
      <c r="AH6" s="176" t="str">
        <f t="shared" ref="AH6:AH64" si="5">IFERROR(IF(AI6="","",IF(AI6&lt;=0.2,"Leve",IF(AI6&lt;=0.4,"Menor",IF(AI6&lt;=0.6,"Moderado",IF(AI6&lt;=0.8,"Mayor","Catastrófico"))))),"")</f>
        <v/>
      </c>
      <c r="AI6" s="174" t="str">
        <f>IFERROR(IF(AND(T5="Impacto",T6="Impacto"),(AI5-(+AI5*AA6)),IF(T6="Impacto",($P$5-(+$P$5*AA6)),IF(T6="Probabilidad",AI5,""))),"")</f>
        <v/>
      </c>
      <c r="AJ6" s="177" t="str">
        <f t="shared" si="3"/>
        <v/>
      </c>
      <c r="AK6" s="472"/>
      <c r="AL6" s="351"/>
      <c r="AM6" s="190"/>
      <c r="AN6" s="352"/>
      <c r="AO6" s="191"/>
      <c r="AP6" s="353"/>
      <c r="AQ6" s="354"/>
      <c r="AR6" s="189"/>
      <c r="AS6" s="148"/>
      <c r="AT6" s="143"/>
      <c r="AU6" s="148"/>
      <c r="AV6" s="143"/>
      <c r="AW6" s="147"/>
      <c r="AX6" s="143"/>
      <c r="AY6" s="143"/>
      <c r="AZ6" s="147"/>
      <c r="BA6" s="148"/>
      <c r="BB6" s="148"/>
      <c r="BC6" s="189"/>
      <c r="BD6" s="189"/>
      <c r="BE6" s="188"/>
      <c r="BF6" s="191"/>
      <c r="BG6" s="191"/>
      <c r="BH6" s="143"/>
      <c r="BI6" s="143"/>
      <c r="BJ6" s="147"/>
      <c r="BK6" s="148"/>
      <c r="BL6" s="148"/>
      <c r="BM6" s="143"/>
      <c r="BN6" s="143"/>
      <c r="BO6" s="147"/>
      <c r="BP6" s="148"/>
      <c r="BQ6" s="148"/>
      <c r="BR6" s="178"/>
      <c r="BS6" s="143"/>
      <c r="BT6" s="143"/>
      <c r="BU6" s="143"/>
      <c r="BV6" s="148"/>
      <c r="BW6" s="143"/>
      <c r="BX6" s="143"/>
      <c r="BY6" s="746"/>
      <c r="BZ6" s="143"/>
      <c r="CA6" s="147"/>
      <c r="CB6" s="143"/>
    </row>
    <row r="7" spans="1:106" ht="37.5" customHeight="1" x14ac:dyDescent="0.2">
      <c r="A7" s="463"/>
      <c r="B7" s="464"/>
      <c r="C7" s="464"/>
      <c r="D7" s="492"/>
      <c r="E7" s="492"/>
      <c r="F7" s="464"/>
      <c r="G7" s="464"/>
      <c r="H7" s="464"/>
      <c r="I7" s="464"/>
      <c r="J7" s="494"/>
      <c r="K7" s="489"/>
      <c r="L7" s="490"/>
      <c r="M7" s="485"/>
      <c r="N7" s="487"/>
      <c r="O7" s="489"/>
      <c r="P7" s="490"/>
      <c r="Q7" s="491"/>
      <c r="R7" s="188">
        <v>3</v>
      </c>
      <c r="S7" s="217"/>
      <c r="T7" s="184" t="str">
        <f t="shared" si="0"/>
        <v/>
      </c>
      <c r="U7" s="184"/>
      <c r="V7" s="184"/>
      <c r="W7" s="184"/>
      <c r="X7" s="184"/>
      <c r="Y7" s="228"/>
      <c r="Z7" s="228"/>
      <c r="AA7" s="174" t="str">
        <f t="shared" si="1"/>
        <v/>
      </c>
      <c r="AB7" s="228"/>
      <c r="AC7" s="228"/>
      <c r="AD7" s="228"/>
      <c r="AE7" s="175" t="str">
        <f>IFERROR(IF(AND(T6="Probabilidad",T7="Probabilidad"),(AG6-(+AG6*AA7)),IF(AND(T6="Impacto",T7="Probabilidad"),(AG5-(+AG5*AA7)),IF(T7="Impacto",AG6,""))),"")</f>
        <v/>
      </c>
      <c r="AF7" s="176" t="str">
        <f t="shared" si="4"/>
        <v/>
      </c>
      <c r="AG7" s="174" t="str">
        <f t="shared" si="2"/>
        <v/>
      </c>
      <c r="AH7" s="176" t="str">
        <f t="shared" si="5"/>
        <v/>
      </c>
      <c r="AI7" s="174" t="str">
        <f>IFERROR(IF(AND(T6="Impacto",T7="Impacto"),(AI6-(+AI6*AA7)),IF(AND(T6="Probabilidad",T7="Impacto"),(AI5-(+AI5*AA7)),IF(T7="Probabilidad",AI6,""))),"")</f>
        <v/>
      </c>
      <c r="AJ7" s="177" t="str">
        <f t="shared" si="3"/>
        <v/>
      </c>
      <c r="AK7" s="472"/>
      <c r="AL7" s="355"/>
      <c r="AM7" s="188"/>
      <c r="AN7" s="191"/>
      <c r="AO7" s="191"/>
      <c r="AP7" s="189"/>
      <c r="AQ7" s="191"/>
      <c r="AR7" s="189"/>
      <c r="AS7" s="148"/>
      <c r="AT7" s="143"/>
      <c r="AU7" s="148"/>
      <c r="AV7" s="143"/>
      <c r="AW7" s="147"/>
      <c r="AX7" s="143"/>
      <c r="AY7" s="143"/>
      <c r="AZ7" s="147"/>
      <c r="BA7" s="148"/>
      <c r="BB7" s="148"/>
      <c r="BC7" s="189"/>
      <c r="BD7" s="189"/>
      <c r="BE7" s="188"/>
      <c r="BF7" s="191"/>
      <c r="BG7" s="191"/>
      <c r="BH7" s="143"/>
      <c r="BI7" s="143"/>
      <c r="BJ7" s="147"/>
      <c r="BK7" s="148"/>
      <c r="BL7" s="148"/>
      <c r="BM7" s="143"/>
      <c r="BN7" s="143"/>
      <c r="BO7" s="147"/>
      <c r="BP7" s="148"/>
      <c r="BQ7" s="148"/>
      <c r="BR7" s="170"/>
      <c r="BS7" s="143"/>
      <c r="BT7" s="143"/>
      <c r="BU7" s="143"/>
      <c r="BV7" s="148"/>
      <c r="BW7" s="143"/>
      <c r="BX7" s="143"/>
      <c r="BY7" s="746"/>
      <c r="BZ7" s="143"/>
      <c r="CA7" s="147"/>
      <c r="CB7" s="143"/>
    </row>
    <row r="8" spans="1:106" ht="36" customHeight="1" x14ac:dyDescent="0.2">
      <c r="A8" s="463"/>
      <c r="B8" s="464"/>
      <c r="C8" s="464"/>
      <c r="D8" s="492"/>
      <c r="E8" s="492"/>
      <c r="F8" s="464"/>
      <c r="G8" s="464"/>
      <c r="H8" s="464"/>
      <c r="I8" s="464"/>
      <c r="J8" s="494"/>
      <c r="K8" s="489"/>
      <c r="L8" s="490"/>
      <c r="M8" s="485"/>
      <c r="N8" s="487"/>
      <c r="O8" s="489"/>
      <c r="P8" s="490"/>
      <c r="Q8" s="491"/>
      <c r="R8" s="188">
        <v>4</v>
      </c>
      <c r="S8" s="217"/>
      <c r="T8" s="184" t="str">
        <f t="shared" si="0"/>
        <v/>
      </c>
      <c r="U8" s="184"/>
      <c r="V8" s="184"/>
      <c r="W8" s="184"/>
      <c r="X8" s="184"/>
      <c r="Y8" s="228"/>
      <c r="Z8" s="228"/>
      <c r="AA8" s="174" t="str">
        <f t="shared" si="1"/>
        <v/>
      </c>
      <c r="AB8" s="228"/>
      <c r="AC8" s="228"/>
      <c r="AD8" s="228"/>
      <c r="AE8" s="175" t="str">
        <f>IFERROR(IF(AND(T7="Probabilidad",T8="Probabilidad"),(AG7-(+AG7*AA8)),IF(AND(T7="Impacto",T8="Probabilidad"),(AG6-(+AG6*AA8)),IF(T8="Impacto",AG7,""))),"")</f>
        <v/>
      </c>
      <c r="AF8" s="176" t="str">
        <f t="shared" si="4"/>
        <v/>
      </c>
      <c r="AG8" s="174" t="str">
        <f t="shared" si="2"/>
        <v/>
      </c>
      <c r="AH8" s="176" t="str">
        <f t="shared" si="5"/>
        <v/>
      </c>
      <c r="AI8" s="174" t="str">
        <f>IFERROR(IF(AND(T7="Impacto",T8="Impacto"),(AI7-(+AI7*AA8)),IF(AND(T7="Probabilidad",T8="Impacto"),(AI6-(+AI6*AA8)),IF(T8="Probabilidad",AI7,""))),"")</f>
        <v/>
      </c>
      <c r="AJ8" s="177" t="str">
        <f t="shared" si="3"/>
        <v/>
      </c>
      <c r="AK8" s="472"/>
      <c r="AL8" s="189"/>
      <c r="AM8" s="188"/>
      <c r="AN8" s="191"/>
      <c r="AO8" s="191"/>
      <c r="AP8" s="189"/>
      <c r="AQ8" s="191"/>
      <c r="AR8" s="189"/>
      <c r="AS8" s="148"/>
      <c r="AT8" s="143"/>
      <c r="AU8" s="148"/>
      <c r="AV8" s="143"/>
      <c r="AW8" s="147"/>
      <c r="AX8" s="143"/>
      <c r="AY8" s="143"/>
      <c r="AZ8" s="147"/>
      <c r="BA8" s="148"/>
      <c r="BB8" s="148"/>
      <c r="BC8" s="189"/>
      <c r="BD8" s="189"/>
      <c r="BE8" s="188"/>
      <c r="BF8" s="191"/>
      <c r="BG8" s="191"/>
      <c r="BH8" s="143"/>
      <c r="BI8" s="143"/>
      <c r="BJ8" s="147"/>
      <c r="BK8" s="148"/>
      <c r="BL8" s="148"/>
      <c r="BM8" s="143"/>
      <c r="BN8" s="143"/>
      <c r="BO8" s="147"/>
      <c r="BP8" s="148"/>
      <c r="BQ8" s="148"/>
      <c r="BR8" s="170"/>
      <c r="BS8" s="143"/>
      <c r="BT8" s="143"/>
      <c r="BU8" s="143"/>
      <c r="BV8" s="148"/>
      <c r="BW8" s="143"/>
      <c r="BX8" s="143"/>
      <c r="BY8" s="746"/>
      <c r="BZ8" s="143"/>
      <c r="CA8" s="147"/>
      <c r="CB8" s="143"/>
    </row>
    <row r="9" spans="1:106" ht="16.5" customHeight="1" x14ac:dyDescent="0.2">
      <c r="A9" s="463"/>
      <c r="B9" s="464"/>
      <c r="C9" s="464"/>
      <c r="D9" s="492"/>
      <c r="E9" s="492"/>
      <c r="F9" s="464"/>
      <c r="G9" s="464"/>
      <c r="H9" s="464"/>
      <c r="I9" s="464"/>
      <c r="J9" s="494"/>
      <c r="K9" s="489"/>
      <c r="L9" s="490"/>
      <c r="M9" s="485"/>
      <c r="N9" s="487"/>
      <c r="O9" s="489"/>
      <c r="P9" s="490"/>
      <c r="Q9" s="491"/>
      <c r="R9" s="188">
        <v>5</v>
      </c>
      <c r="S9" s="217"/>
      <c r="T9" s="184" t="str">
        <f t="shared" si="0"/>
        <v/>
      </c>
      <c r="U9" s="184"/>
      <c r="V9" s="184"/>
      <c r="W9" s="184"/>
      <c r="X9" s="184"/>
      <c r="Y9" s="228"/>
      <c r="Z9" s="228"/>
      <c r="AA9" s="174" t="str">
        <f t="shared" si="1"/>
        <v/>
      </c>
      <c r="AB9" s="228"/>
      <c r="AC9" s="228"/>
      <c r="AD9" s="228"/>
      <c r="AE9" s="175" t="str">
        <f>IFERROR(IF(AND(T8="Probabilidad",T9="Probabilidad"),(AG8-(+AG8*AA9)),IF(AND(T8="Impacto",T9="Probabilidad"),(AG7-(+AG7*AA9)),IF(T9="Impacto",AG8,""))),"")</f>
        <v/>
      </c>
      <c r="AF9" s="176" t="str">
        <f t="shared" si="4"/>
        <v/>
      </c>
      <c r="AG9" s="174" t="str">
        <f t="shared" si="2"/>
        <v/>
      </c>
      <c r="AH9" s="176" t="str">
        <f t="shared" si="5"/>
        <v/>
      </c>
      <c r="AI9" s="174" t="str">
        <f>IFERROR(IF(AND(T8="Impacto",T9="Impacto"),(AI8-(+AI8*AA9)),IF(AND(T8="Probabilidad",T9="Impacto"),(AI7-(+AI7*AA9)),IF(T9="Probabilidad",AI8,""))),"")</f>
        <v/>
      </c>
      <c r="AJ9" s="177" t="str">
        <f t="shared" si="3"/>
        <v/>
      </c>
      <c r="AK9" s="472"/>
      <c r="AL9" s="189"/>
      <c r="AM9" s="188"/>
      <c r="AN9" s="191"/>
      <c r="AO9" s="191"/>
      <c r="AP9" s="189"/>
      <c r="AQ9" s="191"/>
      <c r="AR9" s="189"/>
      <c r="AS9" s="148"/>
      <c r="AT9" s="143"/>
      <c r="AU9" s="148"/>
      <c r="AV9" s="143"/>
      <c r="AW9" s="147"/>
      <c r="AX9" s="143"/>
      <c r="AY9" s="143"/>
      <c r="AZ9" s="147"/>
      <c r="BA9" s="148"/>
      <c r="BB9" s="148"/>
      <c r="BC9" s="189"/>
      <c r="BD9" s="189"/>
      <c r="BE9" s="188"/>
      <c r="BF9" s="191"/>
      <c r="BG9" s="191"/>
      <c r="BH9" s="143"/>
      <c r="BI9" s="143"/>
      <c r="BJ9" s="147"/>
      <c r="BK9" s="148"/>
      <c r="BL9" s="148"/>
      <c r="BM9" s="143"/>
      <c r="BN9" s="143"/>
      <c r="BO9" s="147"/>
      <c r="BP9" s="148"/>
      <c r="BQ9" s="148"/>
      <c r="BR9" s="170"/>
      <c r="BS9" s="143"/>
      <c r="BT9" s="143"/>
      <c r="BU9" s="143"/>
      <c r="BV9" s="148"/>
      <c r="BW9" s="143"/>
      <c r="BX9" s="143"/>
      <c r="BY9" s="746"/>
      <c r="BZ9" s="143"/>
      <c r="CA9" s="147"/>
      <c r="CB9" s="143"/>
    </row>
    <row r="10" spans="1:106" ht="16.5" hidden="1" customHeight="1" x14ac:dyDescent="0.2">
      <c r="A10" s="463"/>
      <c r="B10" s="464"/>
      <c r="C10" s="464"/>
      <c r="D10" s="492"/>
      <c r="E10" s="492"/>
      <c r="F10" s="464"/>
      <c r="G10" s="464"/>
      <c r="H10" s="464"/>
      <c r="I10" s="464"/>
      <c r="J10" s="494"/>
      <c r="K10" s="489"/>
      <c r="L10" s="490"/>
      <c r="M10" s="485"/>
      <c r="N10" s="488"/>
      <c r="O10" s="489"/>
      <c r="P10" s="490"/>
      <c r="Q10" s="491"/>
      <c r="R10" s="188">
        <v>6</v>
      </c>
      <c r="S10" s="217"/>
      <c r="T10" s="184" t="str">
        <f t="shared" si="0"/>
        <v/>
      </c>
      <c r="U10" s="184"/>
      <c r="V10" s="184"/>
      <c r="W10" s="184"/>
      <c r="X10" s="184"/>
      <c r="Y10" s="228"/>
      <c r="Z10" s="228"/>
      <c r="AA10" s="174" t="str">
        <f t="shared" si="1"/>
        <v/>
      </c>
      <c r="AB10" s="228"/>
      <c r="AC10" s="228"/>
      <c r="AD10" s="228"/>
      <c r="AE10" s="175" t="str">
        <f>IFERROR(IF(AND(T9="Probabilidad",T10="Probabilidad"),(AG9-(+AG9*AA10)),IF(AND(T9="Impacto",T10="Probabilidad"),(AG8-(+AG8*AA10)),IF(T10="Impacto",AG9,""))),"")</f>
        <v/>
      </c>
      <c r="AF10" s="176" t="str">
        <f t="shared" si="4"/>
        <v/>
      </c>
      <c r="AG10" s="174" t="str">
        <f t="shared" si="2"/>
        <v/>
      </c>
      <c r="AH10" s="176" t="str">
        <f t="shared" si="5"/>
        <v/>
      </c>
      <c r="AI10" s="174" t="str">
        <f>IFERROR(IF(AND(T9="Impacto",T10="Impacto"),(AI9-(+AI9*AA10)),IF(AND(T9="Probabilidad",T10="Impacto"),(AI8-(+AI8*AA10)),IF(T10="Probabilidad",AI9,""))),"")</f>
        <v/>
      </c>
      <c r="AJ10" s="177" t="str">
        <f t="shared" si="3"/>
        <v/>
      </c>
      <c r="AK10" s="473"/>
      <c r="AL10" s="189"/>
      <c r="AM10" s="188"/>
      <c r="AN10" s="191"/>
      <c r="AO10" s="191"/>
      <c r="AP10" s="189"/>
      <c r="AQ10" s="191"/>
      <c r="AR10" s="189"/>
      <c r="AS10" s="148"/>
      <c r="AT10" s="143"/>
      <c r="AU10" s="148"/>
      <c r="AV10" s="143"/>
      <c r="AW10" s="147"/>
      <c r="AX10" s="143"/>
      <c r="AY10" s="143"/>
      <c r="AZ10" s="147"/>
      <c r="BA10" s="148"/>
      <c r="BB10" s="148"/>
      <c r="BC10" s="189"/>
      <c r="BD10" s="189"/>
      <c r="BE10" s="188"/>
      <c r="BF10" s="191"/>
      <c r="BG10" s="191"/>
      <c r="BH10" s="143"/>
      <c r="BI10" s="143"/>
      <c r="BJ10" s="147"/>
      <c r="BK10" s="148"/>
      <c r="BL10" s="148"/>
      <c r="BM10" s="143"/>
      <c r="BN10" s="143"/>
      <c r="BO10" s="147"/>
      <c r="BP10" s="148"/>
      <c r="BQ10" s="148"/>
      <c r="BR10" s="170"/>
      <c r="BS10" s="143"/>
      <c r="BT10" s="143"/>
      <c r="BU10" s="143"/>
      <c r="BV10" s="148"/>
      <c r="BW10" s="143"/>
      <c r="BX10" s="143"/>
      <c r="BY10" s="746"/>
      <c r="BZ10" s="143"/>
      <c r="CA10" s="147"/>
      <c r="CB10" s="143"/>
    </row>
    <row r="11" spans="1:106" ht="282.75" customHeight="1" x14ac:dyDescent="0.2">
      <c r="A11" s="463">
        <v>2</v>
      </c>
      <c r="B11" s="493" t="s">
        <v>73</v>
      </c>
      <c r="C11" s="493" t="s">
        <v>202</v>
      </c>
      <c r="D11" s="492" t="s">
        <v>203</v>
      </c>
      <c r="E11" s="496" t="s">
        <v>239</v>
      </c>
      <c r="F11" s="464" t="s">
        <v>205</v>
      </c>
      <c r="G11" s="493" t="s">
        <v>240</v>
      </c>
      <c r="H11" s="493" t="s">
        <v>241</v>
      </c>
      <c r="I11" s="493" t="s">
        <v>208</v>
      </c>
      <c r="J11" s="494">
        <v>160</v>
      </c>
      <c r="K11" s="489" t="str">
        <f>IF(J11&lt;=0,"",IF(J11&lt;=2,"Muy Baja",IF(J11&lt;=24,"Baja",IF(J11&lt;=500,"Media",IF(J11&lt;=5000,"Alta","Muy Alta")))))</f>
        <v>Media</v>
      </c>
      <c r="L11" s="490">
        <f>IF(K11="","",IF(K11="Muy Baja",0.2,IF(K11="Baja",0.4,IF(K11="Media",0.6,IF(K11="Alta",0.8,IF(K11="Muy Alta",1,))))))</f>
        <v>0.6</v>
      </c>
      <c r="M11" s="495" t="s">
        <v>209</v>
      </c>
      <c r="N11" s="486"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89" t="str">
        <f>IF(OR(N11='Tabla Impacto'!$C$11,N11='Tabla Impacto'!$D$11),"Leve",IF(OR(N11='Tabla Impacto'!$C$12,N11='Tabla Impacto'!$D$12),"Menor",IF(OR(N11='Tabla Impacto'!$C$13,N11='Tabla Impacto'!$D$13),"Moderado",IF(OR(N11='Tabla Impacto'!$C$14,N11='Tabla Impacto'!$D$14),"Mayor",IF(OR(N11='Tabla Impacto'!$C$15,N11='Tabla Impacto'!$D$15),"Catastrófico","")))))</f>
        <v>Moderado</v>
      </c>
      <c r="P11" s="490">
        <f>IF(O11="","",IF(O11="Leve",0.2,IF(O11="Menor",0.4,IF(O11="Moderado",0.6,IF(O11="Mayor",0.8,IF(O11="Catastrófico",1,))))))</f>
        <v>0.6</v>
      </c>
      <c r="Q11" s="491"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88">
        <v>1</v>
      </c>
      <c r="S11" s="230" t="s">
        <v>242</v>
      </c>
      <c r="T11" s="184" t="str">
        <f t="shared" si="0"/>
        <v>Probabilidad</v>
      </c>
      <c r="U11" s="231" t="s">
        <v>211</v>
      </c>
      <c r="V11" s="231" t="s">
        <v>211</v>
      </c>
      <c r="W11" s="231" t="s">
        <v>211</v>
      </c>
      <c r="X11" s="231" t="s">
        <v>211</v>
      </c>
      <c r="Y11" s="232" t="s">
        <v>213</v>
      </c>
      <c r="Z11" s="232" t="s">
        <v>214</v>
      </c>
      <c r="AA11" s="174" t="str">
        <f t="shared" si="1"/>
        <v>40%</v>
      </c>
      <c r="AB11" s="232" t="s">
        <v>215</v>
      </c>
      <c r="AC11" s="232" t="s">
        <v>216</v>
      </c>
      <c r="AD11" s="232" t="s">
        <v>217</v>
      </c>
      <c r="AE11" s="180">
        <f>IFERROR(IF(T11="Probabilidad",(L11-(+L11*AA11)),IF(T11="Impacto",L11,"")),"")</f>
        <v>0.36</v>
      </c>
      <c r="AF11" s="176" t="str">
        <f>IFERROR(IF(AE11="","",IF(AE11&lt;=0.2,"Muy Baja",IF(AE11&lt;=0.4,"Baja",IF(AE11&lt;=0.6,"Media",IF(AE11&lt;=0.8,"Alta","Muy Alta"))))),"")</f>
        <v>Baja</v>
      </c>
      <c r="AG11" s="174">
        <f t="shared" si="2"/>
        <v>0.36</v>
      </c>
      <c r="AH11" s="176" t="str">
        <f>IFERROR(IF(AI11="","",IF(AI11&lt;=0.2,"Leve",IF(AI11&lt;=0.4,"Menor",IF(AI11&lt;=0.6,"Moderado",IF(AI11&lt;=0.8,"Mayor","Catastrófico"))))),"")</f>
        <v>Moderado</v>
      </c>
      <c r="AI11" s="174">
        <f>IFERROR(IF(T11="Impacto",(P11-(+P11*AA11)),IF(T11="Probabilidad",P11,"")),"")</f>
        <v>0.6</v>
      </c>
      <c r="AJ11" s="177" t="str">
        <f t="shared" si="3"/>
        <v>Moderado</v>
      </c>
      <c r="AK11" s="476" t="s">
        <v>218</v>
      </c>
      <c r="AL11" s="215" t="s">
        <v>243</v>
      </c>
      <c r="AM11" s="356" t="s">
        <v>244</v>
      </c>
      <c r="AN11" s="219">
        <v>45291</v>
      </c>
      <c r="AO11" s="313" t="s">
        <v>225</v>
      </c>
      <c r="AP11" s="357" t="s">
        <v>245</v>
      </c>
      <c r="AQ11" s="358" t="s">
        <v>230</v>
      </c>
      <c r="AR11" s="359" t="s">
        <v>246</v>
      </c>
      <c r="AS11" s="181"/>
      <c r="AT11" s="182"/>
      <c r="AU11" s="181"/>
      <c r="AV11" s="182"/>
      <c r="AW11" s="179" t="s">
        <v>247</v>
      </c>
      <c r="AX11" s="142" t="s">
        <v>225</v>
      </c>
      <c r="AY11" s="333" t="s">
        <v>248</v>
      </c>
      <c r="AZ11" s="308" t="s">
        <v>249</v>
      </c>
      <c r="BA11" s="333" t="s">
        <v>250</v>
      </c>
      <c r="BB11" s="308" t="s">
        <v>229</v>
      </c>
      <c r="BC11" s="358" t="s">
        <v>230</v>
      </c>
      <c r="BD11" s="359" t="s">
        <v>251</v>
      </c>
      <c r="BE11" s="231" t="s">
        <v>249</v>
      </c>
      <c r="BF11" s="361" t="s">
        <v>252</v>
      </c>
      <c r="BG11" s="362" t="s">
        <v>229</v>
      </c>
      <c r="BH11" s="389" t="s">
        <v>233</v>
      </c>
      <c r="BI11" s="381" t="s">
        <v>253</v>
      </c>
      <c r="BJ11" s="179"/>
      <c r="BK11" s="181"/>
      <c r="BL11" s="181"/>
      <c r="BM11" s="182"/>
      <c r="BN11" s="182"/>
      <c r="BO11" s="179"/>
      <c r="BP11" s="181"/>
      <c r="BQ11" s="181"/>
      <c r="BR11" s="142" t="s">
        <v>254</v>
      </c>
      <c r="BS11" s="182"/>
      <c r="BT11" s="182"/>
      <c r="BU11" s="182"/>
      <c r="BV11" s="170" t="s">
        <v>236</v>
      </c>
      <c r="BW11" s="143" t="s">
        <v>237</v>
      </c>
      <c r="BX11" s="143" t="s">
        <v>255</v>
      </c>
      <c r="BY11" s="745" t="s">
        <v>701</v>
      </c>
      <c r="BZ11" s="404" t="s">
        <v>704</v>
      </c>
      <c r="CA11" s="404" t="s">
        <v>705</v>
      </c>
      <c r="CB11" s="404" t="s">
        <v>706</v>
      </c>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row>
    <row r="12" spans="1:106" ht="279" customHeight="1" x14ac:dyDescent="0.2">
      <c r="A12" s="463"/>
      <c r="B12" s="477"/>
      <c r="C12" s="477"/>
      <c r="D12" s="492"/>
      <c r="E12" s="497"/>
      <c r="F12" s="464"/>
      <c r="G12" s="477"/>
      <c r="H12" s="477"/>
      <c r="I12" s="477"/>
      <c r="J12" s="494"/>
      <c r="K12" s="489"/>
      <c r="L12" s="490"/>
      <c r="M12" s="477"/>
      <c r="N12" s="487"/>
      <c r="O12" s="489"/>
      <c r="P12" s="490"/>
      <c r="Q12" s="491"/>
      <c r="R12" s="188">
        <v>2</v>
      </c>
      <c r="S12" s="233" t="s">
        <v>256</v>
      </c>
      <c r="T12" s="184" t="str">
        <f t="shared" si="0"/>
        <v>Probabilidad</v>
      </c>
      <c r="U12" s="184" t="s">
        <v>211</v>
      </c>
      <c r="V12" s="184" t="s">
        <v>211</v>
      </c>
      <c r="W12" s="184" t="s">
        <v>211</v>
      </c>
      <c r="X12" s="184" t="s">
        <v>211</v>
      </c>
      <c r="Y12" s="228" t="s">
        <v>213</v>
      </c>
      <c r="Z12" s="228" t="s">
        <v>214</v>
      </c>
      <c r="AA12" s="174" t="str">
        <f t="shared" si="1"/>
        <v>40%</v>
      </c>
      <c r="AB12" s="229" t="s">
        <v>215</v>
      </c>
      <c r="AC12" s="228" t="s">
        <v>216</v>
      </c>
      <c r="AD12" s="228" t="s">
        <v>217</v>
      </c>
      <c r="AE12" s="180">
        <f>IFERROR(IF(AND(T11="Probabilidad",T12="Probabilidad"),(AG11-(+AG11*AA12)),IF(T12="Probabilidad",(L11-(+L11*AA12)),IF(T12="Impacto",AG11,""))),"")</f>
        <v>0.216</v>
      </c>
      <c r="AF12" s="176" t="str">
        <f t="shared" si="4"/>
        <v>Baja</v>
      </c>
      <c r="AG12" s="174">
        <f t="shared" si="2"/>
        <v>0.216</v>
      </c>
      <c r="AH12" s="176" t="str">
        <f t="shared" si="5"/>
        <v>Moderado</v>
      </c>
      <c r="AI12" s="174">
        <f>IFERROR(IF(AND(T11="Impacto",T12="Impacto"),(AI5-(+AI5*AA12)),IF(T12="Impacto",($P$11-(+$P$11*AA12)),IF(T12="Probabilidad",AI5,""))),"")</f>
        <v>0.6</v>
      </c>
      <c r="AJ12" s="177" t="str">
        <f t="shared" si="3"/>
        <v>Moderado</v>
      </c>
      <c r="AK12" s="477"/>
      <c r="AL12" s="215"/>
      <c r="AM12" s="356"/>
      <c r="AN12" s="352"/>
      <c r="AO12" s="219"/>
      <c r="AP12" s="215"/>
      <c r="AQ12" s="191"/>
      <c r="AR12" s="189"/>
      <c r="AS12" s="148"/>
      <c r="AT12" s="143"/>
      <c r="AU12" s="148"/>
      <c r="AV12" s="143"/>
      <c r="AW12" s="147"/>
      <c r="AX12" s="334" t="s">
        <v>225</v>
      </c>
      <c r="AY12" s="333" t="s">
        <v>257</v>
      </c>
      <c r="AZ12" s="308" t="s">
        <v>249</v>
      </c>
      <c r="BA12" s="308" t="s">
        <v>258</v>
      </c>
      <c r="BB12" s="308" t="s">
        <v>229</v>
      </c>
      <c r="BC12" s="360" t="s">
        <v>230</v>
      </c>
      <c r="BD12" s="363" t="s">
        <v>259</v>
      </c>
      <c r="BE12" s="188" t="s">
        <v>249</v>
      </c>
      <c r="BF12" s="191" t="s">
        <v>260</v>
      </c>
      <c r="BG12" s="362" t="s">
        <v>229</v>
      </c>
      <c r="BH12" s="373" t="s">
        <v>233</v>
      </c>
      <c r="BI12" s="373" t="s">
        <v>261</v>
      </c>
      <c r="BJ12" s="371"/>
      <c r="BK12" s="148"/>
      <c r="BL12" s="148"/>
      <c r="BM12" s="143"/>
      <c r="BN12" s="143"/>
      <c r="BO12" s="147"/>
      <c r="BP12" s="148"/>
      <c r="BQ12" s="148"/>
      <c r="BR12" s="170"/>
      <c r="BS12" s="143"/>
      <c r="BT12" s="143"/>
      <c r="BU12" s="143"/>
      <c r="BV12" s="170" t="s">
        <v>236</v>
      </c>
      <c r="BW12" s="143" t="s">
        <v>237</v>
      </c>
      <c r="BX12" s="143"/>
      <c r="BY12" s="745" t="s">
        <v>701</v>
      </c>
      <c r="BZ12" s="404" t="s">
        <v>703</v>
      </c>
      <c r="CA12" s="404" t="s">
        <v>702</v>
      </c>
      <c r="CB12" s="404" t="s">
        <v>262</v>
      </c>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row>
    <row r="13" spans="1:106" ht="16.5" customHeight="1" x14ac:dyDescent="0.2">
      <c r="A13" s="463"/>
      <c r="B13" s="477"/>
      <c r="C13" s="477"/>
      <c r="D13" s="492"/>
      <c r="E13" s="497"/>
      <c r="F13" s="464"/>
      <c r="G13" s="477"/>
      <c r="H13" s="477"/>
      <c r="I13" s="477"/>
      <c r="J13" s="494"/>
      <c r="K13" s="489"/>
      <c r="L13" s="490"/>
      <c r="M13" s="477"/>
      <c r="N13" s="487"/>
      <c r="O13" s="489"/>
      <c r="P13" s="490"/>
      <c r="Q13" s="491"/>
      <c r="R13" s="188">
        <v>3</v>
      </c>
      <c r="S13" s="217"/>
      <c r="T13" s="184" t="str">
        <f t="shared" si="0"/>
        <v/>
      </c>
      <c r="U13" s="184"/>
      <c r="V13" s="184"/>
      <c r="W13" s="184"/>
      <c r="X13" s="184"/>
      <c r="Y13" s="228"/>
      <c r="Z13" s="228"/>
      <c r="AA13" s="174" t="str">
        <f t="shared" si="1"/>
        <v/>
      </c>
      <c r="AB13" s="228"/>
      <c r="AC13" s="228"/>
      <c r="AD13" s="228"/>
      <c r="AE13" s="180" t="str">
        <f>IFERROR(IF(AND(T12="Probabilidad",T13="Probabilidad"),(AG12-(+AG12*AA13)),IF(AND(T12="Impacto",T13="Probabilidad"),(AG11-(+AG11*AA13)),IF(T13="Impacto",AG12,""))),"")</f>
        <v/>
      </c>
      <c r="AF13" s="176" t="str">
        <f t="shared" si="4"/>
        <v/>
      </c>
      <c r="AG13" s="174" t="str">
        <f t="shared" si="2"/>
        <v/>
      </c>
      <c r="AH13" s="176" t="str">
        <f t="shared" si="5"/>
        <v/>
      </c>
      <c r="AI13" s="174" t="str">
        <f>IFERROR(IF(AND(T12="Impacto",T13="Impacto"),(AI12-(+AI12*AA13)),IF(AND(T12="Probabilidad",T13="Impacto"),(AI11-(+AI11*AA13)),IF(T13="Probabilidad",AI12,""))),"")</f>
        <v/>
      </c>
      <c r="AJ13" s="177" t="str">
        <f t="shared" si="3"/>
        <v/>
      </c>
      <c r="AK13" s="477"/>
      <c r="AL13" s="189"/>
      <c r="AM13" s="188"/>
      <c r="AN13" s="191"/>
      <c r="AO13" s="191"/>
      <c r="AP13" s="189"/>
      <c r="AQ13" s="191"/>
      <c r="AR13" s="189"/>
      <c r="AS13" s="148"/>
      <c r="AT13" s="143"/>
      <c r="AU13" s="148"/>
      <c r="AV13" s="143"/>
      <c r="AW13" s="147"/>
      <c r="AX13" s="143"/>
      <c r="AY13" s="143"/>
      <c r="AZ13" s="147"/>
      <c r="BA13" s="148"/>
      <c r="BB13" s="148"/>
      <c r="BC13" s="189"/>
      <c r="BD13" s="189"/>
      <c r="BE13" s="188"/>
      <c r="BF13" s="191"/>
      <c r="BG13" s="191"/>
      <c r="BH13" s="143"/>
      <c r="BI13" s="143"/>
      <c r="BJ13" s="147"/>
      <c r="BK13" s="148"/>
      <c r="BL13" s="148"/>
      <c r="BM13" s="143"/>
      <c r="BN13" s="143"/>
      <c r="BO13" s="147"/>
      <c r="BP13" s="148"/>
      <c r="BQ13" s="148"/>
      <c r="BR13" s="170"/>
      <c r="BS13" s="143"/>
      <c r="BT13" s="143"/>
      <c r="BU13" s="143"/>
      <c r="BV13" s="148"/>
      <c r="BW13" s="143"/>
      <c r="BX13" s="143"/>
      <c r="BY13" s="746"/>
      <c r="BZ13" s="143"/>
      <c r="CA13" s="147"/>
      <c r="CB13" s="143"/>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row>
    <row r="14" spans="1:106" ht="16.5" customHeight="1" x14ac:dyDescent="0.2">
      <c r="A14" s="463"/>
      <c r="B14" s="477"/>
      <c r="C14" s="477"/>
      <c r="D14" s="492"/>
      <c r="E14" s="497"/>
      <c r="F14" s="464"/>
      <c r="G14" s="477"/>
      <c r="H14" s="477"/>
      <c r="I14" s="477"/>
      <c r="J14" s="494"/>
      <c r="K14" s="489"/>
      <c r="L14" s="490"/>
      <c r="M14" s="477"/>
      <c r="N14" s="487"/>
      <c r="O14" s="489"/>
      <c r="P14" s="490"/>
      <c r="Q14" s="491"/>
      <c r="R14" s="188">
        <v>4</v>
      </c>
      <c r="S14" s="217"/>
      <c r="T14" s="184" t="str">
        <f t="shared" si="0"/>
        <v/>
      </c>
      <c r="U14" s="184"/>
      <c r="V14" s="184"/>
      <c r="W14" s="184"/>
      <c r="X14" s="184"/>
      <c r="Y14" s="228"/>
      <c r="Z14" s="228"/>
      <c r="AA14" s="174" t="str">
        <f t="shared" si="1"/>
        <v/>
      </c>
      <c r="AB14" s="228"/>
      <c r="AC14" s="228"/>
      <c r="AD14" s="228"/>
      <c r="AE14" s="180" t="str">
        <f>IFERROR(IF(AND(T13="Probabilidad",T14="Probabilidad"),(AG13-(+AG13*AA14)),IF(AND(T13="Impacto",T14="Probabilidad"),(AG12-(+AG12*AA14)),IF(T14="Impacto",AG13,""))),"")</f>
        <v/>
      </c>
      <c r="AF14" s="176" t="str">
        <f t="shared" si="4"/>
        <v/>
      </c>
      <c r="AG14" s="174" t="str">
        <f t="shared" si="2"/>
        <v/>
      </c>
      <c r="AH14" s="176" t="str">
        <f t="shared" si="5"/>
        <v/>
      </c>
      <c r="AI14" s="174" t="str">
        <f>IFERROR(IF(AND(T13="Impacto",T14="Impacto"),(AI13-(+AI13*AA14)),IF(AND(T13="Probabilidad",T14="Impacto"),(AI12-(+AI12*AA14)),IF(T14="Probabilidad",AI13,""))),"")</f>
        <v/>
      </c>
      <c r="AJ14" s="177" t="str">
        <f t="shared" si="3"/>
        <v/>
      </c>
      <c r="AK14" s="477"/>
      <c r="AL14" s="189"/>
      <c r="AM14" s="188"/>
      <c r="AN14" s="191"/>
      <c r="AO14" s="191"/>
      <c r="AP14" s="189"/>
      <c r="AQ14" s="191"/>
      <c r="AR14" s="189"/>
      <c r="AS14" s="148"/>
      <c r="AT14" s="143"/>
      <c r="AU14" s="148"/>
      <c r="AV14" s="143"/>
      <c r="AW14" s="147"/>
      <c r="AX14" s="143"/>
      <c r="AY14" s="143"/>
      <c r="AZ14" s="147"/>
      <c r="BA14" s="148"/>
      <c r="BB14" s="148"/>
      <c r="BC14" s="189"/>
      <c r="BD14" s="189"/>
      <c r="BE14" s="188"/>
      <c r="BF14" s="191"/>
      <c r="BG14" s="191"/>
      <c r="BH14" s="143"/>
      <c r="BI14" s="143"/>
      <c r="BJ14" s="147"/>
      <c r="BK14" s="148"/>
      <c r="BL14" s="148"/>
      <c r="BM14" s="143"/>
      <c r="BN14" s="143"/>
      <c r="BO14" s="147"/>
      <c r="BP14" s="148"/>
      <c r="BQ14" s="148"/>
      <c r="BR14" s="170"/>
      <c r="BS14" s="143"/>
      <c r="BT14" s="143"/>
      <c r="BU14" s="143"/>
      <c r="BV14" s="148"/>
      <c r="BW14" s="143"/>
      <c r="BX14" s="143"/>
      <c r="BY14" s="746"/>
      <c r="BZ14" s="143"/>
      <c r="CA14" s="147"/>
      <c r="CB14" s="143"/>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row>
    <row r="15" spans="1:106" ht="16.5" customHeight="1" x14ac:dyDescent="0.2">
      <c r="A15" s="463"/>
      <c r="B15" s="477"/>
      <c r="C15" s="477"/>
      <c r="D15" s="492"/>
      <c r="E15" s="497"/>
      <c r="F15" s="464"/>
      <c r="G15" s="477"/>
      <c r="H15" s="477"/>
      <c r="I15" s="477"/>
      <c r="J15" s="494"/>
      <c r="K15" s="489"/>
      <c r="L15" s="490"/>
      <c r="M15" s="477"/>
      <c r="N15" s="487"/>
      <c r="O15" s="489"/>
      <c r="P15" s="490"/>
      <c r="Q15" s="491"/>
      <c r="R15" s="188">
        <v>5</v>
      </c>
      <c r="S15" s="217"/>
      <c r="T15" s="184" t="str">
        <f t="shared" si="0"/>
        <v/>
      </c>
      <c r="U15" s="184"/>
      <c r="V15" s="184"/>
      <c r="W15" s="184"/>
      <c r="X15" s="184"/>
      <c r="Y15" s="228"/>
      <c r="Z15" s="228"/>
      <c r="AA15" s="174" t="str">
        <f t="shared" si="1"/>
        <v/>
      </c>
      <c r="AB15" s="228"/>
      <c r="AC15" s="228"/>
      <c r="AD15" s="228"/>
      <c r="AE15" s="180" t="str">
        <f>IFERROR(IF(AND(T14="Probabilidad",T15="Probabilidad"),(AG14-(+AG14*AA15)),IF(AND(T14="Impacto",T15="Probabilidad"),(AG13-(+AG13*AA15)),IF(T15="Impacto",AG14,""))),"")</f>
        <v/>
      </c>
      <c r="AF15" s="176" t="str">
        <f t="shared" si="4"/>
        <v/>
      </c>
      <c r="AG15" s="174" t="str">
        <f t="shared" si="2"/>
        <v/>
      </c>
      <c r="AH15" s="176" t="str">
        <f t="shared" si="5"/>
        <v/>
      </c>
      <c r="AI15" s="174" t="str">
        <f>IFERROR(IF(AND(T14="Impacto",T15="Impacto"),(AI14-(+AI14*AA15)),IF(AND(T14="Probabilidad",T15="Impacto"),(AI13-(+AI13*AA15)),IF(T15="Probabilidad",AI14,""))),"")</f>
        <v/>
      </c>
      <c r="AJ15" s="177" t="str">
        <f t="shared" si="3"/>
        <v/>
      </c>
      <c r="AK15" s="477"/>
      <c r="AL15" s="189"/>
      <c r="AM15" s="188"/>
      <c r="AN15" s="191"/>
      <c r="AO15" s="191"/>
      <c r="AP15" s="189"/>
      <c r="AQ15" s="191"/>
      <c r="AR15" s="189"/>
      <c r="AS15" s="148"/>
      <c r="AT15" s="143"/>
      <c r="AU15" s="148"/>
      <c r="AV15" s="143"/>
      <c r="AW15" s="147"/>
      <c r="AX15" s="143"/>
      <c r="AY15" s="143"/>
      <c r="AZ15" s="147"/>
      <c r="BA15" s="148"/>
      <c r="BB15" s="148"/>
      <c r="BC15" s="189"/>
      <c r="BD15" s="189"/>
      <c r="BE15" s="188"/>
      <c r="BF15" s="191"/>
      <c r="BG15" s="191"/>
      <c r="BH15" s="143"/>
      <c r="BI15" s="143"/>
      <c r="BJ15" s="147"/>
      <c r="BK15" s="148"/>
      <c r="BL15" s="148"/>
      <c r="BM15" s="143"/>
      <c r="BN15" s="143"/>
      <c r="BO15" s="147"/>
      <c r="BP15" s="148"/>
      <c r="BQ15" s="148"/>
      <c r="BR15" s="170"/>
      <c r="BS15" s="143"/>
      <c r="BT15" s="143"/>
      <c r="BU15" s="143"/>
      <c r="BV15" s="148"/>
      <c r="BW15" s="143"/>
      <c r="BX15" s="143"/>
      <c r="BY15" s="746"/>
      <c r="BZ15" s="143"/>
      <c r="CA15" s="147"/>
      <c r="CB15" s="143"/>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row>
    <row r="16" spans="1:106" ht="100.5" customHeight="1" x14ac:dyDescent="0.2">
      <c r="A16" s="463"/>
      <c r="B16" s="478"/>
      <c r="C16" s="478"/>
      <c r="D16" s="492"/>
      <c r="E16" s="498"/>
      <c r="F16" s="464"/>
      <c r="G16" s="478"/>
      <c r="H16" s="478"/>
      <c r="I16" s="478"/>
      <c r="J16" s="494"/>
      <c r="K16" s="489"/>
      <c r="L16" s="490"/>
      <c r="M16" s="478"/>
      <c r="N16" s="488"/>
      <c r="O16" s="489"/>
      <c r="P16" s="490"/>
      <c r="Q16" s="491"/>
      <c r="R16" s="188">
        <v>6</v>
      </c>
      <c r="S16" s="217"/>
      <c r="T16" s="184" t="str">
        <f t="shared" si="0"/>
        <v/>
      </c>
      <c r="U16" s="184"/>
      <c r="V16" s="184"/>
      <c r="W16" s="184"/>
      <c r="X16" s="184"/>
      <c r="Y16" s="228"/>
      <c r="Z16" s="228"/>
      <c r="AA16" s="174" t="str">
        <f t="shared" si="1"/>
        <v/>
      </c>
      <c r="AB16" s="228"/>
      <c r="AC16" s="228"/>
      <c r="AD16" s="228"/>
      <c r="AE16" s="180" t="str">
        <f>IFERROR(IF(AND(T15="Probabilidad",T16="Probabilidad"),(AG15-(+AG15*AA16)),IF(AND(T15="Impacto",T16="Probabilidad"),(AG14-(+AG14*AA16)),IF(T16="Impacto",AG15,""))),"")</f>
        <v/>
      </c>
      <c r="AF16" s="176" t="str">
        <f t="shared" si="4"/>
        <v/>
      </c>
      <c r="AG16" s="174" t="str">
        <f t="shared" si="2"/>
        <v/>
      </c>
      <c r="AH16" s="176" t="str">
        <f t="shared" si="5"/>
        <v/>
      </c>
      <c r="AI16" s="174" t="str">
        <f>IFERROR(IF(AND(T15="Impacto",T16="Impacto"),(AI15-(+AI15*AA16)),IF(AND(T15="Probabilidad",T16="Impacto"),(AI14-(+AI14*AA16)),IF(T16="Probabilidad",AI15,""))),"")</f>
        <v/>
      </c>
      <c r="AJ16" s="177" t="str">
        <f t="shared" si="3"/>
        <v/>
      </c>
      <c r="AK16" s="478"/>
      <c r="AL16" s="189"/>
      <c r="AM16" s="188"/>
      <c r="AN16" s="191"/>
      <c r="AO16" s="191"/>
      <c r="AP16" s="189"/>
      <c r="AQ16" s="191"/>
      <c r="AR16" s="189"/>
      <c r="AS16" s="148"/>
      <c r="AT16" s="143"/>
      <c r="AU16" s="148"/>
      <c r="AV16" s="143"/>
      <c r="AW16" s="147"/>
      <c r="AX16" s="143"/>
      <c r="AY16" s="143"/>
      <c r="AZ16" s="147"/>
      <c r="BA16" s="148"/>
      <c r="BB16" s="148"/>
      <c r="BC16" s="189"/>
      <c r="BD16" s="189"/>
      <c r="BE16" s="188"/>
      <c r="BF16" s="191"/>
      <c r="BG16" s="191"/>
      <c r="BH16" s="143"/>
      <c r="BI16" s="143"/>
      <c r="BJ16" s="147"/>
      <c r="BK16" s="148"/>
      <c r="BL16" s="148"/>
      <c r="BM16" s="143"/>
      <c r="BN16" s="143"/>
      <c r="BO16" s="147"/>
      <c r="BP16" s="148"/>
      <c r="BQ16" s="148"/>
      <c r="BR16" s="170"/>
      <c r="BS16" s="143"/>
      <c r="BT16" s="143"/>
      <c r="BU16" s="143"/>
      <c r="BV16" s="148"/>
      <c r="BW16" s="143"/>
      <c r="BX16" s="143"/>
      <c r="BY16" s="746"/>
      <c r="BZ16" s="143"/>
      <c r="CA16" s="147"/>
      <c r="CB16" s="143"/>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row>
    <row r="17" spans="1:106" ht="27" customHeight="1" x14ac:dyDescent="0.2">
      <c r="A17" s="463">
        <v>3</v>
      </c>
      <c r="B17" s="464"/>
      <c r="C17" s="464"/>
      <c r="D17" s="464"/>
      <c r="E17" s="492"/>
      <c r="F17" s="464"/>
      <c r="G17" s="464"/>
      <c r="H17" s="464"/>
      <c r="I17" s="464"/>
      <c r="J17" s="463"/>
      <c r="K17" s="489" t="str">
        <f>IF(J17&lt;=0,"",IF(J17&lt;=2,"Muy Baja",IF(J17&lt;=24,"Baja",IF(J17&lt;=500,"Media",IF(J17&lt;=5000,"Alta","Muy Alta")))))</f>
        <v/>
      </c>
      <c r="L17" s="490" t="str">
        <f>IF(K17="","",IF(K17="Muy Baja",0.2,IF(K17="Baja",0.4,IF(K17="Media",0.6,IF(K17="Alta",0.8,IF(K17="Muy Alta",1,))))))</f>
        <v/>
      </c>
      <c r="M17" s="485"/>
      <c r="N17" s="486">
        <f>IF(NOT(ISERROR(MATCH(M17,'Tabla Impacto'!$B$221:$B$223,0))),'Tabla Impacto'!$F$223&amp;"Por favor no seleccionar los criterios de impacto(Afectación Económica o presupuestal y Pérdida Reputacional)",M17)</f>
        <v>0</v>
      </c>
      <c r="O17" s="489" t="str">
        <f>IF(OR(N17='Tabla Impacto'!$C$11,N17='Tabla Impacto'!$D$11),"Leve",IF(OR(N17='Tabla Impacto'!$C$12,N17='Tabla Impacto'!$D$12),"Menor",IF(OR(N17='Tabla Impacto'!$C$13,N17='Tabla Impacto'!$D$13),"Moderado",IF(OR(N17='Tabla Impacto'!$C$14,N17='Tabla Impacto'!$D$14),"Mayor",IF(OR(N17='Tabla Impacto'!$C$15,N17='Tabla Impacto'!$D$15),"Catastrófico","")))))</f>
        <v/>
      </c>
      <c r="P17" s="490" t="str">
        <f>IF(O17="","",IF(O17="Leve",0.2,IF(O17="Menor",0.4,IF(O17="Moderado",0.6,IF(O17="Mayor",0.8,IF(O17="Catastrófico",1,))))))</f>
        <v/>
      </c>
      <c r="Q17" s="491"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8">
        <v>1</v>
      </c>
      <c r="S17" s="217"/>
      <c r="T17" s="184" t="str">
        <f t="shared" si="0"/>
        <v/>
      </c>
      <c r="U17" s="184"/>
      <c r="V17" s="184"/>
      <c r="W17" s="184"/>
      <c r="X17" s="184"/>
      <c r="Y17" s="228"/>
      <c r="Z17" s="228"/>
      <c r="AA17" s="174" t="str">
        <f t="shared" si="1"/>
        <v/>
      </c>
      <c r="AB17" s="228"/>
      <c r="AC17" s="228"/>
      <c r="AD17" s="228"/>
      <c r="AE17" s="180" t="str">
        <f>IFERROR(IF(T17="Probabilidad",(L17-(+L17*AA17)),IF(T17="Impacto",L17,"")),"")</f>
        <v/>
      </c>
      <c r="AF17" s="176" t="str">
        <f>IFERROR(IF(AE17="","",IF(AE17&lt;=0.2,"Muy Baja",IF(AE17&lt;=0.4,"Baja",IF(AE17&lt;=0.6,"Media",IF(AE17&lt;=0.8,"Alta","Muy Alta"))))),"")</f>
        <v/>
      </c>
      <c r="AG17" s="174" t="str">
        <f t="shared" si="2"/>
        <v/>
      </c>
      <c r="AH17" s="176" t="str">
        <f>IFERROR(IF(AI17="","",IF(AI17&lt;=0.2,"Leve",IF(AI17&lt;=0.4,"Menor",IF(AI17&lt;=0.6,"Moderado",IF(AI17&lt;=0.8,"Mayor","Catastrófico"))))),"")</f>
        <v/>
      </c>
      <c r="AI17" s="174" t="str">
        <f>IFERROR(IF(T17="Impacto",(P17-(+P17*AA17)),IF(T17="Probabilidad",P17,"")),"")</f>
        <v/>
      </c>
      <c r="AJ17" s="177" t="str">
        <f t="shared" si="3"/>
        <v/>
      </c>
      <c r="AK17" s="479"/>
      <c r="AL17" s="189"/>
      <c r="AM17" s="189"/>
      <c r="AN17" s="360"/>
      <c r="AO17" s="360"/>
      <c r="AP17" s="189"/>
      <c r="AQ17" s="360"/>
      <c r="AR17" s="189"/>
      <c r="AS17" s="170"/>
      <c r="AT17" s="143"/>
      <c r="AU17" s="170"/>
      <c r="AV17" s="143"/>
      <c r="AW17" s="143"/>
      <c r="AX17" s="143"/>
      <c r="AY17" s="143"/>
      <c r="AZ17" s="143"/>
      <c r="BA17" s="170"/>
      <c r="BB17" s="170"/>
      <c r="BC17" s="189"/>
      <c r="BD17" s="189"/>
      <c r="BE17" s="189"/>
      <c r="BF17" s="360"/>
      <c r="BG17" s="360"/>
      <c r="BH17" s="143"/>
      <c r="BI17" s="143"/>
      <c r="BJ17" s="143"/>
      <c r="BK17" s="170"/>
      <c r="BL17" s="170"/>
      <c r="BM17" s="143"/>
      <c r="BN17" s="143"/>
      <c r="BO17" s="143"/>
      <c r="BP17" s="170"/>
      <c r="BQ17" s="170"/>
      <c r="BR17" s="170"/>
      <c r="BS17" s="143"/>
      <c r="BT17" s="143"/>
      <c r="BU17" s="143"/>
      <c r="BV17" s="170"/>
      <c r="BW17" s="143"/>
      <c r="BX17" s="143"/>
      <c r="BY17" s="745"/>
      <c r="BZ17" s="143"/>
      <c r="CA17" s="143"/>
      <c r="CB17" s="143"/>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row>
    <row r="18" spans="1:106" ht="16.5" customHeight="1" x14ac:dyDescent="0.2">
      <c r="A18" s="463"/>
      <c r="B18" s="464"/>
      <c r="C18" s="464"/>
      <c r="D18" s="464"/>
      <c r="E18" s="492"/>
      <c r="F18" s="464"/>
      <c r="G18" s="464"/>
      <c r="H18" s="464"/>
      <c r="I18" s="464"/>
      <c r="J18" s="463"/>
      <c r="K18" s="489"/>
      <c r="L18" s="490"/>
      <c r="M18" s="485"/>
      <c r="N18" s="487"/>
      <c r="O18" s="489"/>
      <c r="P18" s="490"/>
      <c r="Q18" s="491"/>
      <c r="R18" s="188">
        <v>2</v>
      </c>
      <c r="S18" s="217"/>
      <c r="T18" s="184" t="str">
        <f t="shared" si="0"/>
        <v/>
      </c>
      <c r="U18" s="184"/>
      <c r="V18" s="184"/>
      <c r="W18" s="184"/>
      <c r="X18" s="184"/>
      <c r="Y18" s="228"/>
      <c r="Z18" s="228"/>
      <c r="AA18" s="174" t="str">
        <f t="shared" si="1"/>
        <v/>
      </c>
      <c r="AB18" s="228"/>
      <c r="AC18" s="228"/>
      <c r="AD18" s="228"/>
      <c r="AE18" s="175" t="str">
        <f>IFERROR(IF(AND(T17="Probabilidad",T18="Probabilidad"),(AG17-(+AG17*AA18)),IF(T18="Probabilidad",(L17-(+L17*AA18)),IF(T18="Impacto",AG17,""))),"")</f>
        <v/>
      </c>
      <c r="AF18" s="176" t="str">
        <f t="shared" si="4"/>
        <v/>
      </c>
      <c r="AG18" s="174" t="str">
        <f t="shared" si="2"/>
        <v/>
      </c>
      <c r="AH18" s="176" t="str">
        <f t="shared" si="5"/>
        <v/>
      </c>
      <c r="AI18" s="174" t="str">
        <f>IFERROR(IF(AND(T17="Impacto",T18="Impacto"),(AI11-(+AI11*AA18)),IF(T18="Impacto",($P$17-(+$P$17*AA18)),IF(T18="Probabilidad",AI11,""))),"")</f>
        <v/>
      </c>
      <c r="AJ18" s="177" t="str">
        <f t="shared" si="3"/>
        <v/>
      </c>
      <c r="AK18" s="480"/>
      <c r="AL18" s="189"/>
      <c r="AM18" s="189"/>
      <c r="AN18" s="360"/>
      <c r="AO18" s="360"/>
      <c r="AP18" s="189"/>
      <c r="AQ18" s="360"/>
      <c r="AR18" s="189"/>
      <c r="AS18" s="170"/>
      <c r="AT18" s="143"/>
      <c r="AU18" s="170"/>
      <c r="AV18" s="143"/>
      <c r="AW18" s="143"/>
      <c r="AX18" s="143"/>
      <c r="AY18" s="143"/>
      <c r="AZ18" s="143"/>
      <c r="BA18" s="170"/>
      <c r="BB18" s="170"/>
      <c r="BC18" s="189"/>
      <c r="BD18" s="189"/>
      <c r="BE18" s="189"/>
      <c r="BF18" s="360"/>
      <c r="BG18" s="360"/>
      <c r="BH18" s="143"/>
      <c r="BI18" s="143"/>
      <c r="BJ18" s="143"/>
      <c r="BK18" s="170"/>
      <c r="BL18" s="170"/>
      <c r="BM18" s="143"/>
      <c r="BN18" s="143"/>
      <c r="BO18" s="143"/>
      <c r="BP18" s="170"/>
      <c r="BQ18" s="170"/>
      <c r="BR18" s="170"/>
      <c r="BS18" s="143"/>
      <c r="BT18" s="143"/>
      <c r="BU18" s="143"/>
      <c r="BV18" s="170"/>
      <c r="BW18" s="143"/>
      <c r="BX18" s="143"/>
      <c r="BY18" s="745"/>
      <c r="BZ18" s="143"/>
      <c r="CA18" s="143"/>
      <c r="CB18" s="143"/>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row>
    <row r="19" spans="1:106" ht="16.5" customHeight="1" x14ac:dyDescent="0.2">
      <c r="A19" s="463"/>
      <c r="B19" s="464"/>
      <c r="C19" s="464"/>
      <c r="D19" s="464"/>
      <c r="E19" s="492"/>
      <c r="F19" s="464"/>
      <c r="G19" s="464"/>
      <c r="H19" s="464"/>
      <c r="I19" s="464"/>
      <c r="J19" s="463"/>
      <c r="K19" s="489"/>
      <c r="L19" s="490"/>
      <c r="M19" s="485"/>
      <c r="N19" s="487"/>
      <c r="O19" s="489"/>
      <c r="P19" s="490"/>
      <c r="Q19" s="491"/>
      <c r="R19" s="188">
        <v>3</v>
      </c>
      <c r="S19" s="217"/>
      <c r="T19" s="184" t="str">
        <f t="shared" si="0"/>
        <v/>
      </c>
      <c r="U19" s="184"/>
      <c r="V19" s="184"/>
      <c r="W19" s="184"/>
      <c r="X19" s="184"/>
      <c r="Y19" s="228"/>
      <c r="Z19" s="228"/>
      <c r="AA19" s="174" t="str">
        <f t="shared" si="1"/>
        <v/>
      </c>
      <c r="AB19" s="228"/>
      <c r="AC19" s="228"/>
      <c r="AD19" s="228"/>
      <c r="AE19" s="180" t="str">
        <f>IFERROR(IF(AND(T18="Probabilidad",T19="Probabilidad"),(AG18-(+AG18*AA19)),IF(AND(T18="Impacto",T19="Probabilidad"),(AG17-(+AG17*AA19)),IF(T19="Impacto",AG18,""))),"")</f>
        <v/>
      </c>
      <c r="AF19" s="176" t="str">
        <f t="shared" si="4"/>
        <v/>
      </c>
      <c r="AG19" s="174" t="str">
        <f t="shared" si="2"/>
        <v/>
      </c>
      <c r="AH19" s="176" t="str">
        <f t="shared" si="5"/>
        <v/>
      </c>
      <c r="AI19" s="174" t="str">
        <f>IFERROR(IF(AND(T18="Impacto",T19="Impacto"),(AI18-(+AI18*AA19)),IF(AND(T18="Probabilidad",T19="Impacto"),(AI17-(+AI17*AA19)),IF(T19="Probabilidad",AI18,""))),"")</f>
        <v/>
      </c>
      <c r="AJ19" s="177" t="str">
        <f t="shared" si="3"/>
        <v/>
      </c>
      <c r="AK19" s="480"/>
      <c r="AL19" s="189"/>
      <c r="AM19" s="189"/>
      <c r="AN19" s="360"/>
      <c r="AO19" s="360"/>
      <c r="AP19" s="189"/>
      <c r="AQ19" s="360"/>
      <c r="AR19" s="189"/>
      <c r="AS19" s="170"/>
      <c r="AT19" s="143"/>
      <c r="AU19" s="170"/>
      <c r="AV19" s="143"/>
      <c r="AW19" s="143"/>
      <c r="AX19" s="143"/>
      <c r="AY19" s="143"/>
      <c r="AZ19" s="143"/>
      <c r="BA19" s="170"/>
      <c r="BB19" s="170"/>
      <c r="BC19" s="189"/>
      <c r="BD19" s="189"/>
      <c r="BE19" s="189"/>
      <c r="BF19" s="360"/>
      <c r="BG19" s="360"/>
      <c r="BH19" s="143"/>
      <c r="BI19" s="143"/>
      <c r="BJ19" s="143"/>
      <c r="BK19" s="170"/>
      <c r="BL19" s="170"/>
      <c r="BM19" s="143"/>
      <c r="BN19" s="143"/>
      <c r="BO19" s="143"/>
      <c r="BP19" s="170"/>
      <c r="BQ19" s="170"/>
      <c r="BR19" s="170"/>
      <c r="BS19" s="143"/>
      <c r="BT19" s="143"/>
      <c r="BU19" s="143"/>
      <c r="BV19" s="170"/>
      <c r="BW19" s="143"/>
      <c r="BX19" s="143"/>
      <c r="BY19" s="745"/>
      <c r="BZ19" s="143"/>
      <c r="CA19" s="143"/>
      <c r="CB19" s="143"/>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row>
    <row r="20" spans="1:106" ht="16.5" customHeight="1" x14ac:dyDescent="0.2">
      <c r="A20" s="463"/>
      <c r="B20" s="464"/>
      <c r="C20" s="464"/>
      <c r="D20" s="464"/>
      <c r="E20" s="492"/>
      <c r="F20" s="464"/>
      <c r="G20" s="464"/>
      <c r="H20" s="464"/>
      <c r="I20" s="464"/>
      <c r="J20" s="463"/>
      <c r="K20" s="489"/>
      <c r="L20" s="490"/>
      <c r="M20" s="485"/>
      <c r="N20" s="487"/>
      <c r="O20" s="489"/>
      <c r="P20" s="490"/>
      <c r="Q20" s="491"/>
      <c r="R20" s="188">
        <v>4</v>
      </c>
      <c r="S20" s="217"/>
      <c r="T20" s="184" t="str">
        <f t="shared" si="0"/>
        <v/>
      </c>
      <c r="U20" s="184"/>
      <c r="V20" s="184"/>
      <c r="W20" s="184"/>
      <c r="X20" s="184"/>
      <c r="Y20" s="228"/>
      <c r="Z20" s="228"/>
      <c r="AA20" s="174" t="str">
        <f t="shared" si="1"/>
        <v/>
      </c>
      <c r="AB20" s="228"/>
      <c r="AC20" s="228"/>
      <c r="AD20" s="228"/>
      <c r="AE20" s="180" t="str">
        <f>IFERROR(IF(AND(T19="Probabilidad",T20="Probabilidad"),(AG19-(+AG19*AA20)),IF(AND(T19="Impacto",T20="Probabilidad"),(AG18-(+AG18*AA20)),IF(T20="Impacto",AG19,""))),"")</f>
        <v/>
      </c>
      <c r="AF20" s="176" t="str">
        <f t="shared" si="4"/>
        <v/>
      </c>
      <c r="AG20" s="174" t="str">
        <f t="shared" si="2"/>
        <v/>
      </c>
      <c r="AH20" s="176" t="str">
        <f t="shared" si="5"/>
        <v/>
      </c>
      <c r="AI20" s="174" t="str">
        <f>IFERROR(IF(AND(T19="Impacto",T20="Impacto"),(AI19-(+AI19*AA20)),IF(AND(T19="Probabilidad",T20="Impacto"),(AI18-(+AI18*AA20)),IF(T20="Probabilidad",AI19,""))),"")</f>
        <v/>
      </c>
      <c r="AJ20" s="177" t="str">
        <f t="shared" si="3"/>
        <v/>
      </c>
      <c r="AK20" s="480"/>
      <c r="AL20" s="189"/>
      <c r="AM20" s="189"/>
      <c r="AN20" s="360"/>
      <c r="AO20" s="360"/>
      <c r="AP20" s="189"/>
      <c r="AQ20" s="360"/>
      <c r="AR20" s="189"/>
      <c r="AS20" s="170"/>
      <c r="AT20" s="143"/>
      <c r="AU20" s="170"/>
      <c r="AV20" s="143"/>
      <c r="AW20" s="143"/>
      <c r="AX20" s="143"/>
      <c r="AY20" s="143"/>
      <c r="AZ20" s="143"/>
      <c r="BA20" s="170"/>
      <c r="BB20" s="170"/>
      <c r="BC20" s="189"/>
      <c r="BD20" s="189"/>
      <c r="BE20" s="189"/>
      <c r="BF20" s="360"/>
      <c r="BG20" s="360"/>
      <c r="BH20" s="143"/>
      <c r="BI20" s="143"/>
      <c r="BJ20" s="143"/>
      <c r="BK20" s="170"/>
      <c r="BL20" s="170"/>
      <c r="BM20" s="143"/>
      <c r="BN20" s="143"/>
      <c r="BO20" s="143"/>
      <c r="BP20" s="170"/>
      <c r="BQ20" s="170"/>
      <c r="BR20" s="170"/>
      <c r="BS20" s="143"/>
      <c r="BT20" s="143"/>
      <c r="BU20" s="143"/>
      <c r="BV20" s="170"/>
      <c r="BW20" s="143"/>
      <c r="BX20" s="143"/>
      <c r="BY20" s="745"/>
      <c r="BZ20" s="143"/>
      <c r="CA20" s="143"/>
      <c r="CB20" s="143"/>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row>
    <row r="21" spans="1:106" ht="16.5" customHeight="1" x14ac:dyDescent="0.2">
      <c r="A21" s="463"/>
      <c r="B21" s="464"/>
      <c r="C21" s="464"/>
      <c r="D21" s="464"/>
      <c r="E21" s="492"/>
      <c r="F21" s="464"/>
      <c r="G21" s="464"/>
      <c r="H21" s="464"/>
      <c r="I21" s="464"/>
      <c r="J21" s="463"/>
      <c r="K21" s="489"/>
      <c r="L21" s="490"/>
      <c r="M21" s="485"/>
      <c r="N21" s="487"/>
      <c r="O21" s="489"/>
      <c r="P21" s="490"/>
      <c r="Q21" s="491"/>
      <c r="R21" s="188">
        <v>5</v>
      </c>
      <c r="S21" s="217"/>
      <c r="T21" s="184" t="str">
        <f t="shared" si="0"/>
        <v/>
      </c>
      <c r="U21" s="184"/>
      <c r="V21" s="184"/>
      <c r="W21" s="184"/>
      <c r="X21" s="184"/>
      <c r="Y21" s="228"/>
      <c r="Z21" s="228"/>
      <c r="AA21" s="174" t="str">
        <f t="shared" si="1"/>
        <v/>
      </c>
      <c r="AB21" s="228"/>
      <c r="AC21" s="228"/>
      <c r="AD21" s="228"/>
      <c r="AE21" s="180" t="str">
        <f>IFERROR(IF(AND(T20="Probabilidad",T21="Probabilidad"),(AG20-(+AG20*AA21)),IF(AND(T20="Impacto",T21="Probabilidad"),(AG19-(+AG19*AA21)),IF(T21="Impacto",AG20,""))),"")</f>
        <v/>
      </c>
      <c r="AF21" s="176" t="str">
        <f t="shared" si="4"/>
        <v/>
      </c>
      <c r="AG21" s="174" t="str">
        <f t="shared" si="2"/>
        <v/>
      </c>
      <c r="AH21" s="176" t="str">
        <f t="shared" si="5"/>
        <v/>
      </c>
      <c r="AI21" s="174" t="str">
        <f>IFERROR(IF(AND(T20="Impacto",T21="Impacto"),(AI20-(+AI20*AA21)),IF(AND(T20="Probabilidad",T21="Impacto"),(AI19-(+AI19*AA21)),IF(T21="Probabilidad",AI20,""))),"")</f>
        <v/>
      </c>
      <c r="AJ21" s="177" t="str">
        <f t="shared" si="3"/>
        <v/>
      </c>
      <c r="AK21" s="480"/>
      <c r="AL21" s="189"/>
      <c r="AM21" s="189"/>
      <c r="AN21" s="360"/>
      <c r="AO21" s="360"/>
      <c r="AP21" s="189"/>
      <c r="AQ21" s="360"/>
      <c r="AR21" s="189"/>
      <c r="AS21" s="170"/>
      <c r="AT21" s="143"/>
      <c r="AU21" s="170"/>
      <c r="AV21" s="143"/>
      <c r="AW21" s="143"/>
      <c r="AX21" s="143"/>
      <c r="AY21" s="143"/>
      <c r="AZ21" s="143"/>
      <c r="BA21" s="170"/>
      <c r="BB21" s="170"/>
      <c r="BC21" s="189"/>
      <c r="BD21" s="189"/>
      <c r="BE21" s="189"/>
      <c r="BF21" s="360"/>
      <c r="BG21" s="360"/>
      <c r="BH21" s="143"/>
      <c r="BI21" s="143"/>
      <c r="BJ21" s="143"/>
      <c r="BK21" s="170"/>
      <c r="BL21" s="170"/>
      <c r="BM21" s="143"/>
      <c r="BN21" s="143"/>
      <c r="BO21" s="143"/>
      <c r="BP21" s="170"/>
      <c r="BQ21" s="170"/>
      <c r="BR21" s="170"/>
      <c r="BS21" s="143"/>
      <c r="BT21" s="143"/>
      <c r="BU21" s="143"/>
      <c r="BV21" s="170"/>
      <c r="BW21" s="143"/>
      <c r="BX21" s="143"/>
      <c r="BY21" s="745"/>
      <c r="BZ21" s="143"/>
      <c r="CA21" s="143"/>
      <c r="CB21" s="143"/>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row>
    <row r="22" spans="1:106" ht="16.5" customHeight="1" x14ac:dyDescent="0.2">
      <c r="A22" s="463"/>
      <c r="B22" s="464"/>
      <c r="C22" s="464"/>
      <c r="D22" s="464"/>
      <c r="E22" s="492"/>
      <c r="F22" s="464"/>
      <c r="G22" s="464"/>
      <c r="H22" s="464"/>
      <c r="I22" s="464"/>
      <c r="J22" s="463"/>
      <c r="K22" s="489"/>
      <c r="L22" s="490"/>
      <c r="M22" s="485"/>
      <c r="N22" s="488"/>
      <c r="O22" s="489"/>
      <c r="P22" s="490"/>
      <c r="Q22" s="491"/>
      <c r="R22" s="188">
        <v>6</v>
      </c>
      <c r="S22" s="217"/>
      <c r="T22" s="184" t="str">
        <f t="shared" si="0"/>
        <v/>
      </c>
      <c r="U22" s="184"/>
      <c r="V22" s="184"/>
      <c r="W22" s="184"/>
      <c r="X22" s="184"/>
      <c r="Y22" s="228"/>
      <c r="Z22" s="228"/>
      <c r="AA22" s="174" t="str">
        <f t="shared" si="1"/>
        <v/>
      </c>
      <c r="AB22" s="228"/>
      <c r="AC22" s="228"/>
      <c r="AD22" s="228"/>
      <c r="AE22" s="180" t="str">
        <f>IFERROR(IF(AND(T21="Probabilidad",T22="Probabilidad"),(AG21-(+AG21*AA22)),IF(AND(T21="Impacto",T22="Probabilidad"),(AG20-(+AG20*AA22)),IF(T22="Impacto",AG21,""))),"")</f>
        <v/>
      </c>
      <c r="AF22" s="176" t="str">
        <f t="shared" si="4"/>
        <v/>
      </c>
      <c r="AG22" s="174" t="str">
        <f t="shared" si="2"/>
        <v/>
      </c>
      <c r="AH22" s="176" t="str">
        <f t="shared" si="5"/>
        <v/>
      </c>
      <c r="AI22" s="174" t="str">
        <f>IFERROR(IF(AND(T21="Impacto",T22="Impacto"),(AI21-(+AI21*AA22)),IF(AND(T21="Probabilidad",T22="Impacto"),(AI20-(+AI20*AA22)),IF(T22="Probabilidad",AI21,""))),"")</f>
        <v/>
      </c>
      <c r="AJ22" s="177" t="str">
        <f t="shared" si="3"/>
        <v/>
      </c>
      <c r="AK22" s="481"/>
      <c r="AL22" s="189"/>
      <c r="AM22" s="189"/>
      <c r="AN22" s="360"/>
      <c r="AO22" s="360"/>
      <c r="AP22" s="189"/>
      <c r="AQ22" s="360"/>
      <c r="AR22" s="189"/>
      <c r="AS22" s="170"/>
      <c r="AT22" s="143"/>
      <c r="AU22" s="170"/>
      <c r="AV22" s="143"/>
      <c r="AW22" s="143"/>
      <c r="AX22" s="143"/>
      <c r="AY22" s="143"/>
      <c r="AZ22" s="143"/>
      <c r="BA22" s="170"/>
      <c r="BB22" s="170"/>
      <c r="BC22" s="189"/>
      <c r="BD22" s="189"/>
      <c r="BE22" s="189"/>
      <c r="BF22" s="360"/>
      <c r="BG22" s="360"/>
      <c r="BH22" s="143"/>
      <c r="BI22" s="143"/>
      <c r="BJ22" s="143"/>
      <c r="BK22" s="170"/>
      <c r="BL22" s="170"/>
      <c r="BM22" s="143"/>
      <c r="BN22" s="143"/>
      <c r="BO22" s="143"/>
      <c r="BP22" s="170"/>
      <c r="BQ22" s="170"/>
      <c r="BR22" s="170"/>
      <c r="BS22" s="143"/>
      <c r="BT22" s="143"/>
      <c r="BU22" s="143"/>
      <c r="BV22" s="170"/>
      <c r="BW22" s="143"/>
      <c r="BX22" s="143"/>
      <c r="BY22" s="745"/>
      <c r="BZ22" s="143"/>
      <c r="CA22" s="143"/>
      <c r="CB22" s="143"/>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row>
    <row r="23" spans="1:106" ht="16.5" customHeight="1" x14ac:dyDescent="0.2">
      <c r="A23" s="463">
        <v>4</v>
      </c>
      <c r="B23" s="464"/>
      <c r="C23" s="464"/>
      <c r="D23" s="464"/>
      <c r="E23" s="492"/>
      <c r="F23" s="464"/>
      <c r="G23" s="464"/>
      <c r="H23" s="464"/>
      <c r="I23" s="464"/>
      <c r="J23" s="463"/>
      <c r="K23" s="489" t="str">
        <f>IF(J23&lt;=0,"",IF(J23&lt;=2,"Muy Baja",IF(J23&lt;=24,"Baja",IF(J23&lt;=500,"Media",IF(J23&lt;=5000,"Alta","Muy Alta")))))</f>
        <v/>
      </c>
      <c r="L23" s="490" t="str">
        <f>IF(K23="","",IF(K23="Muy Baja",0.2,IF(K23="Baja",0.4,IF(K23="Media",0.6,IF(K23="Alta",0.8,IF(K23="Muy Alta",1,))))))</f>
        <v/>
      </c>
      <c r="M23" s="485"/>
      <c r="N23" s="486">
        <f>IF(NOT(ISERROR(MATCH(M23,'Tabla Impacto'!$B$221:$B$223,0))),'Tabla Impacto'!$F$223&amp;"Por favor no seleccionar los criterios de impacto(Afectación Económica o presupuestal y Pérdida Reputacional)",M23)</f>
        <v>0</v>
      </c>
      <c r="O23" s="489" t="str">
        <f>IF(OR(N23='Tabla Impacto'!$C$11,N23='Tabla Impacto'!$D$11),"Leve",IF(OR(N23='Tabla Impacto'!$C$12,N23='Tabla Impacto'!$D$12),"Menor",IF(OR(N23='Tabla Impacto'!$C$13,N23='Tabla Impacto'!$D$13),"Moderado",IF(OR(N23='Tabla Impacto'!$C$14,N23='Tabla Impacto'!$D$14),"Mayor",IF(OR(N23='Tabla Impacto'!$C$15,N23='Tabla Impacto'!$D$15),"Catastrófico","")))))</f>
        <v/>
      </c>
      <c r="P23" s="490" t="str">
        <f>IF(O23="","",IF(O23="Leve",0.2,IF(O23="Menor",0.4,IF(O23="Moderado",0.6,IF(O23="Mayor",0.8,IF(O23="Catastrófico",1,))))))</f>
        <v/>
      </c>
      <c r="Q23" s="491"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8">
        <v>1</v>
      </c>
      <c r="S23" s="217"/>
      <c r="T23" s="184" t="str">
        <f t="shared" si="0"/>
        <v/>
      </c>
      <c r="U23" s="184"/>
      <c r="V23" s="184"/>
      <c r="W23" s="184"/>
      <c r="X23" s="184"/>
      <c r="Y23" s="228"/>
      <c r="Z23" s="228"/>
      <c r="AA23" s="174" t="str">
        <f t="shared" si="1"/>
        <v/>
      </c>
      <c r="AB23" s="228"/>
      <c r="AC23" s="228"/>
      <c r="AD23" s="228"/>
      <c r="AE23" s="180" t="str">
        <f>IFERROR(IF(T23="Probabilidad",(L23-(+L23*AA23)),IF(T23="Impacto",L23,"")),"")</f>
        <v/>
      </c>
      <c r="AF23" s="176" t="str">
        <f>IFERROR(IF(AE23="","",IF(AE23&lt;=0.2,"Muy Baja",IF(AE23&lt;=0.4,"Baja",IF(AE23&lt;=0.6,"Media",IF(AE23&lt;=0.8,"Alta","Muy Alta"))))),"")</f>
        <v/>
      </c>
      <c r="AG23" s="174" t="str">
        <f t="shared" si="2"/>
        <v/>
      </c>
      <c r="AH23" s="176" t="str">
        <f>IFERROR(IF(AI23="","",IF(AI23&lt;=0.2,"Leve",IF(AI23&lt;=0.4,"Menor",IF(AI23&lt;=0.6,"Moderado",IF(AI23&lt;=0.8,"Mayor","Catastrófico"))))),"")</f>
        <v/>
      </c>
      <c r="AI23" s="174" t="str">
        <f>IFERROR(IF(T23="Impacto",(P23-(+P23*AA23)),IF(T23="Probabilidad",P23,"")),"")</f>
        <v/>
      </c>
      <c r="AJ23" s="177" t="str">
        <f t="shared" si="3"/>
        <v/>
      </c>
      <c r="AK23" s="471"/>
      <c r="AL23" s="189"/>
      <c r="AM23" s="188"/>
      <c r="AN23" s="191"/>
      <c r="AO23" s="191"/>
      <c r="AP23" s="189"/>
      <c r="AQ23" s="191"/>
      <c r="AR23" s="189"/>
      <c r="AS23" s="148"/>
      <c r="AT23" s="143"/>
      <c r="AU23" s="148"/>
      <c r="AV23" s="143"/>
      <c r="AW23" s="147"/>
      <c r="AX23" s="143"/>
      <c r="AY23" s="143"/>
      <c r="AZ23" s="147"/>
      <c r="BA23" s="148"/>
      <c r="BB23" s="148"/>
      <c r="BC23" s="189"/>
      <c r="BD23" s="189"/>
      <c r="BE23" s="188"/>
      <c r="BF23" s="191"/>
      <c r="BG23" s="191"/>
      <c r="BH23" s="143"/>
      <c r="BI23" s="143"/>
      <c r="BJ23" s="147"/>
      <c r="BK23" s="148"/>
      <c r="BL23" s="148"/>
      <c r="BM23" s="143"/>
      <c r="BN23" s="143"/>
      <c r="BO23" s="147"/>
      <c r="BP23" s="148"/>
      <c r="BQ23" s="148"/>
      <c r="BR23" s="170"/>
      <c r="BS23" s="143"/>
      <c r="BT23" s="143"/>
      <c r="BU23" s="143"/>
      <c r="BV23" s="148"/>
      <c r="BW23" s="143"/>
      <c r="BX23" s="143"/>
      <c r="BY23" s="746"/>
      <c r="BZ23" s="143"/>
      <c r="CA23" s="147"/>
      <c r="CB23" s="143"/>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row>
    <row r="24" spans="1:106" ht="16.5" customHeight="1" x14ac:dyDescent="0.2">
      <c r="A24" s="463"/>
      <c r="B24" s="464"/>
      <c r="C24" s="464"/>
      <c r="D24" s="464"/>
      <c r="E24" s="492"/>
      <c r="F24" s="464"/>
      <c r="G24" s="464"/>
      <c r="H24" s="464"/>
      <c r="I24" s="464"/>
      <c r="J24" s="463"/>
      <c r="K24" s="489"/>
      <c r="L24" s="490"/>
      <c r="M24" s="485"/>
      <c r="N24" s="487"/>
      <c r="O24" s="489"/>
      <c r="P24" s="490"/>
      <c r="Q24" s="491"/>
      <c r="R24" s="188">
        <v>2</v>
      </c>
      <c r="S24" s="217"/>
      <c r="T24" s="184" t="str">
        <f t="shared" si="0"/>
        <v/>
      </c>
      <c r="U24" s="184"/>
      <c r="V24" s="184"/>
      <c r="W24" s="184"/>
      <c r="X24" s="184"/>
      <c r="Y24" s="228"/>
      <c r="Z24" s="228"/>
      <c r="AA24" s="174" t="str">
        <f t="shared" si="1"/>
        <v/>
      </c>
      <c r="AB24" s="228"/>
      <c r="AC24" s="228"/>
      <c r="AD24" s="228"/>
      <c r="AE24" s="180" t="str">
        <f>IFERROR(IF(AND(T23="Probabilidad",T24="Probabilidad"),(AG23-(+AG23*AA24)),IF(T24="Probabilidad",(L23-(+L23*AA24)),IF(T24="Impacto",AG23,""))),"")</f>
        <v/>
      </c>
      <c r="AF24" s="176" t="str">
        <f t="shared" si="4"/>
        <v/>
      </c>
      <c r="AG24" s="174" t="str">
        <f t="shared" si="2"/>
        <v/>
      </c>
      <c r="AH24" s="176" t="str">
        <f t="shared" si="5"/>
        <v/>
      </c>
      <c r="AI24" s="174" t="str">
        <f>IFERROR(IF(AND(T23="Impacto",T24="Impacto"),(AI17-(+AI17*AA24)),IF(T24="Impacto",($P$23-(+$P$23*AA24)),IF(T24="Probabilidad",AI17,""))),"")</f>
        <v/>
      </c>
      <c r="AJ24" s="177" t="str">
        <f t="shared" si="3"/>
        <v/>
      </c>
      <c r="AK24" s="472"/>
      <c r="AL24" s="189"/>
      <c r="AM24" s="188"/>
      <c r="AN24" s="191"/>
      <c r="AO24" s="191"/>
      <c r="AP24" s="189"/>
      <c r="AQ24" s="191"/>
      <c r="AR24" s="189"/>
      <c r="AS24" s="148"/>
      <c r="AT24" s="143"/>
      <c r="AU24" s="148"/>
      <c r="AV24" s="143"/>
      <c r="AW24" s="147"/>
      <c r="AX24" s="143"/>
      <c r="AY24" s="143"/>
      <c r="AZ24" s="147"/>
      <c r="BA24" s="148"/>
      <c r="BB24" s="148"/>
      <c r="BC24" s="189"/>
      <c r="BD24" s="189"/>
      <c r="BE24" s="188"/>
      <c r="BF24" s="191"/>
      <c r="BG24" s="191"/>
      <c r="BH24" s="143"/>
      <c r="BI24" s="143"/>
      <c r="BJ24" s="147"/>
      <c r="BK24" s="148"/>
      <c r="BL24" s="148"/>
      <c r="BM24" s="143"/>
      <c r="BN24" s="143"/>
      <c r="BO24" s="147"/>
      <c r="BP24" s="148"/>
      <c r="BQ24" s="148"/>
      <c r="BR24" s="170"/>
      <c r="BS24" s="143"/>
      <c r="BT24" s="143"/>
      <c r="BU24" s="143"/>
      <c r="BV24" s="148"/>
      <c r="BW24" s="143"/>
      <c r="BX24" s="143"/>
      <c r="BY24" s="746"/>
      <c r="BZ24" s="143"/>
      <c r="CA24" s="147"/>
      <c r="CB24" s="143"/>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row>
    <row r="25" spans="1:106" ht="16.5" customHeight="1" x14ac:dyDescent="0.2">
      <c r="A25" s="463"/>
      <c r="B25" s="464"/>
      <c r="C25" s="464"/>
      <c r="D25" s="464"/>
      <c r="E25" s="492"/>
      <c r="F25" s="464"/>
      <c r="G25" s="464"/>
      <c r="H25" s="464"/>
      <c r="I25" s="464"/>
      <c r="J25" s="463"/>
      <c r="K25" s="489"/>
      <c r="L25" s="490"/>
      <c r="M25" s="485"/>
      <c r="N25" s="487"/>
      <c r="O25" s="489"/>
      <c r="P25" s="490"/>
      <c r="Q25" s="491"/>
      <c r="R25" s="188">
        <v>3</v>
      </c>
      <c r="S25" s="217"/>
      <c r="T25" s="184" t="str">
        <f t="shared" si="0"/>
        <v/>
      </c>
      <c r="U25" s="184"/>
      <c r="V25" s="184"/>
      <c r="W25" s="184"/>
      <c r="X25" s="184"/>
      <c r="Y25" s="228"/>
      <c r="Z25" s="228"/>
      <c r="AA25" s="174" t="str">
        <f t="shared" si="1"/>
        <v/>
      </c>
      <c r="AB25" s="228"/>
      <c r="AC25" s="228"/>
      <c r="AD25" s="228"/>
      <c r="AE25" s="180" t="str">
        <f>IFERROR(IF(AND(T24="Probabilidad",T25="Probabilidad"),(AG24-(+AG24*AA25)),IF(AND(T24="Impacto",T25="Probabilidad"),(AG23-(+AG23*AA25)),IF(T25="Impacto",AG24,""))),"")</f>
        <v/>
      </c>
      <c r="AF25" s="176" t="str">
        <f t="shared" si="4"/>
        <v/>
      </c>
      <c r="AG25" s="174" t="str">
        <f t="shared" si="2"/>
        <v/>
      </c>
      <c r="AH25" s="176" t="str">
        <f t="shared" si="5"/>
        <v/>
      </c>
      <c r="AI25" s="174" t="str">
        <f>IFERROR(IF(AND(T24="Impacto",T25="Impacto"),(AI24-(+AI24*AA25)),IF(AND(T24="Probabilidad",T25="Impacto"),(AI23-(+AI23*AA25)),IF(T25="Probabilidad",AI24,""))),"")</f>
        <v/>
      </c>
      <c r="AJ25" s="177" t="str">
        <f t="shared" si="3"/>
        <v/>
      </c>
      <c r="AK25" s="472"/>
      <c r="AL25" s="189"/>
      <c r="AM25" s="188"/>
      <c r="AN25" s="191"/>
      <c r="AO25" s="191"/>
      <c r="AP25" s="189"/>
      <c r="AQ25" s="191"/>
      <c r="AR25" s="189"/>
      <c r="AS25" s="148"/>
      <c r="AT25" s="143"/>
      <c r="AU25" s="148"/>
      <c r="AV25" s="143"/>
      <c r="AW25" s="147"/>
      <c r="AX25" s="143"/>
      <c r="AY25" s="143"/>
      <c r="AZ25" s="147"/>
      <c r="BA25" s="148"/>
      <c r="BB25" s="148"/>
      <c r="BC25" s="189"/>
      <c r="BD25" s="189"/>
      <c r="BE25" s="188"/>
      <c r="BF25" s="191"/>
      <c r="BG25" s="191"/>
      <c r="BH25" s="143"/>
      <c r="BI25" s="143"/>
      <c r="BJ25" s="147"/>
      <c r="BK25" s="148"/>
      <c r="BL25" s="148"/>
      <c r="BM25" s="143"/>
      <c r="BN25" s="143"/>
      <c r="BO25" s="147"/>
      <c r="BP25" s="148"/>
      <c r="BQ25" s="148"/>
      <c r="BR25" s="170"/>
      <c r="BS25" s="143"/>
      <c r="BT25" s="143"/>
      <c r="BU25" s="143"/>
      <c r="BV25" s="148"/>
      <c r="BW25" s="143"/>
      <c r="BX25" s="143"/>
      <c r="BY25" s="746"/>
      <c r="BZ25" s="143"/>
      <c r="CA25" s="147"/>
      <c r="CB25" s="143"/>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row>
    <row r="26" spans="1:106" ht="16.5" customHeight="1" x14ac:dyDescent="0.2">
      <c r="A26" s="463"/>
      <c r="B26" s="464"/>
      <c r="C26" s="464"/>
      <c r="D26" s="464"/>
      <c r="E26" s="492"/>
      <c r="F26" s="464"/>
      <c r="G26" s="464"/>
      <c r="H26" s="464"/>
      <c r="I26" s="464"/>
      <c r="J26" s="463"/>
      <c r="K26" s="489"/>
      <c r="L26" s="490"/>
      <c r="M26" s="485"/>
      <c r="N26" s="487"/>
      <c r="O26" s="489"/>
      <c r="P26" s="490"/>
      <c r="Q26" s="491"/>
      <c r="R26" s="188">
        <v>4</v>
      </c>
      <c r="S26" s="217"/>
      <c r="T26" s="184" t="str">
        <f t="shared" si="0"/>
        <v/>
      </c>
      <c r="U26" s="184"/>
      <c r="V26" s="184"/>
      <c r="W26" s="184"/>
      <c r="X26" s="184"/>
      <c r="Y26" s="228"/>
      <c r="Z26" s="228"/>
      <c r="AA26" s="174" t="str">
        <f t="shared" si="1"/>
        <v/>
      </c>
      <c r="AB26" s="228"/>
      <c r="AC26" s="228"/>
      <c r="AD26" s="228"/>
      <c r="AE26" s="180" t="str">
        <f>IFERROR(IF(AND(T25="Probabilidad",T26="Probabilidad"),(AG25-(+AG25*AA26)),IF(AND(T25="Impacto",T26="Probabilidad"),(AG24-(+AG24*AA26)),IF(T26="Impacto",AG25,""))),"")</f>
        <v/>
      </c>
      <c r="AF26" s="176" t="str">
        <f t="shared" si="4"/>
        <v/>
      </c>
      <c r="AG26" s="174" t="str">
        <f t="shared" si="2"/>
        <v/>
      </c>
      <c r="AH26" s="176" t="str">
        <f t="shared" si="5"/>
        <v/>
      </c>
      <c r="AI26" s="174" t="str">
        <f>IFERROR(IF(AND(T25="Impacto",T26="Impacto"),(AI25-(+AI25*AA26)),IF(AND(T25="Probabilidad",T26="Impacto"),(AI24-(+AI24*AA26)),IF(T26="Probabilidad",AI25,""))),"")</f>
        <v/>
      </c>
      <c r="AJ26" s="177" t="str">
        <f t="shared" si="3"/>
        <v/>
      </c>
      <c r="AK26" s="472"/>
      <c r="AL26" s="189"/>
      <c r="AM26" s="188"/>
      <c r="AN26" s="191"/>
      <c r="AO26" s="191"/>
      <c r="AP26" s="189"/>
      <c r="AQ26" s="191"/>
      <c r="AR26" s="189"/>
      <c r="AS26" s="148"/>
      <c r="AT26" s="143"/>
      <c r="AU26" s="148"/>
      <c r="AV26" s="143"/>
      <c r="AW26" s="147"/>
      <c r="AX26" s="143"/>
      <c r="AY26" s="143"/>
      <c r="AZ26" s="147"/>
      <c r="BA26" s="148"/>
      <c r="BB26" s="148"/>
      <c r="BC26" s="189"/>
      <c r="BD26" s="189"/>
      <c r="BE26" s="188"/>
      <c r="BF26" s="191"/>
      <c r="BG26" s="191"/>
      <c r="BH26" s="143"/>
      <c r="BI26" s="143"/>
      <c r="BJ26" s="147"/>
      <c r="BK26" s="148"/>
      <c r="BL26" s="148"/>
      <c r="BM26" s="143"/>
      <c r="BN26" s="143"/>
      <c r="BO26" s="147"/>
      <c r="BP26" s="148"/>
      <c r="BQ26" s="148"/>
      <c r="BR26" s="170"/>
      <c r="BS26" s="143"/>
      <c r="BT26" s="143"/>
      <c r="BU26" s="143"/>
      <c r="BV26" s="148"/>
      <c r="BW26" s="143"/>
      <c r="BX26" s="143"/>
      <c r="BY26" s="746"/>
      <c r="BZ26" s="143"/>
      <c r="CA26" s="147"/>
      <c r="CB26" s="143"/>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row>
    <row r="27" spans="1:106" ht="16.5" customHeight="1" x14ac:dyDescent="0.2">
      <c r="A27" s="463"/>
      <c r="B27" s="464"/>
      <c r="C27" s="464"/>
      <c r="D27" s="464"/>
      <c r="E27" s="492"/>
      <c r="F27" s="464"/>
      <c r="G27" s="464"/>
      <c r="H27" s="464"/>
      <c r="I27" s="464"/>
      <c r="J27" s="463"/>
      <c r="K27" s="489"/>
      <c r="L27" s="490"/>
      <c r="M27" s="485"/>
      <c r="N27" s="487"/>
      <c r="O27" s="489"/>
      <c r="P27" s="490"/>
      <c r="Q27" s="491"/>
      <c r="R27" s="188">
        <v>5</v>
      </c>
      <c r="S27" s="217"/>
      <c r="T27" s="184" t="str">
        <f t="shared" si="0"/>
        <v/>
      </c>
      <c r="U27" s="184"/>
      <c r="V27" s="184"/>
      <c r="W27" s="184"/>
      <c r="X27" s="184"/>
      <c r="Y27" s="228"/>
      <c r="Z27" s="228"/>
      <c r="AA27" s="174" t="str">
        <f t="shared" si="1"/>
        <v/>
      </c>
      <c r="AB27" s="228"/>
      <c r="AC27" s="228"/>
      <c r="AD27" s="228"/>
      <c r="AE27" s="175" t="str">
        <f>IFERROR(IF(AND(T26="Probabilidad",T27="Probabilidad"),(AG26-(+AG26*AA27)),IF(AND(T26="Impacto",T27="Probabilidad"),(AG25-(+AG25*AA27)),IF(T27="Impacto",AG26,""))),"")</f>
        <v/>
      </c>
      <c r="AF27" s="176" t="str">
        <f>IFERROR(IF(AE27="","",IF(AE27&lt;=0.2,"Muy Baja",IF(AE27&lt;=0.4,"Baja",IF(AE27&lt;=0.6,"Media",IF(AE27&lt;=0.8,"Alta","Muy Alta"))))),"")</f>
        <v/>
      </c>
      <c r="AG27" s="174" t="str">
        <f t="shared" si="2"/>
        <v/>
      </c>
      <c r="AH27" s="176" t="str">
        <f t="shared" si="5"/>
        <v/>
      </c>
      <c r="AI27" s="174" t="str">
        <f>IFERROR(IF(AND(T26="Impacto",T27="Impacto"),(AI26-(+AI26*AA27)),IF(AND(T26="Probabilidad",T27="Impacto"),(AI25-(+AI25*AA27)),IF(T27="Probabilidad",AI26,""))),"")</f>
        <v/>
      </c>
      <c r="AJ27" s="177" t="str">
        <f t="shared" si="3"/>
        <v/>
      </c>
      <c r="AK27" s="472"/>
      <c r="AL27" s="189"/>
      <c r="AM27" s="188"/>
      <c r="AN27" s="191"/>
      <c r="AO27" s="191"/>
      <c r="AP27" s="189"/>
      <c r="AQ27" s="191"/>
      <c r="AR27" s="189"/>
      <c r="AS27" s="148"/>
      <c r="AT27" s="143"/>
      <c r="AU27" s="148"/>
      <c r="AV27" s="143"/>
      <c r="AW27" s="147"/>
      <c r="AX27" s="143"/>
      <c r="AY27" s="143"/>
      <c r="AZ27" s="147"/>
      <c r="BA27" s="148"/>
      <c r="BB27" s="148"/>
      <c r="BC27" s="189"/>
      <c r="BD27" s="189"/>
      <c r="BE27" s="188"/>
      <c r="BF27" s="191"/>
      <c r="BG27" s="191"/>
      <c r="BH27" s="143"/>
      <c r="BI27" s="143"/>
      <c r="BJ27" s="147"/>
      <c r="BK27" s="148"/>
      <c r="BL27" s="148"/>
      <c r="BM27" s="143"/>
      <c r="BN27" s="143"/>
      <c r="BO27" s="147"/>
      <c r="BP27" s="148"/>
      <c r="BQ27" s="148"/>
      <c r="BR27" s="170"/>
      <c r="BS27" s="143"/>
      <c r="BT27" s="143"/>
      <c r="BU27" s="143"/>
      <c r="BV27" s="148"/>
      <c r="BW27" s="143"/>
      <c r="BX27" s="143"/>
      <c r="BY27" s="746"/>
      <c r="BZ27" s="143"/>
      <c r="CA27" s="147"/>
      <c r="CB27" s="143"/>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row>
    <row r="28" spans="1:106" ht="16.5" customHeight="1" x14ac:dyDescent="0.2">
      <c r="A28" s="463"/>
      <c r="B28" s="464"/>
      <c r="C28" s="464"/>
      <c r="D28" s="464"/>
      <c r="E28" s="492"/>
      <c r="F28" s="464"/>
      <c r="G28" s="464"/>
      <c r="H28" s="464"/>
      <c r="I28" s="464"/>
      <c r="J28" s="463"/>
      <c r="K28" s="489"/>
      <c r="L28" s="490"/>
      <c r="M28" s="485"/>
      <c r="N28" s="488"/>
      <c r="O28" s="489"/>
      <c r="P28" s="490"/>
      <c r="Q28" s="491"/>
      <c r="R28" s="188">
        <v>6</v>
      </c>
      <c r="S28" s="217"/>
      <c r="T28" s="184" t="str">
        <f t="shared" si="0"/>
        <v/>
      </c>
      <c r="U28" s="184"/>
      <c r="V28" s="184"/>
      <c r="W28" s="184"/>
      <c r="X28" s="184"/>
      <c r="Y28" s="228"/>
      <c r="Z28" s="228"/>
      <c r="AA28" s="174" t="str">
        <f t="shared" si="1"/>
        <v/>
      </c>
      <c r="AB28" s="228"/>
      <c r="AC28" s="228"/>
      <c r="AD28" s="228"/>
      <c r="AE28" s="180" t="str">
        <f>IFERROR(IF(AND(T27="Probabilidad",T28="Probabilidad"),(AG27-(+AG27*AA28)),IF(AND(T27="Impacto",T28="Probabilidad"),(AG26-(+AG26*AA28)),IF(T28="Impacto",AG27,""))),"")</f>
        <v/>
      </c>
      <c r="AF28" s="176" t="str">
        <f t="shared" si="4"/>
        <v/>
      </c>
      <c r="AG28" s="174" t="str">
        <f t="shared" si="2"/>
        <v/>
      </c>
      <c r="AH28" s="176" t="str">
        <f t="shared" si="5"/>
        <v/>
      </c>
      <c r="AI28" s="174" t="str">
        <f>IFERROR(IF(AND(T27="Impacto",T28="Impacto"),(AI27-(+AI27*AA28)),IF(AND(T27="Probabilidad",T28="Impacto"),(AI26-(+AI26*AA28)),IF(T28="Probabilidad",AI27,""))),"")</f>
        <v/>
      </c>
      <c r="AJ28" s="177" t="str">
        <f t="shared" si="3"/>
        <v/>
      </c>
      <c r="AK28" s="473"/>
      <c r="AL28" s="189"/>
      <c r="AM28" s="188"/>
      <c r="AN28" s="191"/>
      <c r="AO28" s="191"/>
      <c r="AP28" s="189"/>
      <c r="AQ28" s="191"/>
      <c r="AR28" s="189"/>
      <c r="AS28" s="148"/>
      <c r="AT28" s="143"/>
      <c r="AU28" s="148"/>
      <c r="AV28" s="143"/>
      <c r="AW28" s="147"/>
      <c r="AX28" s="143"/>
      <c r="AY28" s="143"/>
      <c r="AZ28" s="147"/>
      <c r="BA28" s="148"/>
      <c r="BB28" s="148"/>
      <c r="BC28" s="189"/>
      <c r="BD28" s="189"/>
      <c r="BE28" s="188"/>
      <c r="BF28" s="191"/>
      <c r="BG28" s="191"/>
      <c r="BH28" s="143"/>
      <c r="BI28" s="143"/>
      <c r="BJ28" s="147"/>
      <c r="BK28" s="148"/>
      <c r="BL28" s="148"/>
      <c r="BM28" s="143"/>
      <c r="BN28" s="143"/>
      <c r="BO28" s="147"/>
      <c r="BP28" s="148"/>
      <c r="BQ28" s="148"/>
      <c r="BR28" s="170"/>
      <c r="BS28" s="143"/>
      <c r="BT28" s="143"/>
      <c r="BU28" s="143"/>
      <c r="BV28" s="148"/>
      <c r="BW28" s="143"/>
      <c r="BX28" s="143"/>
      <c r="BY28" s="746"/>
      <c r="BZ28" s="143"/>
      <c r="CA28" s="147"/>
      <c r="CB28" s="143"/>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row>
    <row r="29" spans="1:106" ht="16.5" customHeight="1" x14ac:dyDescent="0.2">
      <c r="A29" s="463">
        <v>5</v>
      </c>
      <c r="B29" s="464"/>
      <c r="C29" s="464"/>
      <c r="D29" s="464"/>
      <c r="E29" s="492"/>
      <c r="F29" s="464"/>
      <c r="G29" s="464"/>
      <c r="H29" s="464"/>
      <c r="I29" s="464"/>
      <c r="J29" s="463"/>
      <c r="K29" s="489" t="str">
        <f>IF(J29&lt;=0,"",IF(J29&lt;=2,"Muy Baja",IF(J29&lt;=24,"Baja",IF(J29&lt;=500,"Media",IF(J29&lt;=5000,"Alta","Muy Alta")))))</f>
        <v/>
      </c>
      <c r="L29" s="490" t="str">
        <f>IF(K29="","",IF(K29="Muy Baja",0.2,IF(K29="Baja",0.4,IF(K29="Media",0.6,IF(K29="Alta",0.8,IF(K29="Muy Alta",1,))))))</f>
        <v/>
      </c>
      <c r="M29" s="485"/>
      <c r="N29" s="486">
        <f>IF(NOT(ISERROR(MATCH(M29,'Tabla Impacto'!$B$221:$B$223,0))),'Tabla Impacto'!$F$223&amp;"Por favor no seleccionar los criterios de impacto(Afectación Económica o presupuestal y Pérdida Reputacional)",M29)</f>
        <v>0</v>
      </c>
      <c r="O29" s="489" t="str">
        <f>IF(OR(N29='Tabla Impacto'!$C$11,N29='Tabla Impacto'!$D$11),"Leve",IF(OR(N29='Tabla Impacto'!$C$12,N29='Tabla Impacto'!$D$12),"Menor",IF(OR(N29='Tabla Impacto'!$C$13,N29='Tabla Impacto'!$D$13),"Moderado",IF(OR(N29='Tabla Impacto'!$C$14,N29='Tabla Impacto'!$D$14),"Mayor",IF(OR(N29='Tabla Impacto'!$C$15,N29='Tabla Impacto'!$D$15),"Catastrófico","")))))</f>
        <v/>
      </c>
      <c r="P29" s="490" t="str">
        <f>IF(O29="","",IF(O29="Leve",0.2,IF(O29="Menor",0.4,IF(O29="Moderado",0.6,IF(O29="Mayor",0.8,IF(O29="Catastrófico",1,))))))</f>
        <v/>
      </c>
      <c r="Q29" s="491"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8">
        <v>1</v>
      </c>
      <c r="S29" s="217"/>
      <c r="T29" s="184" t="str">
        <f t="shared" si="0"/>
        <v/>
      </c>
      <c r="U29" s="184"/>
      <c r="V29" s="184"/>
      <c r="W29" s="184"/>
      <c r="X29" s="184"/>
      <c r="Y29" s="228"/>
      <c r="Z29" s="228"/>
      <c r="AA29" s="174" t="str">
        <f t="shared" si="1"/>
        <v/>
      </c>
      <c r="AB29" s="228"/>
      <c r="AC29" s="228"/>
      <c r="AD29" s="228"/>
      <c r="AE29" s="180" t="str">
        <f>IFERROR(IF(T29="Probabilidad",(L29-(+L29*AA29)),IF(T29="Impacto",L29,"")),"")</f>
        <v/>
      </c>
      <c r="AF29" s="176" t="str">
        <f>IFERROR(IF(AE29="","",IF(AE29&lt;=0.2,"Muy Baja",IF(AE29&lt;=0.4,"Baja",IF(AE29&lt;=0.6,"Media",IF(AE29&lt;=0.8,"Alta","Muy Alta"))))),"")</f>
        <v/>
      </c>
      <c r="AG29" s="174" t="str">
        <f t="shared" si="2"/>
        <v/>
      </c>
      <c r="AH29" s="176" t="str">
        <f>IFERROR(IF(AI29="","",IF(AI29&lt;=0.2,"Leve",IF(AI29&lt;=0.4,"Menor",IF(AI29&lt;=0.6,"Moderado",IF(AI29&lt;=0.8,"Mayor","Catastrófico"))))),"")</f>
        <v/>
      </c>
      <c r="AI29" s="174" t="str">
        <f>IFERROR(IF(T29="Impacto",(P29-(+P29*AA29)),IF(T29="Probabilidad",P29,"")),"")</f>
        <v/>
      </c>
      <c r="AJ29" s="177" t="str">
        <f t="shared" si="3"/>
        <v/>
      </c>
      <c r="AK29" s="471"/>
      <c r="AL29" s="189"/>
      <c r="AM29" s="188"/>
      <c r="AN29" s="191"/>
      <c r="AO29" s="191"/>
      <c r="AP29" s="189"/>
      <c r="AQ29" s="191"/>
      <c r="AR29" s="189"/>
      <c r="AS29" s="148"/>
      <c r="AT29" s="143"/>
      <c r="AU29" s="148"/>
      <c r="AV29" s="143"/>
      <c r="AW29" s="147"/>
      <c r="AX29" s="143"/>
      <c r="AY29" s="143"/>
      <c r="AZ29" s="147"/>
      <c r="BA29" s="148"/>
      <c r="BB29" s="148"/>
      <c r="BC29" s="189"/>
      <c r="BD29" s="189"/>
      <c r="BE29" s="188"/>
      <c r="BF29" s="191"/>
      <c r="BG29" s="191"/>
      <c r="BH29" s="143"/>
      <c r="BI29" s="143"/>
      <c r="BJ29" s="147"/>
      <c r="BK29" s="148"/>
      <c r="BL29" s="148"/>
      <c r="BM29" s="143"/>
      <c r="BN29" s="143"/>
      <c r="BO29" s="147"/>
      <c r="BP29" s="148"/>
      <c r="BQ29" s="148"/>
      <c r="BR29" s="170"/>
      <c r="BS29" s="143"/>
      <c r="BT29" s="143"/>
      <c r="BU29" s="143"/>
      <c r="BV29" s="148"/>
      <c r="BW29" s="143"/>
      <c r="BX29" s="143"/>
      <c r="BY29" s="746"/>
      <c r="BZ29" s="143"/>
      <c r="CA29" s="147"/>
      <c r="CB29" s="143"/>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row>
    <row r="30" spans="1:106" ht="16.5" customHeight="1" x14ac:dyDescent="0.2">
      <c r="A30" s="463"/>
      <c r="B30" s="464"/>
      <c r="C30" s="464"/>
      <c r="D30" s="464"/>
      <c r="E30" s="492"/>
      <c r="F30" s="464"/>
      <c r="G30" s="464"/>
      <c r="H30" s="464"/>
      <c r="I30" s="464"/>
      <c r="J30" s="463"/>
      <c r="K30" s="489"/>
      <c r="L30" s="490"/>
      <c r="M30" s="485"/>
      <c r="N30" s="487"/>
      <c r="O30" s="489"/>
      <c r="P30" s="490"/>
      <c r="Q30" s="491"/>
      <c r="R30" s="188">
        <v>2</v>
      </c>
      <c r="S30" s="217"/>
      <c r="T30" s="184" t="str">
        <f t="shared" si="0"/>
        <v/>
      </c>
      <c r="U30" s="184"/>
      <c r="V30" s="184"/>
      <c r="W30" s="184"/>
      <c r="X30" s="184"/>
      <c r="Y30" s="228"/>
      <c r="Z30" s="228"/>
      <c r="AA30" s="174" t="str">
        <f t="shared" si="1"/>
        <v/>
      </c>
      <c r="AB30" s="228"/>
      <c r="AC30" s="228"/>
      <c r="AD30" s="228"/>
      <c r="AE30" s="180" t="str">
        <f>IFERROR(IF(AND(T29="Probabilidad",T30="Probabilidad"),(AG29-(+AG29*AA30)),IF(T30="Probabilidad",(L29-(+L29*AA30)),IF(T30="Impacto",AG29,""))),"")</f>
        <v/>
      </c>
      <c r="AF30" s="176" t="str">
        <f t="shared" si="4"/>
        <v/>
      </c>
      <c r="AG30" s="174" t="str">
        <f t="shared" si="2"/>
        <v/>
      </c>
      <c r="AH30" s="176" t="str">
        <f t="shared" si="5"/>
        <v/>
      </c>
      <c r="AI30" s="174" t="str">
        <f>IFERROR(IF(AND(T29="Impacto",T30="Impacto"),(AI23-(+AI23*AA30)),IF(T30="Impacto",($P$29-(+$P$29*AA30)),IF(T30="Probabilidad",AI23,""))),"")</f>
        <v/>
      </c>
      <c r="AJ30" s="177" t="str">
        <f t="shared" si="3"/>
        <v/>
      </c>
      <c r="AK30" s="472"/>
      <c r="AL30" s="189"/>
      <c r="AM30" s="188"/>
      <c r="AN30" s="191"/>
      <c r="AO30" s="191"/>
      <c r="AP30" s="189"/>
      <c r="AQ30" s="191"/>
      <c r="AR30" s="189"/>
      <c r="AS30" s="148"/>
      <c r="AT30" s="143"/>
      <c r="AU30" s="148"/>
      <c r="AV30" s="143"/>
      <c r="AW30" s="147"/>
      <c r="AX30" s="143"/>
      <c r="AY30" s="143"/>
      <c r="AZ30" s="147"/>
      <c r="BA30" s="148"/>
      <c r="BB30" s="148"/>
      <c r="BC30" s="189"/>
      <c r="BD30" s="189"/>
      <c r="BE30" s="188"/>
      <c r="BF30" s="191"/>
      <c r="BG30" s="191"/>
      <c r="BH30" s="143"/>
      <c r="BI30" s="143"/>
      <c r="BJ30" s="147"/>
      <c r="BK30" s="148"/>
      <c r="BL30" s="148"/>
      <c r="BM30" s="143"/>
      <c r="BN30" s="143"/>
      <c r="BO30" s="147"/>
      <c r="BP30" s="148"/>
      <c r="BQ30" s="148"/>
      <c r="BR30" s="170"/>
      <c r="BS30" s="143"/>
      <c r="BT30" s="143"/>
      <c r="BU30" s="143"/>
      <c r="BV30" s="148"/>
      <c r="BW30" s="143"/>
      <c r="BX30" s="143"/>
      <c r="BY30" s="746"/>
      <c r="BZ30" s="143"/>
      <c r="CA30" s="147"/>
      <c r="CB30" s="143"/>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row>
    <row r="31" spans="1:106" ht="16.5" customHeight="1" x14ac:dyDescent="0.2">
      <c r="A31" s="463"/>
      <c r="B31" s="464"/>
      <c r="C31" s="464"/>
      <c r="D31" s="464"/>
      <c r="E31" s="492"/>
      <c r="F31" s="464"/>
      <c r="G31" s="464"/>
      <c r="H31" s="464"/>
      <c r="I31" s="464"/>
      <c r="J31" s="463"/>
      <c r="K31" s="489"/>
      <c r="L31" s="490"/>
      <c r="M31" s="485"/>
      <c r="N31" s="487"/>
      <c r="O31" s="489"/>
      <c r="P31" s="490"/>
      <c r="Q31" s="491"/>
      <c r="R31" s="188">
        <v>3</v>
      </c>
      <c r="S31" s="217"/>
      <c r="T31" s="184" t="str">
        <f t="shared" si="0"/>
        <v/>
      </c>
      <c r="U31" s="184"/>
      <c r="V31" s="184"/>
      <c r="W31" s="184"/>
      <c r="X31" s="184"/>
      <c r="Y31" s="228"/>
      <c r="Z31" s="228"/>
      <c r="AA31" s="174" t="str">
        <f t="shared" si="1"/>
        <v/>
      </c>
      <c r="AB31" s="228"/>
      <c r="AC31" s="228"/>
      <c r="AD31" s="228"/>
      <c r="AE31" s="180" t="str">
        <f>IFERROR(IF(AND(T30="Probabilidad",T31="Probabilidad"),(AG30-(+AG30*AA31)),IF(AND(T30="Impacto",T31="Probabilidad"),(AG29-(+AG29*AA31)),IF(T31="Impacto",AG30,""))),"")</f>
        <v/>
      </c>
      <c r="AF31" s="176" t="str">
        <f t="shared" si="4"/>
        <v/>
      </c>
      <c r="AG31" s="174" t="str">
        <f t="shared" si="2"/>
        <v/>
      </c>
      <c r="AH31" s="176" t="str">
        <f t="shared" si="5"/>
        <v/>
      </c>
      <c r="AI31" s="174" t="str">
        <f>IFERROR(IF(AND(T30="Impacto",T31="Impacto"),(AI30-(+AI30*AA31)),IF(AND(T30="Probabilidad",T31="Impacto"),(AI29-(+AI29*AA31)),IF(T31="Probabilidad",AI30,""))),"")</f>
        <v/>
      </c>
      <c r="AJ31" s="177" t="str">
        <f t="shared" si="3"/>
        <v/>
      </c>
      <c r="AK31" s="472"/>
      <c r="AL31" s="189"/>
      <c r="AM31" s="188"/>
      <c r="AN31" s="191"/>
      <c r="AO31" s="191"/>
      <c r="AP31" s="189"/>
      <c r="AQ31" s="191"/>
      <c r="AR31" s="189"/>
      <c r="AS31" s="148"/>
      <c r="AT31" s="143"/>
      <c r="AU31" s="148"/>
      <c r="AV31" s="143"/>
      <c r="AW31" s="147"/>
      <c r="AX31" s="143"/>
      <c r="AY31" s="143"/>
      <c r="AZ31" s="147"/>
      <c r="BA31" s="148"/>
      <c r="BB31" s="148"/>
      <c r="BC31" s="189"/>
      <c r="BD31" s="189"/>
      <c r="BE31" s="188"/>
      <c r="BF31" s="191"/>
      <c r="BG31" s="191"/>
      <c r="BH31" s="143"/>
      <c r="BI31" s="143"/>
      <c r="BJ31" s="147"/>
      <c r="BK31" s="148"/>
      <c r="BL31" s="148"/>
      <c r="BM31" s="143"/>
      <c r="BN31" s="143"/>
      <c r="BO31" s="147"/>
      <c r="BP31" s="148"/>
      <c r="BQ31" s="148"/>
      <c r="BR31" s="170"/>
      <c r="BS31" s="143"/>
      <c r="BT31" s="143"/>
      <c r="BU31" s="143"/>
      <c r="BV31" s="148"/>
      <c r="BW31" s="143"/>
      <c r="BX31" s="143"/>
      <c r="BY31" s="746"/>
      <c r="BZ31" s="143"/>
      <c r="CA31" s="147"/>
      <c r="CB31" s="143"/>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row>
    <row r="32" spans="1:106" ht="16.5" customHeight="1" x14ac:dyDescent="0.2">
      <c r="A32" s="463"/>
      <c r="B32" s="464"/>
      <c r="C32" s="464"/>
      <c r="D32" s="464"/>
      <c r="E32" s="492"/>
      <c r="F32" s="464"/>
      <c r="G32" s="464"/>
      <c r="H32" s="464"/>
      <c r="I32" s="464"/>
      <c r="J32" s="463"/>
      <c r="K32" s="489"/>
      <c r="L32" s="490"/>
      <c r="M32" s="485"/>
      <c r="N32" s="487"/>
      <c r="O32" s="489"/>
      <c r="P32" s="490"/>
      <c r="Q32" s="491"/>
      <c r="R32" s="188">
        <v>4</v>
      </c>
      <c r="S32" s="217"/>
      <c r="T32" s="184" t="str">
        <f t="shared" si="0"/>
        <v/>
      </c>
      <c r="U32" s="184"/>
      <c r="V32" s="184"/>
      <c r="W32" s="184"/>
      <c r="X32" s="184"/>
      <c r="Y32" s="228"/>
      <c r="Z32" s="228"/>
      <c r="AA32" s="174" t="str">
        <f t="shared" si="1"/>
        <v/>
      </c>
      <c r="AB32" s="228"/>
      <c r="AC32" s="228"/>
      <c r="AD32" s="228"/>
      <c r="AE32" s="180" t="str">
        <f>IFERROR(IF(AND(T31="Probabilidad",T32="Probabilidad"),(AG31-(+AG31*AA32)),IF(AND(T31="Impacto",T32="Probabilidad"),(AG30-(+AG30*AA32)),IF(T32="Impacto",AG31,""))),"")</f>
        <v/>
      </c>
      <c r="AF32" s="176" t="str">
        <f t="shared" si="4"/>
        <v/>
      </c>
      <c r="AG32" s="174" t="str">
        <f t="shared" si="2"/>
        <v/>
      </c>
      <c r="AH32" s="176" t="str">
        <f t="shared" si="5"/>
        <v/>
      </c>
      <c r="AI32" s="174" t="str">
        <f>IFERROR(IF(AND(T31="Impacto",T32="Impacto"),(AI31-(+AI31*AA32)),IF(AND(T31="Probabilidad",T32="Impacto"),(AI30-(+AI30*AA32)),IF(T32="Probabilidad",AI31,""))),"")</f>
        <v/>
      </c>
      <c r="AJ32" s="177" t="str">
        <f t="shared" si="3"/>
        <v/>
      </c>
      <c r="AK32" s="472"/>
      <c r="AL32" s="189"/>
      <c r="AM32" s="188"/>
      <c r="AN32" s="191"/>
      <c r="AO32" s="191"/>
      <c r="AP32" s="189"/>
      <c r="AQ32" s="191"/>
      <c r="AR32" s="189"/>
      <c r="AS32" s="148"/>
      <c r="AT32" s="143"/>
      <c r="AU32" s="148"/>
      <c r="AV32" s="143"/>
      <c r="AW32" s="147"/>
      <c r="AX32" s="143"/>
      <c r="AY32" s="143"/>
      <c r="AZ32" s="147"/>
      <c r="BA32" s="148"/>
      <c r="BB32" s="148"/>
      <c r="BC32" s="189"/>
      <c r="BD32" s="189"/>
      <c r="BE32" s="188"/>
      <c r="BF32" s="191"/>
      <c r="BG32" s="191"/>
      <c r="BH32" s="143"/>
      <c r="BI32" s="143"/>
      <c r="BJ32" s="147"/>
      <c r="BK32" s="148"/>
      <c r="BL32" s="148"/>
      <c r="BM32" s="143"/>
      <c r="BN32" s="143"/>
      <c r="BO32" s="147"/>
      <c r="BP32" s="148"/>
      <c r="BQ32" s="148"/>
      <c r="BR32" s="170"/>
      <c r="BS32" s="143"/>
      <c r="BT32" s="143"/>
      <c r="BU32" s="143"/>
      <c r="BV32" s="148"/>
      <c r="BW32" s="143"/>
      <c r="BX32" s="143"/>
      <c r="BY32" s="746"/>
      <c r="BZ32" s="143"/>
      <c r="CA32" s="147"/>
      <c r="CB32" s="143"/>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row>
    <row r="33" spans="1:106" ht="16.5" customHeight="1" x14ac:dyDescent="0.2">
      <c r="A33" s="463"/>
      <c r="B33" s="464"/>
      <c r="C33" s="464"/>
      <c r="D33" s="464"/>
      <c r="E33" s="492"/>
      <c r="F33" s="464"/>
      <c r="G33" s="464"/>
      <c r="H33" s="464"/>
      <c r="I33" s="464"/>
      <c r="J33" s="463"/>
      <c r="K33" s="489"/>
      <c r="L33" s="490"/>
      <c r="M33" s="485"/>
      <c r="N33" s="487"/>
      <c r="O33" s="489"/>
      <c r="P33" s="490"/>
      <c r="Q33" s="491"/>
      <c r="R33" s="188">
        <v>5</v>
      </c>
      <c r="S33" s="217"/>
      <c r="T33" s="184" t="str">
        <f t="shared" si="0"/>
        <v/>
      </c>
      <c r="U33" s="184"/>
      <c r="V33" s="184"/>
      <c r="W33" s="184"/>
      <c r="X33" s="184"/>
      <c r="Y33" s="228"/>
      <c r="Z33" s="228"/>
      <c r="AA33" s="174" t="str">
        <f t="shared" si="1"/>
        <v/>
      </c>
      <c r="AB33" s="228"/>
      <c r="AC33" s="228"/>
      <c r="AD33" s="228"/>
      <c r="AE33" s="180" t="str">
        <f>IFERROR(IF(AND(T32="Probabilidad",T33="Probabilidad"),(AG32-(+AG32*AA33)),IF(AND(T32="Impacto",T33="Probabilidad"),(AG31-(+AG31*AA33)),IF(T33="Impacto",AG32,""))),"")</f>
        <v/>
      </c>
      <c r="AF33" s="176" t="str">
        <f t="shared" si="4"/>
        <v/>
      </c>
      <c r="AG33" s="174" t="str">
        <f t="shared" si="2"/>
        <v/>
      </c>
      <c r="AH33" s="176" t="str">
        <f t="shared" si="5"/>
        <v/>
      </c>
      <c r="AI33" s="174" t="str">
        <f>IFERROR(IF(AND(T32="Impacto",T33="Impacto"),(AI32-(+AI32*AA33)),IF(AND(T32="Probabilidad",T33="Impacto"),(AI31-(+AI31*AA33)),IF(T33="Probabilidad",AI32,""))),"")</f>
        <v/>
      </c>
      <c r="AJ33" s="177" t="str">
        <f t="shared" si="3"/>
        <v/>
      </c>
      <c r="AK33" s="472"/>
      <c r="AL33" s="189"/>
      <c r="AM33" s="188"/>
      <c r="AN33" s="191"/>
      <c r="AO33" s="191"/>
      <c r="AP33" s="189"/>
      <c r="AQ33" s="191"/>
      <c r="AR33" s="189"/>
      <c r="AS33" s="148"/>
      <c r="AT33" s="143"/>
      <c r="AU33" s="148"/>
      <c r="AV33" s="143"/>
      <c r="AW33" s="147"/>
      <c r="AX33" s="143"/>
      <c r="AY33" s="143"/>
      <c r="AZ33" s="147"/>
      <c r="BA33" s="148"/>
      <c r="BB33" s="148"/>
      <c r="BC33" s="189"/>
      <c r="BD33" s="189"/>
      <c r="BE33" s="188"/>
      <c r="BF33" s="191"/>
      <c r="BG33" s="191"/>
      <c r="BH33" s="143"/>
      <c r="BI33" s="143"/>
      <c r="BJ33" s="147"/>
      <c r="BK33" s="148"/>
      <c r="BL33" s="148"/>
      <c r="BM33" s="143"/>
      <c r="BN33" s="143"/>
      <c r="BO33" s="147"/>
      <c r="BP33" s="148"/>
      <c r="BQ33" s="148"/>
      <c r="BR33" s="170"/>
      <c r="BS33" s="143"/>
      <c r="BT33" s="143"/>
      <c r="BU33" s="143"/>
      <c r="BV33" s="148"/>
      <c r="BW33" s="143"/>
      <c r="BX33" s="143"/>
      <c r="BY33" s="746"/>
      <c r="BZ33" s="143"/>
      <c r="CA33" s="147"/>
      <c r="CB33" s="143"/>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row>
    <row r="34" spans="1:106" ht="16.5" customHeight="1" x14ac:dyDescent="0.2">
      <c r="A34" s="463"/>
      <c r="B34" s="464"/>
      <c r="C34" s="464"/>
      <c r="D34" s="464"/>
      <c r="E34" s="492"/>
      <c r="F34" s="464"/>
      <c r="G34" s="464"/>
      <c r="H34" s="464"/>
      <c r="I34" s="464"/>
      <c r="J34" s="463"/>
      <c r="K34" s="489"/>
      <c r="L34" s="490"/>
      <c r="M34" s="485"/>
      <c r="N34" s="488"/>
      <c r="O34" s="489"/>
      <c r="P34" s="490"/>
      <c r="Q34" s="491"/>
      <c r="R34" s="188">
        <v>6</v>
      </c>
      <c r="S34" s="217"/>
      <c r="T34" s="184" t="str">
        <f t="shared" si="0"/>
        <v/>
      </c>
      <c r="U34" s="184"/>
      <c r="V34" s="184"/>
      <c r="W34" s="184"/>
      <c r="X34" s="184"/>
      <c r="Y34" s="228"/>
      <c r="Z34" s="228"/>
      <c r="AA34" s="174" t="str">
        <f t="shared" si="1"/>
        <v/>
      </c>
      <c r="AB34" s="228"/>
      <c r="AC34" s="228"/>
      <c r="AD34" s="228"/>
      <c r="AE34" s="180" t="str">
        <f>IFERROR(IF(AND(T33="Probabilidad",T34="Probabilidad"),(AG33-(+AG33*AA34)),IF(AND(T33="Impacto",T34="Probabilidad"),(AG32-(+AG32*AA34)),IF(T34="Impacto",AG33,""))),"")</f>
        <v/>
      </c>
      <c r="AF34" s="176" t="str">
        <f t="shared" si="4"/>
        <v/>
      </c>
      <c r="AG34" s="174" t="str">
        <f t="shared" si="2"/>
        <v/>
      </c>
      <c r="AH34" s="176" t="str">
        <f t="shared" si="5"/>
        <v/>
      </c>
      <c r="AI34" s="174" t="str">
        <f>IFERROR(IF(AND(T33="Impacto",T34="Impacto"),(AI33-(+AI33*AA34)),IF(AND(T33="Probabilidad",T34="Impacto"),(AI32-(+AI32*AA34)),IF(T34="Probabilidad",AI33,""))),"")</f>
        <v/>
      </c>
      <c r="AJ34" s="177" t="str">
        <f t="shared" si="3"/>
        <v/>
      </c>
      <c r="AK34" s="473"/>
      <c r="AL34" s="189"/>
      <c r="AM34" s="188"/>
      <c r="AN34" s="191"/>
      <c r="AO34" s="191"/>
      <c r="AP34" s="189"/>
      <c r="AQ34" s="191"/>
      <c r="AR34" s="189"/>
      <c r="AS34" s="148"/>
      <c r="AT34" s="143"/>
      <c r="AU34" s="148"/>
      <c r="AV34" s="143"/>
      <c r="AW34" s="147"/>
      <c r="AX34" s="143"/>
      <c r="AY34" s="143"/>
      <c r="AZ34" s="147"/>
      <c r="BA34" s="148"/>
      <c r="BB34" s="148"/>
      <c r="BC34" s="189"/>
      <c r="BD34" s="189"/>
      <c r="BE34" s="188"/>
      <c r="BF34" s="191"/>
      <c r="BG34" s="191"/>
      <c r="BH34" s="143"/>
      <c r="BI34" s="143"/>
      <c r="BJ34" s="147"/>
      <c r="BK34" s="148"/>
      <c r="BL34" s="148"/>
      <c r="BM34" s="143"/>
      <c r="BN34" s="143"/>
      <c r="BO34" s="147"/>
      <c r="BP34" s="148"/>
      <c r="BQ34" s="148"/>
      <c r="BR34" s="170"/>
      <c r="BS34" s="143"/>
      <c r="BT34" s="143"/>
      <c r="BU34" s="143"/>
      <c r="BV34" s="148"/>
      <c r="BW34" s="143"/>
      <c r="BX34" s="143"/>
      <c r="BY34" s="746"/>
      <c r="BZ34" s="143"/>
      <c r="CA34" s="147"/>
      <c r="CB34" s="143"/>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row>
    <row r="35" spans="1:106" ht="16.5" customHeight="1" x14ac:dyDescent="0.2">
      <c r="A35" s="463">
        <v>6</v>
      </c>
      <c r="B35" s="464"/>
      <c r="C35" s="464"/>
      <c r="D35" s="464"/>
      <c r="E35" s="492"/>
      <c r="F35" s="464"/>
      <c r="G35" s="464"/>
      <c r="H35" s="464"/>
      <c r="I35" s="464"/>
      <c r="J35" s="463"/>
      <c r="K35" s="489" t="str">
        <f>IF(J35&lt;=0,"",IF(J35&lt;=2,"Muy Baja",IF(J35&lt;=24,"Baja",IF(J35&lt;=500,"Media",IF(J35&lt;=5000,"Alta","Muy Alta")))))</f>
        <v/>
      </c>
      <c r="L35" s="490" t="str">
        <f>IF(K35="","",IF(K35="Muy Baja",0.2,IF(K35="Baja",0.4,IF(K35="Media",0.6,IF(K35="Alta",0.8,IF(K35="Muy Alta",1,))))))</f>
        <v/>
      </c>
      <c r="M35" s="485"/>
      <c r="N35" s="486">
        <f>IF(NOT(ISERROR(MATCH(M35,'Tabla Impacto'!$B$221:$B$223,0))),'Tabla Impacto'!$F$223&amp;"Por favor no seleccionar los criterios de impacto(Afectación Económica o presupuestal y Pérdida Reputacional)",M35)</f>
        <v>0</v>
      </c>
      <c r="O35" s="489" t="str">
        <f>IF(OR(N35='Tabla Impacto'!$C$11,N35='Tabla Impacto'!$D$11),"Leve",IF(OR(N35='Tabla Impacto'!$C$12,N35='Tabla Impacto'!$D$12),"Menor",IF(OR(N35='Tabla Impacto'!$C$13,N35='Tabla Impacto'!$D$13),"Moderado",IF(OR(N35='Tabla Impacto'!$C$14,N35='Tabla Impacto'!$D$14),"Mayor",IF(OR(N35='Tabla Impacto'!$C$15,N35='Tabla Impacto'!$D$15),"Catastrófico","")))))</f>
        <v/>
      </c>
      <c r="P35" s="490" t="str">
        <f>IF(O35="","",IF(O35="Leve",0.2,IF(O35="Menor",0.4,IF(O35="Moderado",0.6,IF(O35="Mayor",0.8,IF(O35="Catastrófico",1,))))))</f>
        <v/>
      </c>
      <c r="Q35" s="491"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8">
        <v>1</v>
      </c>
      <c r="S35" s="217"/>
      <c r="T35" s="184" t="str">
        <f t="shared" si="0"/>
        <v/>
      </c>
      <c r="U35" s="184"/>
      <c r="V35" s="184"/>
      <c r="W35" s="184"/>
      <c r="X35" s="184"/>
      <c r="Y35" s="228"/>
      <c r="Z35" s="228"/>
      <c r="AA35" s="174" t="str">
        <f t="shared" si="1"/>
        <v/>
      </c>
      <c r="AB35" s="228"/>
      <c r="AC35" s="228"/>
      <c r="AD35" s="228"/>
      <c r="AE35" s="180" t="str">
        <f>IFERROR(IF(T35="Probabilidad",(L35-(+L35*AA35)),IF(T35="Impacto",L35,"")),"")</f>
        <v/>
      </c>
      <c r="AF35" s="176" t="str">
        <f>IFERROR(IF(AE35="","",IF(AE35&lt;=0.2,"Muy Baja",IF(AE35&lt;=0.4,"Baja",IF(AE35&lt;=0.6,"Media",IF(AE35&lt;=0.8,"Alta","Muy Alta"))))),"")</f>
        <v/>
      </c>
      <c r="AG35" s="174" t="str">
        <f t="shared" si="2"/>
        <v/>
      </c>
      <c r="AH35" s="176" t="str">
        <f>IFERROR(IF(AI35="","",IF(AI35&lt;=0.2,"Leve",IF(AI35&lt;=0.4,"Menor",IF(AI35&lt;=0.6,"Moderado",IF(AI35&lt;=0.8,"Mayor","Catastrófico"))))),"")</f>
        <v/>
      </c>
      <c r="AI35" s="174" t="str">
        <f>IFERROR(IF(T35="Impacto",(P35-(+P35*AA35)),IF(T35="Probabilidad",P35,"")),"")</f>
        <v/>
      </c>
      <c r="AJ35" s="177" t="str">
        <f t="shared" si="3"/>
        <v/>
      </c>
      <c r="AK35" s="471"/>
      <c r="AL35" s="189"/>
      <c r="AM35" s="188"/>
      <c r="AN35" s="191"/>
      <c r="AO35" s="191"/>
      <c r="AP35" s="189"/>
      <c r="AQ35" s="191"/>
      <c r="AR35" s="189"/>
      <c r="AS35" s="148"/>
      <c r="AT35" s="143"/>
      <c r="AU35" s="148"/>
      <c r="AV35" s="143"/>
      <c r="AW35" s="147"/>
      <c r="AX35" s="143"/>
      <c r="AY35" s="143"/>
      <c r="AZ35" s="147"/>
      <c r="BA35" s="148"/>
      <c r="BB35" s="148"/>
      <c r="BC35" s="189"/>
      <c r="BD35" s="189"/>
      <c r="BE35" s="188"/>
      <c r="BF35" s="191"/>
      <c r="BG35" s="191"/>
      <c r="BH35" s="143"/>
      <c r="BI35" s="143"/>
      <c r="BJ35" s="147"/>
      <c r="BK35" s="148"/>
      <c r="BL35" s="148"/>
      <c r="BM35" s="143"/>
      <c r="BN35" s="143"/>
      <c r="BO35" s="147"/>
      <c r="BP35" s="148"/>
      <c r="BQ35" s="148"/>
      <c r="BR35" s="170"/>
      <c r="BS35" s="143"/>
      <c r="BT35" s="143"/>
      <c r="BU35" s="143"/>
      <c r="BV35" s="148"/>
      <c r="BW35" s="143"/>
      <c r="BX35" s="143"/>
      <c r="BY35" s="746"/>
      <c r="BZ35" s="143"/>
      <c r="CA35" s="147"/>
      <c r="CB35" s="143"/>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row>
    <row r="36" spans="1:106" ht="16.5" customHeight="1" x14ac:dyDescent="0.2">
      <c r="A36" s="463"/>
      <c r="B36" s="464"/>
      <c r="C36" s="464"/>
      <c r="D36" s="464"/>
      <c r="E36" s="492"/>
      <c r="F36" s="464"/>
      <c r="G36" s="464"/>
      <c r="H36" s="464"/>
      <c r="I36" s="464"/>
      <c r="J36" s="463"/>
      <c r="K36" s="489"/>
      <c r="L36" s="490"/>
      <c r="M36" s="485"/>
      <c r="N36" s="487"/>
      <c r="O36" s="489"/>
      <c r="P36" s="490"/>
      <c r="Q36" s="491"/>
      <c r="R36" s="188">
        <v>2</v>
      </c>
      <c r="S36" s="217"/>
      <c r="T36" s="184" t="str">
        <f t="shared" si="0"/>
        <v/>
      </c>
      <c r="U36" s="184"/>
      <c r="V36" s="184"/>
      <c r="W36" s="184"/>
      <c r="X36" s="184"/>
      <c r="Y36" s="228"/>
      <c r="Z36" s="228"/>
      <c r="AA36" s="174" t="str">
        <f t="shared" si="1"/>
        <v/>
      </c>
      <c r="AB36" s="228"/>
      <c r="AC36" s="228"/>
      <c r="AD36" s="228"/>
      <c r="AE36" s="180" t="str">
        <f>IFERROR(IF(AND(T35="Probabilidad",T36="Probabilidad"),(AG35-(+AG35*AA36)),IF(T36="Probabilidad",(L35-(+L35*AA36)),IF(T36="Impacto",AG35,""))),"")</f>
        <v/>
      </c>
      <c r="AF36" s="176" t="str">
        <f t="shared" si="4"/>
        <v/>
      </c>
      <c r="AG36" s="174" t="str">
        <f t="shared" si="2"/>
        <v/>
      </c>
      <c r="AH36" s="176" t="str">
        <f t="shared" si="5"/>
        <v/>
      </c>
      <c r="AI36" s="174" t="str">
        <f>IFERROR(IF(AND(T35="Impacto",T36="Impacto"),(AI29-(+AI29*AA36)),IF(T36="Impacto",($P$35-(+$P$35*AA36)),IF(T36="Probabilidad",AI29,""))),"")</f>
        <v/>
      </c>
      <c r="AJ36" s="177" t="str">
        <f t="shared" si="3"/>
        <v/>
      </c>
      <c r="AK36" s="472"/>
      <c r="AL36" s="189"/>
      <c r="AM36" s="188"/>
      <c r="AN36" s="191"/>
      <c r="AO36" s="191"/>
      <c r="AP36" s="189"/>
      <c r="AQ36" s="191"/>
      <c r="AR36" s="189"/>
      <c r="AS36" s="148"/>
      <c r="AT36" s="143"/>
      <c r="AU36" s="148"/>
      <c r="AV36" s="143"/>
      <c r="AW36" s="147"/>
      <c r="AX36" s="143"/>
      <c r="AY36" s="143"/>
      <c r="AZ36" s="147"/>
      <c r="BA36" s="148"/>
      <c r="BB36" s="148"/>
      <c r="BC36" s="189"/>
      <c r="BD36" s="189"/>
      <c r="BE36" s="188"/>
      <c r="BF36" s="191"/>
      <c r="BG36" s="191"/>
      <c r="BH36" s="143"/>
      <c r="BI36" s="143"/>
      <c r="BJ36" s="147"/>
      <c r="BK36" s="148"/>
      <c r="BL36" s="148"/>
      <c r="BM36" s="143"/>
      <c r="BN36" s="143"/>
      <c r="BO36" s="147"/>
      <c r="BP36" s="148"/>
      <c r="BQ36" s="148"/>
      <c r="BR36" s="170"/>
      <c r="BS36" s="143"/>
      <c r="BT36" s="143"/>
      <c r="BU36" s="143"/>
      <c r="BV36" s="148"/>
      <c r="BW36" s="143"/>
      <c r="BX36" s="143"/>
      <c r="BY36" s="746"/>
      <c r="BZ36" s="143"/>
      <c r="CA36" s="147"/>
      <c r="CB36" s="143"/>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row>
    <row r="37" spans="1:106" ht="16.5" customHeight="1" x14ac:dyDescent="0.2">
      <c r="A37" s="463"/>
      <c r="B37" s="464"/>
      <c r="C37" s="464"/>
      <c r="D37" s="464"/>
      <c r="E37" s="492"/>
      <c r="F37" s="464"/>
      <c r="G37" s="464"/>
      <c r="H37" s="464"/>
      <c r="I37" s="464"/>
      <c r="J37" s="463"/>
      <c r="K37" s="489"/>
      <c r="L37" s="490"/>
      <c r="M37" s="485"/>
      <c r="N37" s="487"/>
      <c r="O37" s="489"/>
      <c r="P37" s="490"/>
      <c r="Q37" s="491"/>
      <c r="R37" s="188">
        <v>3</v>
      </c>
      <c r="S37" s="217"/>
      <c r="T37" s="184" t="str">
        <f t="shared" si="0"/>
        <v/>
      </c>
      <c r="U37" s="184"/>
      <c r="V37" s="184"/>
      <c r="W37" s="184"/>
      <c r="X37" s="184"/>
      <c r="Y37" s="228"/>
      <c r="Z37" s="228"/>
      <c r="AA37" s="174" t="str">
        <f t="shared" ref="AA37:AA64" si="6">IF(AND(Y37="Preventivo",Z37="Automático"),"50%",IF(AND(Y37="Preventivo",Z37="Manual"),"40%",IF(AND(Y37="Detectivo",Z37="Automático"),"40%",IF(AND(Y37="Detectivo",Z37="Manual"),"30%",IF(AND(Y37="Correctivo",Z37="Automático"),"35%",IF(AND(Y37="Correctivo",Z37="Manual"),"25%",""))))))</f>
        <v/>
      </c>
      <c r="AB37" s="228"/>
      <c r="AC37" s="228"/>
      <c r="AD37" s="228"/>
      <c r="AE37" s="180" t="str">
        <f>IFERROR(IF(AND(T36="Probabilidad",T37="Probabilidad"),(AG36-(+AG36*AA37)),IF(AND(T36="Impacto",T37="Probabilidad"),(AG35-(+AG35*AA37)),IF(T37="Impacto",AG36,""))),"")</f>
        <v/>
      </c>
      <c r="AF37" s="176" t="str">
        <f t="shared" si="4"/>
        <v/>
      </c>
      <c r="AG37" s="174" t="str">
        <f t="shared" ref="AG37:AG64" si="7">+AE37</f>
        <v/>
      </c>
      <c r="AH37" s="176" t="str">
        <f t="shared" si="5"/>
        <v/>
      </c>
      <c r="AI37" s="174" t="str">
        <f>IFERROR(IF(AND(T36="Impacto",T37="Impacto"),(AI36-(+AI36*AA37)),IF(AND(T36="Probabilidad",T37="Impacto"),(AI35-(+AI35*AA37)),IF(T37="Probabilidad",AI36,""))),"")</f>
        <v/>
      </c>
      <c r="AJ37" s="177"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72"/>
      <c r="AL37" s="189"/>
      <c r="AM37" s="188"/>
      <c r="AN37" s="191"/>
      <c r="AO37" s="191"/>
      <c r="AP37" s="189"/>
      <c r="AQ37" s="191"/>
      <c r="AR37" s="189"/>
      <c r="AS37" s="148"/>
      <c r="AT37" s="143"/>
      <c r="AU37" s="148"/>
      <c r="AV37" s="143"/>
      <c r="AW37" s="147"/>
      <c r="AX37" s="143"/>
      <c r="AY37" s="143"/>
      <c r="AZ37" s="147"/>
      <c r="BA37" s="148"/>
      <c r="BB37" s="148"/>
      <c r="BC37" s="189"/>
      <c r="BD37" s="189"/>
      <c r="BE37" s="188"/>
      <c r="BF37" s="191"/>
      <c r="BG37" s="191"/>
      <c r="BH37" s="143"/>
      <c r="BI37" s="143"/>
      <c r="BJ37" s="147"/>
      <c r="BK37" s="148"/>
      <c r="BL37" s="148"/>
      <c r="BM37" s="143"/>
      <c r="BN37" s="143"/>
      <c r="BO37" s="147"/>
      <c r="BP37" s="148"/>
      <c r="BQ37" s="148"/>
      <c r="BR37" s="170"/>
      <c r="BS37" s="143"/>
      <c r="BT37" s="143"/>
      <c r="BU37" s="143"/>
      <c r="BV37" s="148"/>
      <c r="BW37" s="143"/>
      <c r="BX37" s="143"/>
      <c r="BY37" s="746"/>
      <c r="BZ37" s="143"/>
      <c r="CA37" s="147"/>
      <c r="CB37" s="143"/>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row>
    <row r="38" spans="1:106" ht="16.5" customHeight="1" x14ac:dyDescent="0.2">
      <c r="A38" s="463"/>
      <c r="B38" s="464"/>
      <c r="C38" s="464"/>
      <c r="D38" s="464"/>
      <c r="E38" s="492"/>
      <c r="F38" s="464"/>
      <c r="G38" s="464"/>
      <c r="H38" s="464"/>
      <c r="I38" s="464"/>
      <c r="J38" s="463"/>
      <c r="K38" s="489"/>
      <c r="L38" s="490"/>
      <c r="M38" s="485"/>
      <c r="N38" s="487"/>
      <c r="O38" s="489"/>
      <c r="P38" s="490"/>
      <c r="Q38" s="491"/>
      <c r="R38" s="188">
        <v>4</v>
      </c>
      <c r="S38" s="217"/>
      <c r="T38" s="184" t="str">
        <f t="shared" ref="T38:T64" si="9">IF(OR(Y38="Preventivo",Y38="Detectivo"),"Probabilidad",IF(Y38="Correctivo","Impacto",""))</f>
        <v/>
      </c>
      <c r="U38" s="184"/>
      <c r="V38" s="184"/>
      <c r="W38" s="184"/>
      <c r="X38" s="184"/>
      <c r="Y38" s="228"/>
      <c r="Z38" s="228"/>
      <c r="AA38" s="174" t="str">
        <f t="shared" si="6"/>
        <v/>
      </c>
      <c r="AB38" s="228"/>
      <c r="AC38" s="228"/>
      <c r="AD38" s="228"/>
      <c r="AE38" s="180" t="str">
        <f>IFERROR(IF(AND(T37="Probabilidad",T38="Probabilidad"),(AG37-(+AG37*AA38)),IF(AND(T37="Impacto",T38="Probabilidad"),(AG36-(+AG36*AA38)),IF(T38="Impacto",AG37,""))),"")</f>
        <v/>
      </c>
      <c r="AF38" s="176" t="str">
        <f t="shared" si="4"/>
        <v/>
      </c>
      <c r="AG38" s="174" t="str">
        <f t="shared" si="7"/>
        <v/>
      </c>
      <c r="AH38" s="176" t="str">
        <f t="shared" si="5"/>
        <v/>
      </c>
      <c r="AI38" s="174" t="str">
        <f>IFERROR(IF(AND(T37="Impacto",T38="Impacto"),(AI37-(+AI37*AA38)),IF(AND(T37="Probabilidad",T38="Impacto"),(AI36-(+AI36*AA38)),IF(T38="Probabilidad",AI37,""))),"")</f>
        <v/>
      </c>
      <c r="AJ38" s="177" t="str">
        <f t="shared" si="8"/>
        <v/>
      </c>
      <c r="AK38" s="472"/>
      <c r="AL38" s="189"/>
      <c r="AM38" s="188"/>
      <c r="AN38" s="191"/>
      <c r="AO38" s="191"/>
      <c r="AP38" s="189"/>
      <c r="AQ38" s="191"/>
      <c r="AR38" s="189"/>
      <c r="AS38" s="148"/>
      <c r="AT38" s="143"/>
      <c r="AU38" s="148"/>
      <c r="AV38" s="143"/>
      <c r="AW38" s="147"/>
      <c r="AX38" s="143"/>
      <c r="AY38" s="143"/>
      <c r="AZ38" s="147"/>
      <c r="BA38" s="148"/>
      <c r="BB38" s="148"/>
      <c r="BC38" s="189"/>
      <c r="BD38" s="189"/>
      <c r="BE38" s="188"/>
      <c r="BF38" s="191"/>
      <c r="BG38" s="191"/>
      <c r="BH38" s="143"/>
      <c r="BI38" s="143"/>
      <c r="BJ38" s="147"/>
      <c r="BK38" s="148"/>
      <c r="BL38" s="148"/>
      <c r="BM38" s="143"/>
      <c r="BN38" s="143"/>
      <c r="BO38" s="147"/>
      <c r="BP38" s="148"/>
      <c r="BQ38" s="148"/>
      <c r="BR38" s="170"/>
      <c r="BS38" s="143"/>
      <c r="BT38" s="143"/>
      <c r="BU38" s="143"/>
      <c r="BV38" s="148"/>
      <c r="BW38" s="143"/>
      <c r="BX38" s="143"/>
      <c r="BY38" s="746"/>
      <c r="BZ38" s="143"/>
      <c r="CA38" s="147"/>
      <c r="CB38" s="143"/>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row>
    <row r="39" spans="1:106" ht="16.5" customHeight="1" x14ac:dyDescent="0.2">
      <c r="A39" s="463"/>
      <c r="B39" s="464"/>
      <c r="C39" s="464"/>
      <c r="D39" s="464"/>
      <c r="E39" s="492"/>
      <c r="F39" s="464"/>
      <c r="G39" s="464"/>
      <c r="H39" s="464"/>
      <c r="I39" s="464"/>
      <c r="J39" s="463"/>
      <c r="K39" s="489"/>
      <c r="L39" s="490"/>
      <c r="M39" s="485"/>
      <c r="N39" s="487"/>
      <c r="O39" s="489"/>
      <c r="P39" s="490"/>
      <c r="Q39" s="491"/>
      <c r="R39" s="188">
        <v>5</v>
      </c>
      <c r="S39" s="217"/>
      <c r="T39" s="184" t="str">
        <f t="shared" si="9"/>
        <v/>
      </c>
      <c r="U39" s="184"/>
      <c r="V39" s="184"/>
      <c r="W39" s="184"/>
      <c r="X39" s="184"/>
      <c r="Y39" s="228"/>
      <c r="Z39" s="228"/>
      <c r="AA39" s="174" t="str">
        <f t="shared" si="6"/>
        <v/>
      </c>
      <c r="AB39" s="228"/>
      <c r="AC39" s="228"/>
      <c r="AD39" s="228"/>
      <c r="AE39" s="180" t="str">
        <f>IFERROR(IF(AND(T38="Probabilidad",T39="Probabilidad"),(AG38-(+AG38*AA39)),IF(AND(T38="Impacto",T39="Probabilidad"),(AG37-(+AG37*AA39)),IF(T39="Impacto",AG38,""))),"")</f>
        <v/>
      </c>
      <c r="AF39" s="176" t="str">
        <f t="shared" si="4"/>
        <v/>
      </c>
      <c r="AG39" s="174" t="str">
        <f t="shared" si="7"/>
        <v/>
      </c>
      <c r="AH39" s="176" t="str">
        <f t="shared" si="5"/>
        <v/>
      </c>
      <c r="AI39" s="174" t="str">
        <f>IFERROR(IF(AND(T38="Impacto",T39="Impacto"),(AI38-(+AI38*AA39)),IF(AND(T38="Probabilidad",T39="Impacto"),(AI37-(+AI37*AA39)),IF(T39="Probabilidad",AI38,""))),"")</f>
        <v/>
      </c>
      <c r="AJ39" s="177" t="str">
        <f t="shared" si="8"/>
        <v/>
      </c>
      <c r="AK39" s="472"/>
      <c r="AL39" s="189"/>
      <c r="AM39" s="188"/>
      <c r="AN39" s="191"/>
      <c r="AO39" s="191"/>
      <c r="AP39" s="189"/>
      <c r="AQ39" s="191"/>
      <c r="AR39" s="189"/>
      <c r="AS39" s="148"/>
      <c r="AT39" s="143"/>
      <c r="AU39" s="148"/>
      <c r="AV39" s="143"/>
      <c r="AW39" s="147"/>
      <c r="AX39" s="143"/>
      <c r="AY39" s="143"/>
      <c r="AZ39" s="147"/>
      <c r="BA39" s="148"/>
      <c r="BB39" s="148"/>
      <c r="BC39" s="189"/>
      <c r="BD39" s="189"/>
      <c r="BE39" s="188"/>
      <c r="BF39" s="191"/>
      <c r="BG39" s="191"/>
      <c r="BH39" s="143"/>
      <c r="BI39" s="143"/>
      <c r="BJ39" s="147"/>
      <c r="BK39" s="148"/>
      <c r="BL39" s="148"/>
      <c r="BM39" s="143"/>
      <c r="BN39" s="143"/>
      <c r="BO39" s="147"/>
      <c r="BP39" s="148"/>
      <c r="BQ39" s="148"/>
      <c r="BR39" s="170"/>
      <c r="BS39" s="143"/>
      <c r="BT39" s="143"/>
      <c r="BU39" s="143"/>
      <c r="BV39" s="148"/>
      <c r="BW39" s="143"/>
      <c r="BX39" s="143"/>
      <c r="BY39" s="746"/>
      <c r="BZ39" s="143"/>
      <c r="CA39" s="147"/>
      <c r="CB39" s="143"/>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row>
    <row r="40" spans="1:106" ht="16.5" customHeight="1" x14ac:dyDescent="0.2">
      <c r="A40" s="463"/>
      <c r="B40" s="464"/>
      <c r="C40" s="464"/>
      <c r="D40" s="464"/>
      <c r="E40" s="492"/>
      <c r="F40" s="464"/>
      <c r="G40" s="464"/>
      <c r="H40" s="464"/>
      <c r="I40" s="464"/>
      <c r="J40" s="463"/>
      <c r="K40" s="489"/>
      <c r="L40" s="490"/>
      <c r="M40" s="485"/>
      <c r="N40" s="488"/>
      <c r="O40" s="489"/>
      <c r="P40" s="490"/>
      <c r="Q40" s="491"/>
      <c r="R40" s="188">
        <v>6</v>
      </c>
      <c r="S40" s="217"/>
      <c r="T40" s="184" t="str">
        <f t="shared" si="9"/>
        <v/>
      </c>
      <c r="U40" s="184"/>
      <c r="V40" s="184"/>
      <c r="W40" s="184"/>
      <c r="X40" s="184"/>
      <c r="Y40" s="228"/>
      <c r="Z40" s="228"/>
      <c r="AA40" s="174" t="str">
        <f t="shared" si="6"/>
        <v/>
      </c>
      <c r="AB40" s="228"/>
      <c r="AC40" s="228"/>
      <c r="AD40" s="228"/>
      <c r="AE40" s="180" t="str">
        <f>IFERROR(IF(AND(T39="Probabilidad",T40="Probabilidad"),(AG39-(+AG39*AA40)),IF(AND(T39="Impacto",T40="Probabilidad"),(AG38-(+AG38*AA40)),IF(T40="Impacto",AG39,""))),"")</f>
        <v/>
      </c>
      <c r="AF40" s="176" t="str">
        <f t="shared" si="4"/>
        <v/>
      </c>
      <c r="AG40" s="174" t="str">
        <f t="shared" si="7"/>
        <v/>
      </c>
      <c r="AH40" s="176" t="str">
        <f>IFERROR(IF(AI40="","",IF(AI40&lt;=0.2,"Leve",IF(AI40&lt;=0.4,"Menor",IF(AI40&lt;=0.6,"Moderado",IF(AI40&lt;=0.8,"Mayor","Catastrófico"))))),"")</f>
        <v/>
      </c>
      <c r="AI40" s="174" t="str">
        <f>IFERROR(IF(AND(T39="Impacto",T40="Impacto"),(AI39-(+AI39*AA40)),IF(AND(T39="Probabilidad",T40="Impacto"),(AI38-(+AI38*AA40)),IF(T40="Probabilidad",AI39,""))),"")</f>
        <v/>
      </c>
      <c r="AJ40" s="177" t="str">
        <f t="shared" si="8"/>
        <v/>
      </c>
      <c r="AK40" s="473"/>
      <c r="AL40" s="189"/>
      <c r="AM40" s="188"/>
      <c r="AN40" s="191"/>
      <c r="AO40" s="191"/>
      <c r="AP40" s="189"/>
      <c r="AQ40" s="191"/>
      <c r="AR40" s="189"/>
      <c r="AS40" s="148"/>
      <c r="AT40" s="143"/>
      <c r="AU40" s="148"/>
      <c r="AV40" s="143"/>
      <c r="AW40" s="147"/>
      <c r="AX40" s="143"/>
      <c r="AY40" s="143"/>
      <c r="AZ40" s="147"/>
      <c r="BA40" s="148"/>
      <c r="BB40" s="148"/>
      <c r="BC40" s="189"/>
      <c r="BD40" s="189"/>
      <c r="BE40" s="188"/>
      <c r="BF40" s="191"/>
      <c r="BG40" s="191"/>
      <c r="BH40" s="143"/>
      <c r="BI40" s="143"/>
      <c r="BJ40" s="147"/>
      <c r="BK40" s="148"/>
      <c r="BL40" s="148"/>
      <c r="BM40" s="143"/>
      <c r="BN40" s="143"/>
      <c r="BO40" s="147"/>
      <c r="BP40" s="148"/>
      <c r="BQ40" s="148"/>
      <c r="BR40" s="170"/>
      <c r="BS40" s="143"/>
      <c r="BT40" s="143"/>
      <c r="BU40" s="143"/>
      <c r="BV40" s="148"/>
      <c r="BW40" s="143"/>
      <c r="BX40" s="143"/>
      <c r="BY40" s="746"/>
      <c r="BZ40" s="143"/>
      <c r="CA40" s="147"/>
      <c r="CB40" s="143"/>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row>
    <row r="41" spans="1:106" ht="16.5" customHeight="1" x14ac:dyDescent="0.2">
      <c r="A41" s="463">
        <v>7</v>
      </c>
      <c r="B41" s="464"/>
      <c r="C41" s="464"/>
      <c r="D41" s="464"/>
      <c r="E41" s="492"/>
      <c r="F41" s="464"/>
      <c r="G41" s="464"/>
      <c r="H41" s="464"/>
      <c r="I41" s="464"/>
      <c r="J41" s="463"/>
      <c r="K41" s="489" t="str">
        <f>IF(J41&lt;=0,"",IF(J41&lt;=2,"Muy Baja",IF(J41&lt;=24,"Baja",IF(J41&lt;=500,"Media",IF(J41&lt;=5000,"Alta","Muy Alta")))))</f>
        <v/>
      </c>
      <c r="L41" s="490" t="str">
        <f>IF(K41="","",IF(K41="Muy Baja",0.2,IF(K41="Baja",0.4,IF(K41="Media",0.6,IF(K41="Alta",0.8,IF(K41="Muy Alta",1,))))))</f>
        <v/>
      </c>
      <c r="M41" s="485"/>
      <c r="N41" s="486">
        <f>IF(NOT(ISERROR(MATCH(M41,'Tabla Impacto'!$B$221:$B$223,0))),'Tabla Impacto'!$F$223&amp;"Por favor no seleccionar los criterios de impacto(Afectación Económica o presupuestal y Pérdida Reputacional)",M41)</f>
        <v>0</v>
      </c>
      <c r="O41" s="489" t="str">
        <f>IF(OR(N41='Tabla Impacto'!$C$11,N41='Tabla Impacto'!$D$11),"Leve",IF(OR(N41='Tabla Impacto'!$C$12,N41='Tabla Impacto'!$D$12),"Menor",IF(OR(N41='Tabla Impacto'!$C$13,N41='Tabla Impacto'!$D$13),"Moderado",IF(OR(N41='Tabla Impacto'!$C$14,N41='Tabla Impacto'!$D$14),"Mayor",IF(OR(N41='Tabla Impacto'!$C$15,N41='Tabla Impacto'!$D$15),"Catastrófico","")))))</f>
        <v/>
      </c>
      <c r="P41" s="490" t="str">
        <f>IF(O41="","",IF(O41="Leve",0.2,IF(O41="Menor",0.4,IF(O41="Moderado",0.6,IF(O41="Mayor",0.8,IF(O41="Catastrófico",1,))))))</f>
        <v/>
      </c>
      <c r="Q41" s="491"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8">
        <v>1</v>
      </c>
      <c r="S41" s="217"/>
      <c r="T41" s="184" t="str">
        <f t="shared" si="9"/>
        <v/>
      </c>
      <c r="U41" s="184"/>
      <c r="V41" s="184"/>
      <c r="W41" s="184"/>
      <c r="X41" s="184"/>
      <c r="Y41" s="228"/>
      <c r="Z41" s="228"/>
      <c r="AA41" s="174" t="str">
        <f t="shared" si="6"/>
        <v/>
      </c>
      <c r="AB41" s="228"/>
      <c r="AC41" s="228"/>
      <c r="AD41" s="228"/>
      <c r="AE41" s="180" t="str">
        <f>IFERROR(IF(T41="Probabilidad",(L41-(+L41*AA41)),IF(T41="Impacto",L41,"")),"")</f>
        <v/>
      </c>
      <c r="AF41" s="176" t="str">
        <f>IFERROR(IF(AE41="","",IF(AE41&lt;=0.2,"Muy Baja",IF(AE41&lt;=0.4,"Baja",IF(AE41&lt;=0.6,"Media",IF(AE41&lt;=0.8,"Alta","Muy Alta"))))),"")</f>
        <v/>
      </c>
      <c r="AG41" s="174" t="str">
        <f t="shared" si="7"/>
        <v/>
      </c>
      <c r="AH41" s="176" t="str">
        <f>IFERROR(IF(AI41="","",IF(AI41&lt;=0.2,"Leve",IF(AI41&lt;=0.4,"Menor",IF(AI41&lt;=0.6,"Moderado",IF(AI41&lt;=0.8,"Mayor","Catastrófico"))))),"")</f>
        <v/>
      </c>
      <c r="AI41" s="174" t="str">
        <f>IFERROR(IF(T41="Impacto",(P41-(+P41*AA41)),IF(T41="Probabilidad",P41,"")),"")</f>
        <v/>
      </c>
      <c r="AJ41" s="177" t="str">
        <f t="shared" si="8"/>
        <v/>
      </c>
      <c r="AK41" s="471"/>
      <c r="AL41" s="189"/>
      <c r="AM41" s="188"/>
      <c r="AN41" s="191"/>
      <c r="AO41" s="191"/>
      <c r="AP41" s="189"/>
      <c r="AQ41" s="191"/>
      <c r="AR41" s="189"/>
      <c r="AS41" s="148"/>
      <c r="AT41" s="143"/>
      <c r="AU41" s="148"/>
      <c r="AV41" s="143"/>
      <c r="AW41" s="147"/>
      <c r="AX41" s="143"/>
      <c r="AY41" s="143"/>
      <c r="AZ41" s="147"/>
      <c r="BA41" s="148"/>
      <c r="BB41" s="148"/>
      <c r="BC41" s="189"/>
      <c r="BD41" s="189"/>
      <c r="BE41" s="188"/>
      <c r="BF41" s="191"/>
      <c r="BG41" s="191"/>
      <c r="BH41" s="143"/>
      <c r="BI41" s="143"/>
      <c r="BJ41" s="147"/>
      <c r="BK41" s="148"/>
      <c r="BL41" s="148"/>
      <c r="BM41" s="143"/>
      <c r="BN41" s="143"/>
      <c r="BO41" s="147"/>
      <c r="BP41" s="148"/>
      <c r="BQ41" s="148"/>
      <c r="BR41" s="170"/>
      <c r="BS41" s="143"/>
      <c r="BT41" s="143"/>
      <c r="BU41" s="143"/>
      <c r="BV41" s="148"/>
      <c r="BW41" s="143"/>
      <c r="BX41" s="143"/>
      <c r="BY41" s="746"/>
      <c r="BZ41" s="143"/>
      <c r="CA41" s="147"/>
      <c r="CB41" s="143"/>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row>
    <row r="42" spans="1:106" ht="16.5" customHeight="1" x14ac:dyDescent="0.2">
      <c r="A42" s="463"/>
      <c r="B42" s="464"/>
      <c r="C42" s="464"/>
      <c r="D42" s="464"/>
      <c r="E42" s="492"/>
      <c r="F42" s="464"/>
      <c r="G42" s="464"/>
      <c r="H42" s="464"/>
      <c r="I42" s="464"/>
      <c r="J42" s="463"/>
      <c r="K42" s="489"/>
      <c r="L42" s="490"/>
      <c r="M42" s="485"/>
      <c r="N42" s="487"/>
      <c r="O42" s="489"/>
      <c r="P42" s="490"/>
      <c r="Q42" s="491"/>
      <c r="R42" s="188">
        <v>2</v>
      </c>
      <c r="S42" s="217"/>
      <c r="T42" s="184" t="str">
        <f t="shared" si="9"/>
        <v/>
      </c>
      <c r="U42" s="184"/>
      <c r="V42" s="184"/>
      <c r="W42" s="184"/>
      <c r="X42" s="184"/>
      <c r="Y42" s="228"/>
      <c r="Z42" s="228"/>
      <c r="AA42" s="174" t="str">
        <f t="shared" si="6"/>
        <v/>
      </c>
      <c r="AB42" s="228"/>
      <c r="AC42" s="228"/>
      <c r="AD42" s="228"/>
      <c r="AE42" s="180" t="str">
        <f>IFERROR(IF(AND(T41="Probabilidad",T42="Probabilidad"),(AG41-(+AG41*AA42)),IF(T42="Probabilidad",(L41-(+L41*AA42)),IF(T42="Impacto",AG41,""))),"")</f>
        <v/>
      </c>
      <c r="AF42" s="176" t="str">
        <f t="shared" si="4"/>
        <v/>
      </c>
      <c r="AG42" s="174" t="str">
        <f t="shared" si="7"/>
        <v/>
      </c>
      <c r="AH42" s="176" t="str">
        <f t="shared" si="5"/>
        <v/>
      </c>
      <c r="AI42" s="174" t="str">
        <f>IFERROR(IF(AND(T41="Impacto",T42="Impacto"),(AI35-(+AI35*AA42)),IF(T42="Impacto",($P$41-(+$P$41*AA42)),IF(T42="Probabilidad",AI35,""))),"")</f>
        <v/>
      </c>
      <c r="AJ42" s="177" t="str">
        <f t="shared" si="8"/>
        <v/>
      </c>
      <c r="AK42" s="472"/>
      <c r="AL42" s="189"/>
      <c r="AM42" s="188"/>
      <c r="AN42" s="191"/>
      <c r="AO42" s="191"/>
      <c r="AP42" s="189"/>
      <c r="AQ42" s="191"/>
      <c r="AR42" s="189"/>
      <c r="AS42" s="148"/>
      <c r="AT42" s="143"/>
      <c r="AU42" s="148"/>
      <c r="AV42" s="143"/>
      <c r="AW42" s="147"/>
      <c r="AX42" s="143"/>
      <c r="AY42" s="143"/>
      <c r="AZ42" s="147"/>
      <c r="BA42" s="148"/>
      <c r="BB42" s="148"/>
      <c r="BC42" s="189"/>
      <c r="BD42" s="189"/>
      <c r="BE42" s="188"/>
      <c r="BF42" s="191"/>
      <c r="BG42" s="191"/>
      <c r="BH42" s="143"/>
      <c r="BI42" s="143"/>
      <c r="BJ42" s="147"/>
      <c r="BK42" s="148"/>
      <c r="BL42" s="148"/>
      <c r="BM42" s="143"/>
      <c r="BN42" s="143"/>
      <c r="BO42" s="147"/>
      <c r="BP42" s="148"/>
      <c r="BQ42" s="148"/>
      <c r="BR42" s="170"/>
      <c r="BS42" s="143"/>
      <c r="BT42" s="143"/>
      <c r="BU42" s="143"/>
      <c r="BV42" s="148"/>
      <c r="BW42" s="143"/>
      <c r="BX42" s="143"/>
      <c r="BY42" s="746"/>
      <c r="BZ42" s="143"/>
      <c r="CA42" s="147"/>
      <c r="CB42" s="143"/>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row>
    <row r="43" spans="1:106" ht="16.5" customHeight="1" x14ac:dyDescent="0.2">
      <c r="A43" s="463"/>
      <c r="B43" s="464"/>
      <c r="C43" s="464"/>
      <c r="D43" s="464"/>
      <c r="E43" s="492"/>
      <c r="F43" s="464"/>
      <c r="G43" s="464"/>
      <c r="H43" s="464"/>
      <c r="I43" s="464"/>
      <c r="J43" s="463"/>
      <c r="K43" s="489"/>
      <c r="L43" s="490"/>
      <c r="M43" s="485"/>
      <c r="N43" s="487"/>
      <c r="O43" s="489"/>
      <c r="P43" s="490"/>
      <c r="Q43" s="491"/>
      <c r="R43" s="188">
        <v>3</v>
      </c>
      <c r="S43" s="217"/>
      <c r="T43" s="184" t="str">
        <f t="shared" si="9"/>
        <v/>
      </c>
      <c r="U43" s="184"/>
      <c r="V43" s="184"/>
      <c r="W43" s="184"/>
      <c r="X43" s="184"/>
      <c r="Y43" s="228"/>
      <c r="Z43" s="228"/>
      <c r="AA43" s="174" t="str">
        <f t="shared" si="6"/>
        <v/>
      </c>
      <c r="AB43" s="228"/>
      <c r="AC43" s="228"/>
      <c r="AD43" s="228"/>
      <c r="AE43" s="180" t="str">
        <f>IFERROR(IF(AND(T42="Probabilidad",T43="Probabilidad"),(AG42-(+AG42*AA43)),IF(AND(T42="Impacto",T43="Probabilidad"),(AG41-(+AG41*AA43)),IF(T43="Impacto",AG42,""))),"")</f>
        <v/>
      </c>
      <c r="AF43" s="176" t="str">
        <f t="shared" si="4"/>
        <v/>
      </c>
      <c r="AG43" s="174" t="str">
        <f t="shared" si="7"/>
        <v/>
      </c>
      <c r="AH43" s="176" t="str">
        <f t="shared" si="5"/>
        <v/>
      </c>
      <c r="AI43" s="174" t="str">
        <f>IFERROR(IF(AND(T42="Impacto",T43="Impacto"),(AI42-(+AI42*AA43)),IF(AND(T42="Probabilidad",T43="Impacto"),(AI41-(+AI41*AA43)),IF(T43="Probabilidad",AI42,""))),"")</f>
        <v/>
      </c>
      <c r="AJ43" s="177" t="str">
        <f t="shared" si="8"/>
        <v/>
      </c>
      <c r="AK43" s="472"/>
      <c r="AL43" s="189"/>
      <c r="AM43" s="188"/>
      <c r="AN43" s="191"/>
      <c r="AO43" s="148"/>
      <c r="AP43" s="143"/>
      <c r="AQ43" s="148"/>
      <c r="AR43" s="143"/>
      <c r="AS43" s="148"/>
      <c r="AT43" s="143"/>
      <c r="AU43" s="148"/>
      <c r="AV43" s="143"/>
      <c r="AW43" s="147"/>
      <c r="AX43" s="143"/>
      <c r="AY43" s="143"/>
      <c r="AZ43" s="147"/>
      <c r="BA43" s="148"/>
      <c r="BB43" s="148"/>
      <c r="BC43" s="189"/>
      <c r="BD43" s="189"/>
      <c r="BE43" s="188"/>
      <c r="BF43" s="191"/>
      <c r="BG43" s="191"/>
      <c r="BH43" s="143"/>
      <c r="BI43" s="143"/>
      <c r="BJ43" s="147"/>
      <c r="BK43" s="148"/>
      <c r="BL43" s="148"/>
      <c r="BM43" s="143"/>
      <c r="BN43" s="143"/>
      <c r="BO43" s="147"/>
      <c r="BP43" s="148"/>
      <c r="BQ43" s="148"/>
      <c r="BR43" s="170"/>
      <c r="BS43" s="143"/>
      <c r="BT43" s="143"/>
      <c r="BU43" s="143"/>
      <c r="BV43" s="148"/>
      <c r="BW43" s="143"/>
      <c r="BX43" s="143"/>
      <c r="BY43" s="746"/>
      <c r="BZ43" s="143"/>
      <c r="CA43" s="147"/>
      <c r="CB43" s="143"/>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row>
    <row r="44" spans="1:106" ht="16.5" customHeight="1" x14ac:dyDescent="0.2">
      <c r="A44" s="463"/>
      <c r="B44" s="464"/>
      <c r="C44" s="464"/>
      <c r="D44" s="464"/>
      <c r="E44" s="492"/>
      <c r="F44" s="464"/>
      <c r="G44" s="464"/>
      <c r="H44" s="464"/>
      <c r="I44" s="464"/>
      <c r="J44" s="463"/>
      <c r="K44" s="489"/>
      <c r="L44" s="490"/>
      <c r="M44" s="485"/>
      <c r="N44" s="487"/>
      <c r="O44" s="489"/>
      <c r="P44" s="490"/>
      <c r="Q44" s="491"/>
      <c r="R44" s="188">
        <v>4</v>
      </c>
      <c r="S44" s="217"/>
      <c r="T44" s="184" t="str">
        <f t="shared" si="9"/>
        <v/>
      </c>
      <c r="U44" s="184"/>
      <c r="V44" s="184"/>
      <c r="W44" s="184"/>
      <c r="X44" s="184"/>
      <c r="Y44" s="228"/>
      <c r="Z44" s="228"/>
      <c r="AA44" s="174" t="str">
        <f t="shared" si="6"/>
        <v/>
      </c>
      <c r="AB44" s="228"/>
      <c r="AC44" s="228"/>
      <c r="AD44" s="228"/>
      <c r="AE44" s="180" t="str">
        <f>IFERROR(IF(AND(T43="Probabilidad",T44="Probabilidad"),(AG43-(+AG43*AA44)),IF(AND(T43="Impacto",T44="Probabilidad"),(AG42-(+AG42*AA44)),IF(T44="Impacto",AG43,""))),"")</f>
        <v/>
      </c>
      <c r="AF44" s="176" t="str">
        <f t="shared" si="4"/>
        <v/>
      </c>
      <c r="AG44" s="174" t="str">
        <f t="shared" si="7"/>
        <v/>
      </c>
      <c r="AH44" s="176" t="str">
        <f t="shared" si="5"/>
        <v/>
      </c>
      <c r="AI44" s="174" t="str">
        <f>IFERROR(IF(AND(T43="Impacto",T44="Impacto"),(AI43-(+AI43*AA44)),IF(AND(T43="Probabilidad",T44="Impacto"),(AI42-(+AI42*AA44)),IF(T44="Probabilidad",AI43,""))),"")</f>
        <v/>
      </c>
      <c r="AJ44" s="177" t="str">
        <f t="shared" si="8"/>
        <v/>
      </c>
      <c r="AK44" s="472"/>
      <c r="AL44" s="189"/>
      <c r="AM44" s="188"/>
      <c r="AN44" s="191"/>
      <c r="AO44" s="148"/>
      <c r="AP44" s="143"/>
      <c r="AQ44" s="148"/>
      <c r="AR44" s="143"/>
      <c r="AS44" s="148"/>
      <c r="AT44" s="143"/>
      <c r="AU44" s="148"/>
      <c r="AV44" s="143"/>
      <c r="AW44" s="147"/>
      <c r="AX44" s="143"/>
      <c r="AY44" s="143"/>
      <c r="AZ44" s="147"/>
      <c r="BA44" s="148"/>
      <c r="BB44" s="148"/>
      <c r="BC44" s="189"/>
      <c r="BD44" s="189"/>
      <c r="BE44" s="188"/>
      <c r="BF44" s="191"/>
      <c r="BG44" s="191"/>
      <c r="BH44" s="143"/>
      <c r="BI44" s="143"/>
      <c r="BJ44" s="147"/>
      <c r="BK44" s="148"/>
      <c r="BL44" s="148"/>
      <c r="BM44" s="143"/>
      <c r="BN44" s="143"/>
      <c r="BO44" s="147"/>
      <c r="BP44" s="148"/>
      <c r="BQ44" s="148"/>
      <c r="BR44" s="170"/>
      <c r="BS44" s="143"/>
      <c r="BT44" s="143"/>
      <c r="BU44" s="143"/>
      <c r="BV44" s="148"/>
      <c r="BW44" s="143"/>
      <c r="BX44" s="143"/>
      <c r="BY44" s="746"/>
      <c r="BZ44" s="143"/>
      <c r="CA44" s="147"/>
      <c r="CB44" s="143"/>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row>
    <row r="45" spans="1:106" ht="16.5" customHeight="1" x14ac:dyDescent="0.2">
      <c r="A45" s="463"/>
      <c r="B45" s="464"/>
      <c r="C45" s="464"/>
      <c r="D45" s="464"/>
      <c r="E45" s="492"/>
      <c r="F45" s="464"/>
      <c r="G45" s="464"/>
      <c r="H45" s="464"/>
      <c r="I45" s="464"/>
      <c r="J45" s="463"/>
      <c r="K45" s="489"/>
      <c r="L45" s="490"/>
      <c r="M45" s="485"/>
      <c r="N45" s="487"/>
      <c r="O45" s="489"/>
      <c r="P45" s="490"/>
      <c r="Q45" s="491"/>
      <c r="R45" s="188">
        <v>5</v>
      </c>
      <c r="S45" s="217"/>
      <c r="T45" s="184" t="str">
        <f t="shared" si="9"/>
        <v/>
      </c>
      <c r="U45" s="184"/>
      <c r="V45" s="184"/>
      <c r="W45" s="184"/>
      <c r="X45" s="184"/>
      <c r="Y45" s="228"/>
      <c r="Z45" s="228"/>
      <c r="AA45" s="174" t="str">
        <f t="shared" si="6"/>
        <v/>
      </c>
      <c r="AB45" s="228"/>
      <c r="AC45" s="228"/>
      <c r="AD45" s="228"/>
      <c r="AE45" s="180" t="str">
        <f>IFERROR(IF(AND(T44="Probabilidad",T45="Probabilidad"),(AG44-(+AG44*AA45)),IF(AND(T44="Impacto",T45="Probabilidad"),(AG43-(+AG43*AA45)),IF(T45="Impacto",AG44,""))),"")</f>
        <v/>
      </c>
      <c r="AF45" s="176" t="str">
        <f t="shared" si="4"/>
        <v/>
      </c>
      <c r="AG45" s="174" t="str">
        <f t="shared" si="7"/>
        <v/>
      </c>
      <c r="AH45" s="176" t="str">
        <f t="shared" si="5"/>
        <v/>
      </c>
      <c r="AI45" s="174" t="str">
        <f>IFERROR(IF(AND(T44="Impacto",T45="Impacto"),(AI44-(+AI44*AA45)),IF(AND(T44="Probabilidad",T45="Impacto"),(AI43-(+AI43*AA45)),IF(T45="Probabilidad",AI44,""))),"")</f>
        <v/>
      </c>
      <c r="AJ45" s="177" t="str">
        <f t="shared" si="8"/>
        <v/>
      </c>
      <c r="AK45" s="472"/>
      <c r="AL45" s="189"/>
      <c r="AM45" s="188"/>
      <c r="AN45" s="191"/>
      <c r="AO45" s="148"/>
      <c r="AP45" s="143"/>
      <c r="AQ45" s="148"/>
      <c r="AR45" s="143"/>
      <c r="AS45" s="148"/>
      <c r="AT45" s="143"/>
      <c r="AU45" s="148"/>
      <c r="AV45" s="143"/>
      <c r="AW45" s="147"/>
      <c r="AX45" s="143"/>
      <c r="AY45" s="143"/>
      <c r="AZ45" s="147"/>
      <c r="BA45" s="148"/>
      <c r="BB45" s="148"/>
      <c r="BC45" s="189"/>
      <c r="BD45" s="189"/>
      <c r="BE45" s="188"/>
      <c r="BF45" s="191"/>
      <c r="BG45" s="191"/>
      <c r="BH45" s="143"/>
      <c r="BI45" s="143"/>
      <c r="BJ45" s="147"/>
      <c r="BK45" s="148"/>
      <c r="BL45" s="148"/>
      <c r="BM45" s="143"/>
      <c r="BN45" s="143"/>
      <c r="BO45" s="147"/>
      <c r="BP45" s="148"/>
      <c r="BQ45" s="148"/>
      <c r="BR45" s="170"/>
      <c r="BS45" s="143"/>
      <c r="BT45" s="143"/>
      <c r="BU45" s="143"/>
      <c r="BV45" s="148"/>
      <c r="BW45" s="143"/>
      <c r="BX45" s="143"/>
      <c r="BY45" s="746"/>
      <c r="BZ45" s="143"/>
      <c r="CA45" s="147"/>
      <c r="CB45" s="143"/>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row>
    <row r="46" spans="1:106" ht="16.5" customHeight="1" x14ac:dyDescent="0.2">
      <c r="A46" s="463"/>
      <c r="B46" s="464"/>
      <c r="C46" s="464"/>
      <c r="D46" s="464"/>
      <c r="E46" s="492"/>
      <c r="F46" s="464"/>
      <c r="G46" s="464"/>
      <c r="H46" s="464"/>
      <c r="I46" s="464"/>
      <c r="J46" s="463"/>
      <c r="K46" s="489"/>
      <c r="L46" s="490"/>
      <c r="M46" s="485"/>
      <c r="N46" s="488"/>
      <c r="O46" s="489"/>
      <c r="P46" s="490"/>
      <c r="Q46" s="491"/>
      <c r="R46" s="188">
        <v>6</v>
      </c>
      <c r="S46" s="217"/>
      <c r="T46" s="184" t="str">
        <f t="shared" si="9"/>
        <v/>
      </c>
      <c r="U46" s="184"/>
      <c r="V46" s="184"/>
      <c r="W46" s="184"/>
      <c r="X46" s="184"/>
      <c r="Y46" s="228"/>
      <c r="Z46" s="228"/>
      <c r="AA46" s="174" t="str">
        <f t="shared" si="6"/>
        <v/>
      </c>
      <c r="AB46" s="228"/>
      <c r="AC46" s="228"/>
      <c r="AD46" s="228"/>
      <c r="AE46" s="180" t="str">
        <f>IFERROR(IF(AND(T45="Probabilidad",T46="Probabilidad"),(AG45-(+AG45*AA46)),IF(AND(T45="Impacto",T46="Probabilidad"),(AG44-(+AG44*AA46)),IF(T46="Impacto",AG45,""))),"")</f>
        <v/>
      </c>
      <c r="AF46" s="176" t="str">
        <f t="shared" si="4"/>
        <v/>
      </c>
      <c r="AG46" s="174" t="str">
        <f t="shared" si="7"/>
        <v/>
      </c>
      <c r="AH46" s="176" t="str">
        <f t="shared" si="5"/>
        <v/>
      </c>
      <c r="AI46" s="174" t="str">
        <f>IFERROR(IF(AND(T45="Impacto",T46="Impacto"),(AI45-(+AI45*AA46)),IF(AND(T45="Probabilidad",T46="Impacto"),(AI44-(+AI44*AA46)),IF(T46="Probabilidad",AI45,""))),"")</f>
        <v/>
      </c>
      <c r="AJ46" s="177" t="str">
        <f t="shared" si="8"/>
        <v/>
      </c>
      <c r="AK46" s="473"/>
      <c r="AL46" s="189"/>
      <c r="AM46" s="188"/>
      <c r="AN46" s="191"/>
      <c r="AO46" s="148"/>
      <c r="AP46" s="143"/>
      <c r="AQ46" s="148"/>
      <c r="AR46" s="143"/>
      <c r="AS46" s="148"/>
      <c r="AT46" s="143"/>
      <c r="AU46" s="148"/>
      <c r="AV46" s="143"/>
      <c r="AW46" s="147"/>
      <c r="AX46" s="143"/>
      <c r="AY46" s="143"/>
      <c r="AZ46" s="147"/>
      <c r="BA46" s="148"/>
      <c r="BB46" s="148"/>
      <c r="BC46" s="189"/>
      <c r="BD46" s="189"/>
      <c r="BE46" s="188"/>
      <c r="BF46" s="191"/>
      <c r="BG46" s="191"/>
      <c r="BH46" s="143"/>
      <c r="BI46" s="143"/>
      <c r="BJ46" s="147"/>
      <c r="BK46" s="148"/>
      <c r="BL46" s="148"/>
      <c r="BM46" s="143"/>
      <c r="BN46" s="143"/>
      <c r="BO46" s="147"/>
      <c r="BP46" s="148"/>
      <c r="BQ46" s="148"/>
      <c r="BR46" s="170"/>
      <c r="BS46" s="143"/>
      <c r="BT46" s="143"/>
      <c r="BU46" s="143"/>
      <c r="BV46" s="148"/>
      <c r="BW46" s="143"/>
      <c r="BX46" s="143"/>
      <c r="BY46" s="746"/>
      <c r="BZ46" s="143"/>
      <c r="CA46" s="147"/>
      <c r="CB46" s="143"/>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row>
    <row r="47" spans="1:106" ht="16.5" customHeight="1" x14ac:dyDescent="0.2">
      <c r="A47" s="463">
        <v>8</v>
      </c>
      <c r="B47" s="464"/>
      <c r="C47" s="464"/>
      <c r="D47" s="464"/>
      <c r="E47" s="492"/>
      <c r="F47" s="464"/>
      <c r="G47" s="464"/>
      <c r="H47" s="464"/>
      <c r="I47" s="464"/>
      <c r="J47" s="463"/>
      <c r="K47" s="489" t="str">
        <f>IF(J47&lt;=0,"",IF(J47&lt;=2,"Muy Baja",IF(J47&lt;=24,"Baja",IF(J47&lt;=500,"Media",IF(J47&lt;=5000,"Alta","Muy Alta")))))</f>
        <v/>
      </c>
      <c r="L47" s="490" t="str">
        <f>IF(K47="","",IF(K47="Muy Baja",0.2,IF(K47="Baja",0.4,IF(K47="Media",0.6,IF(K47="Alta",0.8,IF(K47="Muy Alta",1,))))))</f>
        <v/>
      </c>
      <c r="M47" s="485"/>
      <c r="N47" s="486">
        <f>IF(NOT(ISERROR(MATCH(M47,'Tabla Impacto'!$B$221:$B$223,0))),'Tabla Impacto'!$F$223&amp;"Por favor no seleccionar los criterios de impacto(Afectación Económica o presupuestal y Pérdida Reputacional)",M47)</f>
        <v>0</v>
      </c>
      <c r="O47" s="489" t="str">
        <f>IF(OR(N47='Tabla Impacto'!$C$11,N47='Tabla Impacto'!$D$11),"Leve",IF(OR(N47='Tabla Impacto'!$C$12,N47='Tabla Impacto'!$D$12),"Menor",IF(OR(N47='Tabla Impacto'!$C$13,N47='Tabla Impacto'!$D$13),"Moderado",IF(OR(N47='Tabla Impacto'!$C$14,N47='Tabla Impacto'!$D$14),"Mayor",IF(OR(N47='Tabla Impacto'!$C$15,N47='Tabla Impacto'!$D$15),"Catastrófico","")))))</f>
        <v/>
      </c>
      <c r="P47" s="490" t="str">
        <f>IF(O47="","",IF(O47="Leve",0.2,IF(O47="Menor",0.4,IF(O47="Moderado",0.6,IF(O47="Mayor",0.8,IF(O47="Catastrófico",1,))))))</f>
        <v/>
      </c>
      <c r="Q47" s="491"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8">
        <v>1</v>
      </c>
      <c r="S47" s="217"/>
      <c r="T47" s="184" t="str">
        <f t="shared" si="9"/>
        <v/>
      </c>
      <c r="U47" s="184"/>
      <c r="V47" s="184"/>
      <c r="W47" s="184"/>
      <c r="X47" s="184"/>
      <c r="Y47" s="228"/>
      <c r="Z47" s="228"/>
      <c r="AA47" s="174" t="str">
        <f t="shared" si="6"/>
        <v/>
      </c>
      <c r="AB47" s="228"/>
      <c r="AC47" s="228"/>
      <c r="AD47" s="228"/>
      <c r="AE47" s="180" t="str">
        <f>IFERROR(IF(T47="Probabilidad",(L47-(+L47*AA47)),IF(T47="Impacto",L47,"")),"")</f>
        <v/>
      </c>
      <c r="AF47" s="176" t="str">
        <f>IFERROR(IF(AE47="","",IF(AE47&lt;=0.2,"Muy Baja",IF(AE47&lt;=0.4,"Baja",IF(AE47&lt;=0.6,"Media",IF(AE47&lt;=0.8,"Alta","Muy Alta"))))),"")</f>
        <v/>
      </c>
      <c r="AG47" s="174" t="str">
        <f t="shared" si="7"/>
        <v/>
      </c>
      <c r="AH47" s="176" t="str">
        <f>IFERROR(IF(AI47="","",IF(AI47&lt;=0.2,"Leve",IF(AI47&lt;=0.4,"Menor",IF(AI47&lt;=0.6,"Moderado",IF(AI47&lt;=0.8,"Mayor","Catastrófico"))))),"")</f>
        <v/>
      </c>
      <c r="AI47" s="174" t="str">
        <f>IFERROR(IF(T47="Impacto",(P47-(+P47*AA47)),IF(T47="Probabilidad",P47,"")),"")</f>
        <v/>
      </c>
      <c r="AJ47" s="177" t="str">
        <f t="shared" si="8"/>
        <v/>
      </c>
      <c r="AK47" s="471"/>
      <c r="AL47" s="189"/>
      <c r="AM47" s="188"/>
      <c r="AN47" s="191"/>
      <c r="AO47" s="148"/>
      <c r="AP47" s="143"/>
      <c r="AQ47" s="148"/>
      <c r="AR47" s="143"/>
      <c r="AS47" s="148"/>
      <c r="AT47" s="143"/>
      <c r="AU47" s="148"/>
      <c r="AV47" s="143"/>
      <c r="AW47" s="147"/>
      <c r="AX47" s="143"/>
      <c r="AY47" s="143"/>
      <c r="AZ47" s="147"/>
      <c r="BA47" s="148"/>
      <c r="BB47" s="148"/>
      <c r="BC47" s="189"/>
      <c r="BD47" s="189"/>
      <c r="BE47" s="188"/>
      <c r="BF47" s="191"/>
      <c r="BG47" s="191"/>
      <c r="BH47" s="143"/>
      <c r="BI47" s="143"/>
      <c r="BJ47" s="147"/>
      <c r="BK47" s="148"/>
      <c r="BL47" s="148"/>
      <c r="BM47" s="143"/>
      <c r="BN47" s="143"/>
      <c r="BO47" s="147"/>
      <c r="BP47" s="148"/>
      <c r="BQ47" s="148"/>
      <c r="BR47" s="170"/>
      <c r="BS47" s="143"/>
      <c r="BT47" s="143"/>
      <c r="BU47" s="143"/>
      <c r="BV47" s="148"/>
      <c r="BW47" s="143"/>
      <c r="BX47" s="143"/>
      <c r="BY47" s="746"/>
      <c r="BZ47" s="143"/>
      <c r="CA47" s="147"/>
      <c r="CB47" s="143"/>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row>
    <row r="48" spans="1:106" ht="16.5" customHeight="1" x14ac:dyDescent="0.2">
      <c r="A48" s="463"/>
      <c r="B48" s="464"/>
      <c r="C48" s="464"/>
      <c r="D48" s="464"/>
      <c r="E48" s="492"/>
      <c r="F48" s="464"/>
      <c r="G48" s="464"/>
      <c r="H48" s="464"/>
      <c r="I48" s="464"/>
      <c r="J48" s="463"/>
      <c r="K48" s="489"/>
      <c r="L48" s="490"/>
      <c r="M48" s="485"/>
      <c r="N48" s="487"/>
      <c r="O48" s="489"/>
      <c r="P48" s="490"/>
      <c r="Q48" s="491"/>
      <c r="R48" s="188">
        <v>2</v>
      </c>
      <c r="S48" s="217"/>
      <c r="T48" s="184" t="str">
        <f t="shared" si="9"/>
        <v/>
      </c>
      <c r="U48" s="184"/>
      <c r="V48" s="184"/>
      <c r="W48" s="184"/>
      <c r="X48" s="184"/>
      <c r="Y48" s="228"/>
      <c r="Z48" s="228"/>
      <c r="AA48" s="174" t="str">
        <f t="shared" si="6"/>
        <v/>
      </c>
      <c r="AB48" s="228"/>
      <c r="AC48" s="228"/>
      <c r="AD48" s="228"/>
      <c r="AE48" s="180" t="str">
        <f>IFERROR(IF(AND(T47="Probabilidad",T48="Probabilidad"),(AG47-(+AG47*AA48)),IF(T48="Probabilidad",(L47-(+L47*AA48)),IF(T48="Impacto",AG47,""))),"")</f>
        <v/>
      </c>
      <c r="AF48" s="176" t="str">
        <f t="shared" si="4"/>
        <v/>
      </c>
      <c r="AG48" s="174" t="str">
        <f t="shared" si="7"/>
        <v/>
      </c>
      <c r="AH48" s="176" t="str">
        <f t="shared" si="5"/>
        <v/>
      </c>
      <c r="AI48" s="174" t="str">
        <f>IFERROR(IF(AND(T47="Impacto",T48="Impacto"),(AI41-(+AI41*AA48)),IF(T48="Impacto",($P$47-(+$P$47*AA48)),IF(T48="Probabilidad",AI41,""))),"")</f>
        <v/>
      </c>
      <c r="AJ48" s="177" t="str">
        <f t="shared" si="8"/>
        <v/>
      </c>
      <c r="AK48" s="472"/>
      <c r="AL48" s="189"/>
      <c r="AM48" s="188"/>
      <c r="AN48" s="191"/>
      <c r="AO48" s="148"/>
      <c r="AP48" s="143"/>
      <c r="AQ48" s="148"/>
      <c r="AR48" s="143"/>
      <c r="AS48" s="148"/>
      <c r="AT48" s="143"/>
      <c r="AU48" s="148"/>
      <c r="AV48" s="143"/>
      <c r="AW48" s="147"/>
      <c r="AX48" s="143"/>
      <c r="AY48" s="143"/>
      <c r="AZ48" s="147"/>
      <c r="BA48" s="148"/>
      <c r="BB48" s="148"/>
      <c r="BC48" s="189"/>
      <c r="BD48" s="189"/>
      <c r="BE48" s="188"/>
      <c r="BF48" s="191"/>
      <c r="BG48" s="191"/>
      <c r="BH48" s="143"/>
      <c r="BI48" s="143"/>
      <c r="BJ48" s="147"/>
      <c r="BK48" s="148"/>
      <c r="BL48" s="148"/>
      <c r="BM48" s="143"/>
      <c r="BN48" s="143"/>
      <c r="BO48" s="147"/>
      <c r="BP48" s="148"/>
      <c r="BQ48" s="148"/>
      <c r="BR48" s="170"/>
      <c r="BS48" s="143"/>
      <c r="BT48" s="143"/>
      <c r="BU48" s="143"/>
      <c r="BV48" s="148"/>
      <c r="BW48" s="143"/>
      <c r="BX48" s="143"/>
      <c r="BY48" s="746"/>
      <c r="BZ48" s="143"/>
      <c r="CA48" s="147"/>
      <c r="CB48" s="143"/>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row>
    <row r="49" spans="1:106" ht="16.5" customHeight="1" x14ac:dyDescent="0.2">
      <c r="A49" s="463"/>
      <c r="B49" s="464"/>
      <c r="C49" s="464"/>
      <c r="D49" s="464"/>
      <c r="E49" s="492"/>
      <c r="F49" s="464"/>
      <c r="G49" s="464"/>
      <c r="H49" s="464"/>
      <c r="I49" s="464"/>
      <c r="J49" s="463"/>
      <c r="K49" s="489"/>
      <c r="L49" s="490"/>
      <c r="M49" s="485"/>
      <c r="N49" s="487"/>
      <c r="O49" s="489"/>
      <c r="P49" s="490"/>
      <c r="Q49" s="491"/>
      <c r="R49" s="188">
        <v>3</v>
      </c>
      <c r="S49" s="217"/>
      <c r="T49" s="184" t="str">
        <f t="shared" si="9"/>
        <v/>
      </c>
      <c r="U49" s="184"/>
      <c r="V49" s="184"/>
      <c r="W49" s="184"/>
      <c r="X49" s="184"/>
      <c r="Y49" s="228"/>
      <c r="Z49" s="228"/>
      <c r="AA49" s="174" t="str">
        <f t="shared" si="6"/>
        <v/>
      </c>
      <c r="AB49" s="228"/>
      <c r="AC49" s="228"/>
      <c r="AD49" s="228"/>
      <c r="AE49" s="180" t="str">
        <f>IFERROR(IF(AND(T48="Probabilidad",T49="Probabilidad"),(AG48-(+AG48*AA49)),IF(AND(T48="Impacto",T49="Probabilidad"),(AG47-(+AG47*AA49)),IF(T49="Impacto",AG48,""))),"")</f>
        <v/>
      </c>
      <c r="AF49" s="176" t="str">
        <f t="shared" si="4"/>
        <v/>
      </c>
      <c r="AG49" s="174" t="str">
        <f t="shared" si="7"/>
        <v/>
      </c>
      <c r="AH49" s="176" t="str">
        <f t="shared" si="5"/>
        <v/>
      </c>
      <c r="AI49" s="174" t="str">
        <f>IFERROR(IF(AND(T48="Impacto",T49="Impacto"),(AI48-(+AI48*AA49)),IF(AND(T48="Probabilidad",T49="Impacto"),(AI47-(+AI47*AA49)),IF(T49="Probabilidad",AI48,""))),"")</f>
        <v/>
      </c>
      <c r="AJ49" s="177" t="str">
        <f t="shared" si="8"/>
        <v/>
      </c>
      <c r="AK49" s="472"/>
      <c r="AL49" s="189"/>
      <c r="AM49" s="188"/>
      <c r="AN49" s="191"/>
      <c r="AO49" s="148"/>
      <c r="AP49" s="143"/>
      <c r="AQ49" s="148"/>
      <c r="AR49" s="143"/>
      <c r="AS49" s="148"/>
      <c r="AT49" s="143"/>
      <c r="AU49" s="148"/>
      <c r="AV49" s="143"/>
      <c r="AW49" s="147"/>
      <c r="AX49" s="143"/>
      <c r="AY49" s="143"/>
      <c r="AZ49" s="147"/>
      <c r="BA49" s="148"/>
      <c r="BB49" s="148"/>
      <c r="BC49" s="189"/>
      <c r="BD49" s="189"/>
      <c r="BE49" s="188"/>
      <c r="BF49" s="191"/>
      <c r="BG49" s="191"/>
      <c r="BH49" s="143"/>
      <c r="BI49" s="143"/>
      <c r="BJ49" s="147"/>
      <c r="BK49" s="148"/>
      <c r="BL49" s="148"/>
      <c r="BM49" s="143"/>
      <c r="BN49" s="143"/>
      <c r="BO49" s="147"/>
      <c r="BP49" s="148"/>
      <c r="BQ49" s="148"/>
      <c r="BR49" s="170"/>
      <c r="BS49" s="143"/>
      <c r="BT49" s="143"/>
      <c r="BU49" s="143"/>
      <c r="BV49" s="148"/>
      <c r="BW49" s="143"/>
      <c r="BX49" s="143"/>
      <c r="BY49" s="746"/>
      <c r="BZ49" s="143"/>
      <c r="CA49" s="147"/>
      <c r="CB49" s="143"/>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row>
    <row r="50" spans="1:106" ht="16.5" customHeight="1" x14ac:dyDescent="0.2">
      <c r="A50" s="463"/>
      <c r="B50" s="464"/>
      <c r="C50" s="464"/>
      <c r="D50" s="464"/>
      <c r="E50" s="492"/>
      <c r="F50" s="464"/>
      <c r="G50" s="464"/>
      <c r="H50" s="464"/>
      <c r="I50" s="464"/>
      <c r="J50" s="463"/>
      <c r="K50" s="489"/>
      <c r="L50" s="490"/>
      <c r="M50" s="485"/>
      <c r="N50" s="487"/>
      <c r="O50" s="489"/>
      <c r="P50" s="490"/>
      <c r="Q50" s="491"/>
      <c r="R50" s="188">
        <v>4</v>
      </c>
      <c r="S50" s="217"/>
      <c r="T50" s="184" t="str">
        <f t="shared" si="9"/>
        <v/>
      </c>
      <c r="U50" s="184"/>
      <c r="V50" s="184"/>
      <c r="W50" s="184"/>
      <c r="X50" s="184"/>
      <c r="Y50" s="228"/>
      <c r="Z50" s="228"/>
      <c r="AA50" s="174" t="str">
        <f t="shared" si="6"/>
        <v/>
      </c>
      <c r="AB50" s="228"/>
      <c r="AC50" s="228"/>
      <c r="AD50" s="228"/>
      <c r="AE50" s="180" t="str">
        <f>IFERROR(IF(AND(T49="Probabilidad",T50="Probabilidad"),(AG49-(+AG49*AA50)),IF(AND(T49="Impacto",T50="Probabilidad"),(AG48-(+AG48*AA50)),IF(T50="Impacto",AG49,""))),"")</f>
        <v/>
      </c>
      <c r="AF50" s="176" t="str">
        <f t="shared" si="4"/>
        <v/>
      </c>
      <c r="AG50" s="174" t="str">
        <f t="shared" si="7"/>
        <v/>
      </c>
      <c r="AH50" s="176" t="str">
        <f t="shared" si="5"/>
        <v/>
      </c>
      <c r="AI50" s="174" t="str">
        <f>IFERROR(IF(AND(T49="Impacto",T50="Impacto"),(AI49-(+AI49*AA50)),IF(AND(T49="Probabilidad",T50="Impacto"),(AI48-(+AI48*AA50)),IF(T50="Probabilidad",AI49,""))),"")</f>
        <v/>
      </c>
      <c r="AJ50" s="177" t="str">
        <f t="shared" si="8"/>
        <v/>
      </c>
      <c r="AK50" s="472"/>
      <c r="AL50" s="189"/>
      <c r="AM50" s="188"/>
      <c r="AN50" s="191"/>
      <c r="AO50" s="148"/>
      <c r="AP50" s="143"/>
      <c r="AQ50" s="148"/>
      <c r="AR50" s="143"/>
      <c r="AS50" s="148"/>
      <c r="AT50" s="143"/>
      <c r="AU50" s="148"/>
      <c r="AV50" s="143"/>
      <c r="AW50" s="147"/>
      <c r="AX50" s="143"/>
      <c r="AY50" s="143"/>
      <c r="AZ50" s="147"/>
      <c r="BA50" s="148"/>
      <c r="BB50" s="148"/>
      <c r="BC50" s="189"/>
      <c r="BD50" s="189"/>
      <c r="BE50" s="188"/>
      <c r="BF50" s="191"/>
      <c r="BG50" s="191"/>
      <c r="BH50" s="143"/>
      <c r="BI50" s="143"/>
      <c r="BJ50" s="147"/>
      <c r="BK50" s="148"/>
      <c r="BL50" s="148"/>
      <c r="BM50" s="143"/>
      <c r="BN50" s="143"/>
      <c r="BO50" s="147"/>
      <c r="BP50" s="148"/>
      <c r="BQ50" s="148"/>
      <c r="BR50" s="170"/>
      <c r="BS50" s="143"/>
      <c r="BT50" s="143"/>
      <c r="BU50" s="143"/>
      <c r="BV50" s="148"/>
      <c r="BW50" s="143"/>
      <c r="BX50" s="143"/>
      <c r="BY50" s="746"/>
      <c r="BZ50" s="143"/>
      <c r="CA50" s="147"/>
      <c r="CB50" s="143"/>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row>
    <row r="51" spans="1:106" ht="16.5" customHeight="1" x14ac:dyDescent="0.2">
      <c r="A51" s="463"/>
      <c r="B51" s="464"/>
      <c r="C51" s="464"/>
      <c r="D51" s="464"/>
      <c r="E51" s="492"/>
      <c r="F51" s="464"/>
      <c r="G51" s="464"/>
      <c r="H51" s="464"/>
      <c r="I51" s="464"/>
      <c r="J51" s="463"/>
      <c r="K51" s="489"/>
      <c r="L51" s="490"/>
      <c r="M51" s="485"/>
      <c r="N51" s="487"/>
      <c r="O51" s="489"/>
      <c r="P51" s="490"/>
      <c r="Q51" s="491"/>
      <c r="R51" s="188">
        <v>5</v>
      </c>
      <c r="S51" s="217"/>
      <c r="T51" s="184" t="str">
        <f t="shared" si="9"/>
        <v/>
      </c>
      <c r="U51" s="184"/>
      <c r="V51" s="184"/>
      <c r="W51" s="184"/>
      <c r="X51" s="184"/>
      <c r="Y51" s="228"/>
      <c r="Z51" s="228"/>
      <c r="AA51" s="174" t="str">
        <f t="shared" si="6"/>
        <v/>
      </c>
      <c r="AB51" s="228"/>
      <c r="AC51" s="228"/>
      <c r="AD51" s="228"/>
      <c r="AE51" s="180" t="str">
        <f>IFERROR(IF(AND(T50="Probabilidad",T51="Probabilidad"),(AG50-(+AG50*AA51)),IF(AND(T50="Impacto",T51="Probabilidad"),(AG49-(+AG49*AA51)),IF(T51="Impacto",AG50,""))),"")</f>
        <v/>
      </c>
      <c r="AF51" s="176" t="str">
        <f t="shared" si="4"/>
        <v/>
      </c>
      <c r="AG51" s="174" t="str">
        <f t="shared" si="7"/>
        <v/>
      </c>
      <c r="AH51" s="176" t="str">
        <f t="shared" si="5"/>
        <v/>
      </c>
      <c r="AI51" s="174" t="str">
        <f>IFERROR(IF(AND(T50="Impacto",T51="Impacto"),(AI50-(+AI50*AA51)),IF(AND(T50="Probabilidad",T51="Impacto"),(AI49-(+AI49*AA51)),IF(T51="Probabilidad",AI50,""))),"")</f>
        <v/>
      </c>
      <c r="AJ51" s="177" t="str">
        <f t="shared" si="8"/>
        <v/>
      </c>
      <c r="AK51" s="472"/>
      <c r="AL51" s="189"/>
      <c r="AM51" s="188"/>
      <c r="AN51" s="191"/>
      <c r="AO51" s="148"/>
      <c r="AP51" s="143"/>
      <c r="AQ51" s="148"/>
      <c r="AR51" s="143"/>
      <c r="AS51" s="148"/>
      <c r="AT51" s="143"/>
      <c r="AU51" s="148"/>
      <c r="AV51" s="143"/>
      <c r="AW51" s="147"/>
      <c r="AX51" s="143"/>
      <c r="AY51" s="143"/>
      <c r="AZ51" s="147"/>
      <c r="BA51" s="148"/>
      <c r="BB51" s="148"/>
      <c r="BC51" s="189"/>
      <c r="BD51" s="189"/>
      <c r="BE51" s="188"/>
      <c r="BF51" s="191"/>
      <c r="BG51" s="191"/>
      <c r="BH51" s="143"/>
      <c r="BI51" s="143"/>
      <c r="BJ51" s="147"/>
      <c r="BK51" s="148"/>
      <c r="BL51" s="148"/>
      <c r="BM51" s="143"/>
      <c r="BN51" s="143"/>
      <c r="BO51" s="147"/>
      <c r="BP51" s="148"/>
      <c r="BQ51" s="148"/>
      <c r="BR51" s="170"/>
      <c r="BS51" s="143"/>
      <c r="BT51" s="143"/>
      <c r="BU51" s="143"/>
      <c r="BV51" s="148"/>
      <c r="BW51" s="143"/>
      <c r="BX51" s="143"/>
      <c r="BY51" s="746"/>
      <c r="BZ51" s="143"/>
      <c r="CA51" s="147"/>
      <c r="CB51" s="143"/>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row>
    <row r="52" spans="1:106" ht="16.5" customHeight="1" x14ac:dyDescent="0.2">
      <c r="A52" s="463"/>
      <c r="B52" s="464"/>
      <c r="C52" s="464"/>
      <c r="D52" s="464"/>
      <c r="E52" s="492"/>
      <c r="F52" s="464"/>
      <c r="G52" s="464"/>
      <c r="H52" s="464"/>
      <c r="I52" s="464"/>
      <c r="J52" s="463"/>
      <c r="K52" s="489"/>
      <c r="L52" s="490"/>
      <c r="M52" s="485"/>
      <c r="N52" s="488"/>
      <c r="O52" s="489"/>
      <c r="P52" s="490"/>
      <c r="Q52" s="491"/>
      <c r="R52" s="188">
        <v>6</v>
      </c>
      <c r="S52" s="217"/>
      <c r="T52" s="184" t="str">
        <f t="shared" si="9"/>
        <v/>
      </c>
      <c r="U52" s="184"/>
      <c r="V52" s="184"/>
      <c r="W52" s="184"/>
      <c r="X52" s="184"/>
      <c r="Y52" s="228"/>
      <c r="Z52" s="228"/>
      <c r="AA52" s="174" t="str">
        <f t="shared" si="6"/>
        <v/>
      </c>
      <c r="AB52" s="228"/>
      <c r="AC52" s="228"/>
      <c r="AD52" s="228"/>
      <c r="AE52" s="180" t="str">
        <f>IFERROR(IF(AND(T51="Probabilidad",T52="Probabilidad"),(AG51-(+AG51*AA52)),IF(AND(T51="Impacto",T52="Probabilidad"),(AG50-(+AG50*AA52)),IF(T52="Impacto",AG51,""))),"")</f>
        <v/>
      </c>
      <c r="AF52" s="176" t="str">
        <f t="shared" si="4"/>
        <v/>
      </c>
      <c r="AG52" s="174" t="str">
        <f t="shared" si="7"/>
        <v/>
      </c>
      <c r="AH52" s="176" t="str">
        <f t="shared" si="5"/>
        <v/>
      </c>
      <c r="AI52" s="174" t="str">
        <f>IFERROR(IF(AND(T51="Impacto",T52="Impacto"),(AI51-(+AI51*AA52)),IF(AND(T51="Probabilidad",T52="Impacto"),(AI50-(+AI50*AA52)),IF(T52="Probabilidad",AI51,""))),"")</f>
        <v/>
      </c>
      <c r="AJ52" s="177" t="str">
        <f t="shared" si="8"/>
        <v/>
      </c>
      <c r="AK52" s="473"/>
      <c r="AL52" s="189"/>
      <c r="AM52" s="188"/>
      <c r="AN52" s="191"/>
      <c r="AO52" s="148"/>
      <c r="AP52" s="143"/>
      <c r="AQ52" s="148"/>
      <c r="AR52" s="143"/>
      <c r="AS52" s="148"/>
      <c r="AT52" s="143"/>
      <c r="AU52" s="148"/>
      <c r="AV52" s="143"/>
      <c r="AW52" s="147"/>
      <c r="AX52" s="143"/>
      <c r="AY52" s="143"/>
      <c r="AZ52" s="147"/>
      <c r="BA52" s="148"/>
      <c r="BB52" s="148"/>
      <c r="BC52" s="189"/>
      <c r="BD52" s="189"/>
      <c r="BE52" s="188"/>
      <c r="BF52" s="191"/>
      <c r="BG52" s="191"/>
      <c r="BH52" s="143"/>
      <c r="BI52" s="143"/>
      <c r="BJ52" s="147"/>
      <c r="BK52" s="148"/>
      <c r="BL52" s="148"/>
      <c r="BM52" s="143"/>
      <c r="BN52" s="143"/>
      <c r="BO52" s="147"/>
      <c r="BP52" s="148"/>
      <c r="BQ52" s="148"/>
      <c r="BR52" s="170"/>
      <c r="BS52" s="143"/>
      <c r="BT52" s="143"/>
      <c r="BU52" s="143"/>
      <c r="BV52" s="148"/>
      <c r="BW52" s="143"/>
      <c r="BX52" s="143"/>
      <c r="BY52" s="746"/>
      <c r="BZ52" s="143"/>
      <c r="CA52" s="147"/>
      <c r="CB52" s="143"/>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row>
    <row r="53" spans="1:106" ht="16.5" customHeight="1" x14ac:dyDescent="0.2">
      <c r="A53" s="463">
        <v>9</v>
      </c>
      <c r="B53" s="464"/>
      <c r="C53" s="464"/>
      <c r="D53" s="464"/>
      <c r="E53" s="492"/>
      <c r="F53" s="464"/>
      <c r="G53" s="464"/>
      <c r="H53" s="464"/>
      <c r="I53" s="464"/>
      <c r="J53" s="463"/>
      <c r="K53" s="489" t="str">
        <f>IF(J53&lt;=0,"",IF(J53&lt;=2,"Muy Baja",IF(J53&lt;=24,"Baja",IF(J53&lt;=500,"Media",IF(J53&lt;=5000,"Alta","Muy Alta")))))</f>
        <v/>
      </c>
      <c r="L53" s="490" t="str">
        <f>IF(K53="","",IF(K53="Muy Baja",0.2,IF(K53="Baja",0.4,IF(K53="Media",0.6,IF(K53="Alta",0.8,IF(K53="Muy Alta",1,))))))</f>
        <v/>
      </c>
      <c r="M53" s="485"/>
      <c r="N53" s="486">
        <f>IF(NOT(ISERROR(MATCH(M53,'Tabla Impacto'!$B$221:$B$223,0))),'Tabla Impacto'!$F$223&amp;"Por favor no seleccionar los criterios de impacto(Afectación Económica o presupuestal y Pérdida Reputacional)",M53)</f>
        <v>0</v>
      </c>
      <c r="O53" s="489" t="str">
        <f>IF(OR(N53='Tabla Impacto'!$C$11,N53='Tabla Impacto'!$D$11),"Leve",IF(OR(N53='Tabla Impacto'!$C$12,N53='Tabla Impacto'!$D$12),"Menor",IF(OR(N53='Tabla Impacto'!$C$13,N53='Tabla Impacto'!$D$13),"Moderado",IF(OR(N53='Tabla Impacto'!$C$14,N53='Tabla Impacto'!$D$14),"Mayor",IF(OR(N53='Tabla Impacto'!$C$15,N53='Tabla Impacto'!$D$15),"Catastrófico","")))))</f>
        <v/>
      </c>
      <c r="P53" s="490" t="str">
        <f>IF(O53="","",IF(O53="Leve",0.2,IF(O53="Menor",0.4,IF(O53="Moderado",0.6,IF(O53="Mayor",0.8,IF(O53="Catastrófico",1,))))))</f>
        <v/>
      </c>
      <c r="Q53" s="491"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8">
        <v>1</v>
      </c>
      <c r="S53" s="217"/>
      <c r="T53" s="184" t="str">
        <f t="shared" si="9"/>
        <v/>
      </c>
      <c r="U53" s="184"/>
      <c r="V53" s="184"/>
      <c r="W53" s="184"/>
      <c r="X53" s="184"/>
      <c r="Y53" s="228"/>
      <c r="Z53" s="228"/>
      <c r="AA53" s="174" t="str">
        <f t="shared" si="6"/>
        <v/>
      </c>
      <c r="AB53" s="228"/>
      <c r="AC53" s="228"/>
      <c r="AD53" s="228"/>
      <c r="AE53" s="180" t="str">
        <f>IFERROR(IF(T53="Probabilidad",(L53-(+L53*AA53)),IF(T53="Impacto",L53,"")),"")</f>
        <v/>
      </c>
      <c r="AF53" s="176" t="str">
        <f>IFERROR(IF(AE53="","",IF(AE53&lt;=0.2,"Muy Baja",IF(AE53&lt;=0.4,"Baja",IF(AE53&lt;=0.6,"Media",IF(AE53&lt;=0.8,"Alta","Muy Alta"))))),"")</f>
        <v/>
      </c>
      <c r="AG53" s="174" t="str">
        <f t="shared" si="7"/>
        <v/>
      </c>
      <c r="AH53" s="176" t="str">
        <f>IFERROR(IF(AI53="","",IF(AI53&lt;=0.2,"Leve",IF(AI53&lt;=0.4,"Menor",IF(AI53&lt;=0.6,"Moderado",IF(AI53&lt;=0.8,"Mayor","Catastrófico"))))),"")</f>
        <v/>
      </c>
      <c r="AI53" s="174" t="str">
        <f>IFERROR(IF(T53="Impacto",(P53-(+P53*AA53)),IF(T53="Probabilidad",P53,"")),"")</f>
        <v/>
      </c>
      <c r="AJ53" s="177" t="str">
        <f t="shared" si="8"/>
        <v/>
      </c>
      <c r="AK53" s="471"/>
      <c r="AL53" s="189"/>
      <c r="AM53" s="188"/>
      <c r="AN53" s="191"/>
      <c r="AO53" s="148"/>
      <c r="AP53" s="143"/>
      <c r="AQ53" s="148"/>
      <c r="AR53" s="143"/>
      <c r="AS53" s="148"/>
      <c r="AT53" s="143"/>
      <c r="AU53" s="148"/>
      <c r="AV53" s="143"/>
      <c r="AW53" s="147"/>
      <c r="AX53" s="143"/>
      <c r="AY53" s="143"/>
      <c r="AZ53" s="147"/>
      <c r="BA53" s="148"/>
      <c r="BB53" s="148"/>
      <c r="BC53" s="189"/>
      <c r="BD53" s="189"/>
      <c r="BE53" s="188"/>
      <c r="BF53" s="191"/>
      <c r="BG53" s="191"/>
      <c r="BH53" s="143"/>
      <c r="BI53" s="143"/>
      <c r="BJ53" s="147"/>
      <c r="BK53" s="148"/>
      <c r="BL53" s="148"/>
      <c r="BM53" s="143"/>
      <c r="BN53" s="143"/>
      <c r="BO53" s="147"/>
      <c r="BP53" s="148"/>
      <c r="BQ53" s="148"/>
      <c r="BR53" s="170"/>
      <c r="BS53" s="143"/>
      <c r="BT53" s="143"/>
      <c r="BU53" s="143"/>
      <c r="BV53" s="148"/>
      <c r="BW53" s="143"/>
      <c r="BX53" s="143"/>
      <c r="BY53" s="746"/>
      <c r="BZ53" s="143"/>
      <c r="CA53" s="147"/>
      <c r="CB53" s="143"/>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row>
    <row r="54" spans="1:106" ht="16.5" customHeight="1" x14ac:dyDescent="0.2">
      <c r="A54" s="463"/>
      <c r="B54" s="464"/>
      <c r="C54" s="464"/>
      <c r="D54" s="464"/>
      <c r="E54" s="492"/>
      <c r="F54" s="464"/>
      <c r="G54" s="464"/>
      <c r="H54" s="464"/>
      <c r="I54" s="464"/>
      <c r="J54" s="463"/>
      <c r="K54" s="489"/>
      <c r="L54" s="490"/>
      <c r="M54" s="485"/>
      <c r="N54" s="487"/>
      <c r="O54" s="489"/>
      <c r="P54" s="490"/>
      <c r="Q54" s="491"/>
      <c r="R54" s="188">
        <v>2</v>
      </c>
      <c r="S54" s="217"/>
      <c r="T54" s="184" t="str">
        <f t="shared" si="9"/>
        <v/>
      </c>
      <c r="U54" s="184"/>
      <c r="V54" s="184"/>
      <c r="W54" s="184"/>
      <c r="X54" s="184"/>
      <c r="Y54" s="228"/>
      <c r="Z54" s="228"/>
      <c r="AA54" s="174" t="str">
        <f t="shared" si="6"/>
        <v/>
      </c>
      <c r="AB54" s="228"/>
      <c r="AC54" s="228"/>
      <c r="AD54" s="228"/>
      <c r="AE54" s="180" t="str">
        <f>IFERROR(IF(AND(T53="Probabilidad",T54="Probabilidad"),(AG53-(+AG53*AA54)),IF(T54="Probabilidad",(L53-(+L53*AA54)),IF(T54="Impacto",AG53,""))),"")</f>
        <v/>
      </c>
      <c r="AF54" s="176" t="str">
        <f t="shared" si="4"/>
        <v/>
      </c>
      <c r="AG54" s="174" t="str">
        <f t="shared" si="7"/>
        <v/>
      </c>
      <c r="AH54" s="176" t="str">
        <f t="shared" si="5"/>
        <v/>
      </c>
      <c r="AI54" s="174" t="str">
        <f>IFERROR(IF(AND(T53="Impacto",T54="Impacto"),(AI47-(+AI47*AA54)),IF(T54="Impacto",($P$53-(+$P$53*AA54)),IF(T54="Probabilidad",AI47,""))),"")</f>
        <v/>
      </c>
      <c r="AJ54" s="177" t="str">
        <f t="shared" si="8"/>
        <v/>
      </c>
      <c r="AK54" s="472"/>
      <c r="AL54" s="189"/>
      <c r="AM54" s="188"/>
      <c r="AN54" s="191"/>
      <c r="AO54" s="148"/>
      <c r="AP54" s="143"/>
      <c r="AQ54" s="148"/>
      <c r="AR54" s="143"/>
      <c r="AS54" s="148"/>
      <c r="AT54" s="143"/>
      <c r="AU54" s="148"/>
      <c r="AV54" s="143"/>
      <c r="AW54" s="147"/>
      <c r="AX54" s="143"/>
      <c r="AY54" s="143"/>
      <c r="AZ54" s="147"/>
      <c r="BA54" s="148"/>
      <c r="BB54" s="148"/>
      <c r="BC54" s="189"/>
      <c r="BD54" s="189"/>
      <c r="BE54" s="188"/>
      <c r="BF54" s="191"/>
      <c r="BG54" s="191"/>
      <c r="BH54" s="143"/>
      <c r="BI54" s="143"/>
      <c r="BJ54" s="147"/>
      <c r="BK54" s="148"/>
      <c r="BL54" s="148"/>
      <c r="BM54" s="143"/>
      <c r="BN54" s="143"/>
      <c r="BO54" s="147"/>
      <c r="BP54" s="148"/>
      <c r="BQ54" s="148"/>
      <c r="BR54" s="170"/>
      <c r="BS54" s="143"/>
      <c r="BT54" s="143"/>
      <c r="BU54" s="143"/>
      <c r="BV54" s="148"/>
      <c r="BW54" s="143"/>
      <c r="BX54" s="143"/>
      <c r="BY54" s="746"/>
      <c r="BZ54" s="143"/>
      <c r="CA54" s="147"/>
      <c r="CB54" s="143"/>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row>
    <row r="55" spans="1:106" ht="16.5" customHeight="1" x14ac:dyDescent="0.2">
      <c r="A55" s="463"/>
      <c r="B55" s="464"/>
      <c r="C55" s="464"/>
      <c r="D55" s="464"/>
      <c r="E55" s="492"/>
      <c r="F55" s="464"/>
      <c r="G55" s="464"/>
      <c r="H55" s="464"/>
      <c r="I55" s="464"/>
      <c r="J55" s="463"/>
      <c r="K55" s="489"/>
      <c r="L55" s="490"/>
      <c r="M55" s="485"/>
      <c r="N55" s="487"/>
      <c r="O55" s="489"/>
      <c r="P55" s="490"/>
      <c r="Q55" s="491"/>
      <c r="R55" s="188">
        <v>3</v>
      </c>
      <c r="S55" s="217"/>
      <c r="T55" s="184" t="str">
        <f t="shared" si="9"/>
        <v/>
      </c>
      <c r="U55" s="184"/>
      <c r="V55" s="184"/>
      <c r="W55" s="184"/>
      <c r="X55" s="184"/>
      <c r="Y55" s="228"/>
      <c r="Z55" s="228"/>
      <c r="AA55" s="174" t="str">
        <f t="shared" si="6"/>
        <v/>
      </c>
      <c r="AB55" s="228"/>
      <c r="AC55" s="228"/>
      <c r="AD55" s="228"/>
      <c r="AE55" s="180" t="str">
        <f>IFERROR(IF(AND(T54="Probabilidad",T55="Probabilidad"),(AG54-(+AG54*AA55)),IF(AND(T54="Impacto",T55="Probabilidad"),(AG53-(+AG53*AA55)),IF(T55="Impacto",AG54,""))),"")</f>
        <v/>
      </c>
      <c r="AF55" s="176" t="str">
        <f t="shared" si="4"/>
        <v/>
      </c>
      <c r="AG55" s="174" t="str">
        <f t="shared" si="7"/>
        <v/>
      </c>
      <c r="AH55" s="176" t="str">
        <f t="shared" si="5"/>
        <v/>
      </c>
      <c r="AI55" s="174" t="str">
        <f>IFERROR(IF(AND(T54="Impacto",T55="Impacto"),(AI54-(+AI54*AA55)),IF(AND(T54="Probabilidad",T55="Impacto"),(AI53-(+AI53*AA55)),IF(T55="Probabilidad",AI54,""))),"")</f>
        <v/>
      </c>
      <c r="AJ55" s="177" t="str">
        <f t="shared" si="8"/>
        <v/>
      </c>
      <c r="AK55" s="472"/>
      <c r="AL55" s="189"/>
      <c r="AM55" s="188"/>
      <c r="AN55" s="191"/>
      <c r="AO55" s="148"/>
      <c r="AP55" s="143"/>
      <c r="AQ55" s="148"/>
      <c r="AR55" s="143"/>
      <c r="AS55" s="148"/>
      <c r="AT55" s="143"/>
      <c r="AU55" s="148"/>
      <c r="AV55" s="143"/>
      <c r="AW55" s="147"/>
      <c r="AX55" s="143"/>
      <c r="AY55" s="143"/>
      <c r="AZ55" s="147"/>
      <c r="BA55" s="148"/>
      <c r="BB55" s="148"/>
      <c r="BC55" s="189"/>
      <c r="BD55" s="189"/>
      <c r="BE55" s="188"/>
      <c r="BF55" s="191"/>
      <c r="BG55" s="191"/>
      <c r="BH55" s="143"/>
      <c r="BI55" s="143"/>
      <c r="BJ55" s="147"/>
      <c r="BK55" s="148"/>
      <c r="BL55" s="148"/>
      <c r="BM55" s="143"/>
      <c r="BN55" s="143"/>
      <c r="BO55" s="147"/>
      <c r="BP55" s="148"/>
      <c r="BQ55" s="148"/>
      <c r="BR55" s="170"/>
      <c r="BS55" s="143"/>
      <c r="BT55" s="143"/>
      <c r="BU55" s="143"/>
      <c r="BV55" s="148"/>
      <c r="BW55" s="143"/>
      <c r="BX55" s="143"/>
      <c r="BY55" s="746"/>
      <c r="BZ55" s="143"/>
      <c r="CA55" s="147"/>
      <c r="CB55" s="143"/>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row>
    <row r="56" spans="1:106" ht="16.5" customHeight="1" x14ac:dyDescent="0.2">
      <c r="A56" s="463"/>
      <c r="B56" s="464"/>
      <c r="C56" s="464"/>
      <c r="D56" s="464"/>
      <c r="E56" s="492"/>
      <c r="F56" s="464"/>
      <c r="G56" s="464"/>
      <c r="H56" s="464"/>
      <c r="I56" s="464"/>
      <c r="J56" s="463"/>
      <c r="K56" s="489"/>
      <c r="L56" s="490"/>
      <c r="M56" s="485"/>
      <c r="N56" s="487"/>
      <c r="O56" s="489"/>
      <c r="P56" s="490"/>
      <c r="Q56" s="491"/>
      <c r="R56" s="188">
        <v>4</v>
      </c>
      <c r="S56" s="217"/>
      <c r="T56" s="184" t="str">
        <f t="shared" si="9"/>
        <v/>
      </c>
      <c r="U56" s="184"/>
      <c r="V56" s="184"/>
      <c r="W56" s="184"/>
      <c r="X56" s="184"/>
      <c r="Y56" s="228"/>
      <c r="Z56" s="228"/>
      <c r="AA56" s="174" t="str">
        <f t="shared" si="6"/>
        <v/>
      </c>
      <c r="AB56" s="228"/>
      <c r="AC56" s="228"/>
      <c r="AD56" s="228"/>
      <c r="AE56" s="180" t="str">
        <f>IFERROR(IF(AND(T55="Probabilidad",T56="Probabilidad"),(AG55-(+AG55*AA56)),IF(AND(T55="Impacto",T56="Probabilidad"),(AG54-(+AG54*AA56)),IF(T56="Impacto",AG55,""))),"")</f>
        <v/>
      </c>
      <c r="AF56" s="176" t="str">
        <f t="shared" si="4"/>
        <v/>
      </c>
      <c r="AG56" s="174" t="str">
        <f t="shared" si="7"/>
        <v/>
      </c>
      <c r="AH56" s="176" t="str">
        <f t="shared" si="5"/>
        <v/>
      </c>
      <c r="AI56" s="174" t="str">
        <f>IFERROR(IF(AND(T55="Impacto",T56="Impacto"),(AI55-(+AI55*AA56)),IF(AND(T55="Probabilidad",T56="Impacto"),(AI54-(+AI54*AA56)),IF(T56="Probabilidad",AI55,""))),"")</f>
        <v/>
      </c>
      <c r="AJ56" s="177" t="str">
        <f t="shared" si="8"/>
        <v/>
      </c>
      <c r="AK56" s="472"/>
      <c r="AL56" s="189"/>
      <c r="AM56" s="188"/>
      <c r="AN56" s="191"/>
      <c r="AO56" s="148"/>
      <c r="AP56" s="143"/>
      <c r="AQ56" s="148"/>
      <c r="AR56" s="143"/>
      <c r="AS56" s="148"/>
      <c r="AT56" s="143"/>
      <c r="AU56" s="148"/>
      <c r="AV56" s="143"/>
      <c r="AW56" s="147"/>
      <c r="AX56" s="143"/>
      <c r="AY56" s="143"/>
      <c r="AZ56" s="147"/>
      <c r="BA56" s="148"/>
      <c r="BB56" s="148"/>
      <c r="BC56" s="189"/>
      <c r="BD56" s="189"/>
      <c r="BE56" s="188"/>
      <c r="BF56" s="191"/>
      <c r="BG56" s="191"/>
      <c r="BH56" s="143"/>
      <c r="BI56" s="143"/>
      <c r="BJ56" s="147"/>
      <c r="BK56" s="148"/>
      <c r="BL56" s="148"/>
      <c r="BM56" s="143"/>
      <c r="BN56" s="143"/>
      <c r="BO56" s="147"/>
      <c r="BP56" s="148"/>
      <c r="BQ56" s="148"/>
      <c r="BR56" s="170"/>
      <c r="BS56" s="143"/>
      <c r="BT56" s="143"/>
      <c r="BU56" s="143"/>
      <c r="BV56" s="148"/>
      <c r="BW56" s="143"/>
      <c r="BX56" s="143"/>
      <c r="BY56" s="746"/>
      <c r="BZ56" s="143"/>
      <c r="CA56" s="147"/>
      <c r="CB56" s="143"/>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row>
    <row r="57" spans="1:106" ht="16.5" customHeight="1" x14ac:dyDescent="0.2">
      <c r="A57" s="463"/>
      <c r="B57" s="464"/>
      <c r="C57" s="464"/>
      <c r="D57" s="464"/>
      <c r="E57" s="492"/>
      <c r="F57" s="464"/>
      <c r="G57" s="464"/>
      <c r="H57" s="464"/>
      <c r="I57" s="464"/>
      <c r="J57" s="463"/>
      <c r="K57" s="489"/>
      <c r="L57" s="490"/>
      <c r="M57" s="485"/>
      <c r="N57" s="487"/>
      <c r="O57" s="489"/>
      <c r="P57" s="490"/>
      <c r="Q57" s="491"/>
      <c r="R57" s="188">
        <v>5</v>
      </c>
      <c r="S57" s="217"/>
      <c r="T57" s="184" t="str">
        <f t="shared" si="9"/>
        <v/>
      </c>
      <c r="U57" s="184"/>
      <c r="V57" s="184"/>
      <c r="W57" s="184"/>
      <c r="X57" s="184"/>
      <c r="Y57" s="228"/>
      <c r="Z57" s="228"/>
      <c r="AA57" s="174" t="str">
        <f t="shared" si="6"/>
        <v/>
      </c>
      <c r="AB57" s="228"/>
      <c r="AC57" s="228"/>
      <c r="AD57" s="228"/>
      <c r="AE57" s="180" t="str">
        <f>IFERROR(IF(AND(T56="Probabilidad",T57="Probabilidad"),(AG56-(+AG56*AA57)),IF(AND(T56="Impacto",T57="Probabilidad"),(AG55-(+AG55*AA57)),IF(T57="Impacto",AG56,""))),"")</f>
        <v/>
      </c>
      <c r="AF57" s="176" t="str">
        <f t="shared" si="4"/>
        <v/>
      </c>
      <c r="AG57" s="174" t="str">
        <f t="shared" si="7"/>
        <v/>
      </c>
      <c r="AH57" s="176" t="str">
        <f t="shared" si="5"/>
        <v/>
      </c>
      <c r="AI57" s="174" t="str">
        <f>IFERROR(IF(AND(T56="Impacto",T57="Impacto"),(AI56-(+AI56*AA57)),IF(AND(T56="Probabilidad",T57="Impacto"),(AI55-(+AI55*AA57)),IF(T57="Probabilidad",AI56,""))),"")</f>
        <v/>
      </c>
      <c r="AJ57" s="177" t="str">
        <f t="shared" si="8"/>
        <v/>
      </c>
      <c r="AK57" s="472"/>
      <c r="AL57" s="189"/>
      <c r="AM57" s="188"/>
      <c r="AN57" s="191"/>
      <c r="AO57" s="148"/>
      <c r="AP57" s="143"/>
      <c r="AQ57" s="148"/>
      <c r="AR57" s="143"/>
      <c r="AS57" s="148"/>
      <c r="AT57" s="143"/>
      <c r="AU57" s="148"/>
      <c r="AV57" s="143"/>
      <c r="AW57" s="147"/>
      <c r="AX57" s="143"/>
      <c r="AY57" s="143"/>
      <c r="AZ57" s="147"/>
      <c r="BA57" s="148"/>
      <c r="BB57" s="148"/>
      <c r="BC57" s="189"/>
      <c r="BD57" s="189"/>
      <c r="BE57" s="188"/>
      <c r="BF57" s="191"/>
      <c r="BG57" s="191"/>
      <c r="BH57" s="143"/>
      <c r="BI57" s="143"/>
      <c r="BJ57" s="147"/>
      <c r="BK57" s="148"/>
      <c r="BL57" s="148"/>
      <c r="BM57" s="143"/>
      <c r="BN57" s="143"/>
      <c r="BO57" s="147"/>
      <c r="BP57" s="148"/>
      <c r="BQ57" s="148"/>
      <c r="BR57" s="170"/>
      <c r="BS57" s="143"/>
      <c r="BT57" s="143"/>
      <c r="BU57" s="143"/>
      <c r="BV57" s="148"/>
      <c r="BW57" s="143"/>
      <c r="BX57" s="143"/>
      <c r="BY57" s="746"/>
      <c r="BZ57" s="143"/>
      <c r="CA57" s="147"/>
      <c r="CB57" s="143"/>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row>
    <row r="58" spans="1:106" ht="16.5" customHeight="1" x14ac:dyDescent="0.2">
      <c r="A58" s="463"/>
      <c r="B58" s="464"/>
      <c r="C58" s="464"/>
      <c r="D58" s="464"/>
      <c r="E58" s="492"/>
      <c r="F58" s="464"/>
      <c r="G58" s="464"/>
      <c r="H58" s="464"/>
      <c r="I58" s="464"/>
      <c r="J58" s="463"/>
      <c r="K58" s="489"/>
      <c r="L58" s="490"/>
      <c r="M58" s="485"/>
      <c r="N58" s="488"/>
      <c r="O58" s="489"/>
      <c r="P58" s="490"/>
      <c r="Q58" s="491"/>
      <c r="R58" s="188">
        <v>6</v>
      </c>
      <c r="S58" s="217"/>
      <c r="T58" s="184" t="str">
        <f t="shared" si="9"/>
        <v/>
      </c>
      <c r="U58" s="184"/>
      <c r="V58" s="184"/>
      <c r="W58" s="184"/>
      <c r="X58" s="184"/>
      <c r="Y58" s="228"/>
      <c r="Z58" s="228"/>
      <c r="AA58" s="174" t="str">
        <f t="shared" si="6"/>
        <v/>
      </c>
      <c r="AB58" s="228"/>
      <c r="AC58" s="228"/>
      <c r="AD58" s="228"/>
      <c r="AE58" s="180" t="str">
        <f>IFERROR(IF(AND(T57="Probabilidad",T58="Probabilidad"),(AG57-(+AG57*AA58)),IF(AND(T57="Impacto",T58="Probabilidad"),(AG56-(+AG56*AA58)),IF(T58="Impacto",AG57,""))),"")</f>
        <v/>
      </c>
      <c r="AF58" s="176" t="str">
        <f t="shared" si="4"/>
        <v/>
      </c>
      <c r="AG58" s="174" t="str">
        <f t="shared" si="7"/>
        <v/>
      </c>
      <c r="AH58" s="176" t="str">
        <f t="shared" si="5"/>
        <v/>
      </c>
      <c r="AI58" s="174" t="str">
        <f>IFERROR(IF(AND(T57="Impacto",T58="Impacto"),(AI57-(+AI57*AA58)),IF(AND(T57="Probabilidad",T58="Impacto"),(AI56-(+AI56*AA58)),IF(T58="Probabilidad",AI57,""))),"")</f>
        <v/>
      </c>
      <c r="AJ58" s="177" t="str">
        <f t="shared" si="8"/>
        <v/>
      </c>
      <c r="AK58" s="473"/>
      <c r="AL58" s="189"/>
      <c r="AM58" s="188"/>
      <c r="AN58" s="191"/>
      <c r="AO58" s="148"/>
      <c r="AP58" s="143"/>
      <c r="AQ58" s="148"/>
      <c r="AR58" s="143"/>
      <c r="AS58" s="148"/>
      <c r="AT58" s="143"/>
      <c r="AU58" s="148"/>
      <c r="AV58" s="143"/>
      <c r="AW58" s="147"/>
      <c r="AX58" s="143"/>
      <c r="AY58" s="143"/>
      <c r="AZ58" s="147"/>
      <c r="BA58" s="148"/>
      <c r="BB58" s="148"/>
      <c r="BC58" s="189"/>
      <c r="BD58" s="189"/>
      <c r="BE58" s="188"/>
      <c r="BF58" s="191"/>
      <c r="BG58" s="191"/>
      <c r="BH58" s="143"/>
      <c r="BI58" s="143"/>
      <c r="BJ58" s="147"/>
      <c r="BK58" s="148"/>
      <c r="BL58" s="148"/>
      <c r="BM58" s="143"/>
      <c r="BN58" s="143"/>
      <c r="BO58" s="147"/>
      <c r="BP58" s="148"/>
      <c r="BQ58" s="148"/>
      <c r="BR58" s="170"/>
      <c r="BS58" s="143"/>
      <c r="BT58" s="143"/>
      <c r="BU58" s="143"/>
      <c r="BV58" s="148"/>
      <c r="BW58" s="143"/>
      <c r="BX58" s="143"/>
      <c r="BY58" s="746"/>
      <c r="BZ58" s="143"/>
      <c r="CA58" s="147"/>
      <c r="CB58" s="143"/>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row>
    <row r="59" spans="1:106" ht="16.5" customHeight="1" x14ac:dyDescent="0.2">
      <c r="A59" s="463">
        <v>10</v>
      </c>
      <c r="B59" s="464"/>
      <c r="C59" s="464"/>
      <c r="D59" s="464"/>
      <c r="E59" s="492"/>
      <c r="F59" s="464"/>
      <c r="G59" s="464"/>
      <c r="H59" s="464"/>
      <c r="I59" s="464"/>
      <c r="J59" s="463"/>
      <c r="K59" s="489" t="str">
        <f>IF(J59&lt;=0,"",IF(J59&lt;=2,"Muy Baja",IF(J59&lt;=24,"Baja",IF(J59&lt;=500,"Media",IF(J59&lt;=5000,"Alta","Muy Alta")))))</f>
        <v/>
      </c>
      <c r="L59" s="490" t="str">
        <f>IF(K59="","",IF(K59="Muy Baja",0.2,IF(K59="Baja",0.4,IF(K59="Media",0.6,IF(K59="Alta",0.8,IF(K59="Muy Alta",1,))))))</f>
        <v/>
      </c>
      <c r="M59" s="485"/>
      <c r="N59" s="486">
        <f>IF(NOT(ISERROR(MATCH(M59,'Tabla Impacto'!$B$221:$B$223,0))),'Tabla Impacto'!$F$223&amp;"Por favor no seleccionar los criterios de impacto(Afectación Económica o presupuestal y Pérdida Reputacional)",M59)</f>
        <v>0</v>
      </c>
      <c r="O59" s="489" t="str">
        <f>IF(OR(N59='Tabla Impacto'!$C$11,N59='Tabla Impacto'!$D$11),"Leve",IF(OR(N59='Tabla Impacto'!$C$12,N59='Tabla Impacto'!$D$12),"Menor",IF(OR(N59='Tabla Impacto'!$C$13,N59='Tabla Impacto'!$D$13),"Moderado",IF(OR(N59='Tabla Impacto'!$C$14,N59='Tabla Impacto'!$D$14),"Mayor",IF(OR(N59='Tabla Impacto'!$C$15,N59='Tabla Impacto'!$D$15),"Catastrófico","")))))</f>
        <v/>
      </c>
      <c r="P59" s="490" t="str">
        <f>IF(O59="","",IF(O59="Leve",0.2,IF(O59="Menor",0.4,IF(O59="Moderado",0.6,IF(O59="Mayor",0.8,IF(O59="Catastrófico",1,))))))</f>
        <v/>
      </c>
      <c r="Q59" s="491"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88">
        <v>1</v>
      </c>
      <c r="S59" s="217"/>
      <c r="T59" s="184" t="str">
        <f t="shared" si="9"/>
        <v/>
      </c>
      <c r="U59" s="184"/>
      <c r="V59" s="184"/>
      <c r="W59" s="184"/>
      <c r="X59" s="184"/>
      <c r="Y59" s="228"/>
      <c r="Z59" s="228"/>
      <c r="AA59" s="174" t="str">
        <f t="shared" si="6"/>
        <v/>
      </c>
      <c r="AB59" s="228"/>
      <c r="AC59" s="228"/>
      <c r="AD59" s="228"/>
      <c r="AE59" s="180" t="str">
        <f>IFERROR(IF(T59="Probabilidad",(L59-(+L59*AA59)),IF(T59="Impacto",L59,"")),"")</f>
        <v/>
      </c>
      <c r="AF59" s="176" t="str">
        <f>IFERROR(IF(AE59="","",IF(AE59&lt;=0.2,"Muy Baja",IF(AE59&lt;=0.4,"Baja",IF(AE59&lt;=0.6,"Media",IF(AE59&lt;=0.8,"Alta","Muy Alta"))))),"")</f>
        <v/>
      </c>
      <c r="AG59" s="174" t="str">
        <f t="shared" si="7"/>
        <v/>
      </c>
      <c r="AH59" s="176" t="str">
        <f>IFERROR(IF(AI59="","",IF(AI59&lt;=0.2,"Leve",IF(AI59&lt;=0.4,"Menor",IF(AI59&lt;=0.6,"Moderado",IF(AI59&lt;=0.8,"Mayor","Catastrófico"))))),"")</f>
        <v/>
      </c>
      <c r="AI59" s="174" t="str">
        <f>IFERROR(IF(T59="Impacto",(P59-(+P59*AA59)),IF(T59="Probabilidad",P59,"")),"")</f>
        <v/>
      </c>
      <c r="AJ59" s="177" t="str">
        <f t="shared" si="8"/>
        <v/>
      </c>
      <c r="AK59" s="471"/>
      <c r="AL59" s="189"/>
      <c r="AM59" s="188"/>
      <c r="AN59" s="191"/>
      <c r="AO59" s="148"/>
      <c r="AP59" s="143"/>
      <c r="AQ59" s="148"/>
      <c r="AR59" s="143"/>
      <c r="AS59" s="148"/>
      <c r="AT59" s="143"/>
      <c r="AU59" s="148"/>
      <c r="AV59" s="143"/>
      <c r="AW59" s="147"/>
      <c r="AX59" s="143"/>
      <c r="AY59" s="143"/>
      <c r="AZ59" s="147"/>
      <c r="BA59" s="148"/>
      <c r="BB59" s="148"/>
      <c r="BC59" s="143"/>
      <c r="BD59" s="143"/>
      <c r="BE59" s="147"/>
      <c r="BF59" s="148"/>
      <c r="BG59" s="148"/>
      <c r="BH59" s="143"/>
      <c r="BI59" s="143"/>
      <c r="BJ59" s="147"/>
      <c r="BK59" s="148"/>
      <c r="BL59" s="148"/>
      <c r="BM59" s="143"/>
      <c r="BN59" s="143"/>
      <c r="BO59" s="147"/>
      <c r="BP59" s="148"/>
      <c r="BQ59" s="148"/>
      <c r="BR59" s="170"/>
      <c r="BS59" s="143"/>
      <c r="BT59" s="143"/>
      <c r="BU59" s="143"/>
      <c r="BV59" s="148"/>
      <c r="BW59" s="143"/>
      <c r="BX59" s="143"/>
      <c r="BY59" s="746"/>
      <c r="BZ59" s="143"/>
      <c r="CA59" s="147"/>
      <c r="CB59" s="143"/>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row>
    <row r="60" spans="1:106" ht="16.5" customHeight="1" x14ac:dyDescent="0.2">
      <c r="A60" s="463"/>
      <c r="B60" s="464"/>
      <c r="C60" s="464"/>
      <c r="D60" s="464"/>
      <c r="E60" s="492"/>
      <c r="F60" s="464"/>
      <c r="G60" s="464"/>
      <c r="H60" s="464"/>
      <c r="I60" s="464"/>
      <c r="J60" s="463"/>
      <c r="K60" s="489"/>
      <c r="L60" s="490"/>
      <c r="M60" s="485"/>
      <c r="N60" s="487"/>
      <c r="O60" s="489"/>
      <c r="P60" s="490"/>
      <c r="Q60" s="491"/>
      <c r="R60" s="188">
        <v>2</v>
      </c>
      <c r="S60" s="217"/>
      <c r="T60" s="184" t="str">
        <f t="shared" si="9"/>
        <v/>
      </c>
      <c r="U60" s="184"/>
      <c r="V60" s="184"/>
      <c r="W60" s="184"/>
      <c r="X60" s="184"/>
      <c r="Y60" s="228"/>
      <c r="Z60" s="228"/>
      <c r="AA60" s="174" t="str">
        <f t="shared" si="6"/>
        <v/>
      </c>
      <c r="AB60" s="228"/>
      <c r="AC60" s="228"/>
      <c r="AD60" s="228"/>
      <c r="AE60" s="180" t="str">
        <f>IFERROR(IF(AND(T59="Probabilidad",T60="Probabilidad"),(AG59-(+AG59*AA60)),IF(T60="Probabilidad",(L59-(+L59*AA60)),IF(T60="Impacto",AG59,""))),"")</f>
        <v/>
      </c>
      <c r="AF60" s="176" t="str">
        <f t="shared" si="4"/>
        <v/>
      </c>
      <c r="AG60" s="174" t="str">
        <f t="shared" si="7"/>
        <v/>
      </c>
      <c r="AH60" s="176" t="str">
        <f t="shared" si="5"/>
        <v/>
      </c>
      <c r="AI60" s="174" t="str">
        <f>IFERROR(IF(AND(T59="Impacto",T60="Impacto"),(AI53-(+AI53*AA60)),IF(T60="Impacto",($P$59-(+$P$59*AA60)),IF(T60="Probabilidad",AI53,""))),"")</f>
        <v/>
      </c>
      <c r="AJ60" s="177" t="str">
        <f t="shared" si="8"/>
        <v/>
      </c>
      <c r="AK60" s="472"/>
      <c r="AL60" s="189"/>
      <c r="AM60" s="188"/>
      <c r="AN60" s="191"/>
      <c r="AO60" s="148"/>
      <c r="AP60" s="143"/>
      <c r="AQ60" s="148"/>
      <c r="AR60" s="143"/>
      <c r="AS60" s="148"/>
      <c r="AT60" s="143"/>
      <c r="AU60" s="148"/>
      <c r="AV60" s="143"/>
      <c r="AW60" s="147"/>
      <c r="AX60" s="143"/>
      <c r="AY60" s="143"/>
      <c r="AZ60" s="147"/>
      <c r="BA60" s="148"/>
      <c r="BB60" s="148"/>
      <c r="BC60" s="143"/>
      <c r="BD60" s="143"/>
      <c r="BE60" s="147"/>
      <c r="BF60" s="148"/>
      <c r="BG60" s="148"/>
      <c r="BH60" s="143"/>
      <c r="BI60" s="143"/>
      <c r="BJ60" s="147"/>
      <c r="BK60" s="148"/>
      <c r="BL60" s="148"/>
      <c r="BM60" s="143"/>
      <c r="BN60" s="143"/>
      <c r="BO60" s="147"/>
      <c r="BP60" s="148"/>
      <c r="BQ60" s="148"/>
      <c r="BR60" s="170"/>
      <c r="BS60" s="143"/>
      <c r="BT60" s="143"/>
      <c r="BU60" s="143"/>
      <c r="BV60" s="148"/>
      <c r="BW60" s="143"/>
      <c r="BX60" s="143"/>
      <c r="BY60" s="746"/>
      <c r="BZ60" s="143"/>
      <c r="CA60" s="147"/>
      <c r="CB60" s="143"/>
    </row>
    <row r="61" spans="1:106" ht="16.5" customHeight="1" x14ac:dyDescent="0.2">
      <c r="A61" s="463"/>
      <c r="B61" s="464"/>
      <c r="C61" s="464"/>
      <c r="D61" s="464"/>
      <c r="E61" s="492"/>
      <c r="F61" s="464"/>
      <c r="G61" s="464"/>
      <c r="H61" s="464"/>
      <c r="I61" s="464"/>
      <c r="J61" s="463"/>
      <c r="K61" s="489"/>
      <c r="L61" s="490"/>
      <c r="M61" s="485"/>
      <c r="N61" s="487"/>
      <c r="O61" s="489"/>
      <c r="P61" s="490"/>
      <c r="Q61" s="491"/>
      <c r="R61" s="188">
        <v>3</v>
      </c>
      <c r="S61" s="217"/>
      <c r="T61" s="184" t="str">
        <f t="shared" si="9"/>
        <v/>
      </c>
      <c r="U61" s="184"/>
      <c r="V61" s="184"/>
      <c r="W61" s="184"/>
      <c r="X61" s="184"/>
      <c r="Y61" s="228"/>
      <c r="Z61" s="228"/>
      <c r="AA61" s="174" t="str">
        <f t="shared" si="6"/>
        <v/>
      </c>
      <c r="AB61" s="228"/>
      <c r="AC61" s="228"/>
      <c r="AD61" s="228"/>
      <c r="AE61" s="180" t="str">
        <f>IFERROR(IF(AND(T60="Probabilidad",T61="Probabilidad"),(AG60-(+AG60*AA61)),IF(AND(T60="Impacto",T61="Probabilidad"),(AG59-(+AG59*AA61)),IF(T61="Impacto",AG60,""))),"")</f>
        <v/>
      </c>
      <c r="AF61" s="176" t="str">
        <f t="shared" si="4"/>
        <v/>
      </c>
      <c r="AG61" s="174" t="str">
        <f t="shared" si="7"/>
        <v/>
      </c>
      <c r="AH61" s="176" t="str">
        <f t="shared" si="5"/>
        <v/>
      </c>
      <c r="AI61" s="174" t="str">
        <f>IFERROR(IF(AND(T60="Impacto",T61="Impacto"),(AI60-(+AI60*AA61)),IF(AND(T60="Probabilidad",T61="Impacto"),(AI59-(+AI59*AA61)),IF(T61="Probabilidad",AI60,""))),"")</f>
        <v/>
      </c>
      <c r="AJ61" s="177" t="str">
        <f t="shared" si="8"/>
        <v/>
      </c>
      <c r="AK61" s="472"/>
      <c r="AL61" s="189"/>
      <c r="AM61" s="188"/>
      <c r="AN61" s="191"/>
      <c r="AO61" s="148"/>
      <c r="AP61" s="143"/>
      <c r="AQ61" s="148"/>
      <c r="AR61" s="143"/>
      <c r="AS61" s="148"/>
      <c r="AT61" s="143"/>
      <c r="AU61" s="148"/>
      <c r="AV61" s="143"/>
      <c r="AW61" s="147"/>
      <c r="AX61" s="143"/>
      <c r="AY61" s="143"/>
      <c r="AZ61" s="147"/>
      <c r="BA61" s="148"/>
      <c r="BB61" s="148"/>
      <c r="BC61" s="143"/>
      <c r="BD61" s="143"/>
      <c r="BE61" s="147"/>
      <c r="BF61" s="148"/>
      <c r="BG61" s="148"/>
      <c r="BH61" s="143"/>
      <c r="BI61" s="143"/>
      <c r="BJ61" s="147"/>
      <c r="BK61" s="148"/>
      <c r="BL61" s="148"/>
      <c r="BM61" s="143"/>
      <c r="BN61" s="143"/>
      <c r="BO61" s="147"/>
      <c r="BP61" s="148"/>
      <c r="BQ61" s="148"/>
      <c r="BR61" s="170"/>
      <c r="BS61" s="143"/>
      <c r="BT61" s="143"/>
      <c r="BU61" s="143"/>
      <c r="BV61" s="148"/>
      <c r="BW61" s="143"/>
      <c r="BX61" s="143"/>
      <c r="BY61" s="746"/>
      <c r="BZ61" s="143"/>
      <c r="CA61" s="147"/>
      <c r="CB61" s="143"/>
    </row>
    <row r="62" spans="1:106" ht="16.5" customHeight="1" x14ac:dyDescent="0.2">
      <c r="A62" s="463"/>
      <c r="B62" s="464"/>
      <c r="C62" s="464"/>
      <c r="D62" s="464"/>
      <c r="E62" s="492"/>
      <c r="F62" s="464"/>
      <c r="G62" s="464"/>
      <c r="H62" s="464"/>
      <c r="I62" s="464"/>
      <c r="J62" s="463"/>
      <c r="K62" s="489"/>
      <c r="L62" s="490"/>
      <c r="M62" s="485"/>
      <c r="N62" s="487"/>
      <c r="O62" s="489"/>
      <c r="P62" s="490"/>
      <c r="Q62" s="491"/>
      <c r="R62" s="188">
        <v>4</v>
      </c>
      <c r="S62" s="217"/>
      <c r="T62" s="184" t="str">
        <f t="shared" si="9"/>
        <v/>
      </c>
      <c r="U62" s="184"/>
      <c r="V62" s="184"/>
      <c r="W62" s="184"/>
      <c r="X62" s="184"/>
      <c r="Y62" s="228"/>
      <c r="Z62" s="228"/>
      <c r="AA62" s="174" t="str">
        <f t="shared" si="6"/>
        <v/>
      </c>
      <c r="AB62" s="228"/>
      <c r="AC62" s="228"/>
      <c r="AD62" s="228"/>
      <c r="AE62" s="180" t="str">
        <f>IFERROR(IF(AND(T61="Probabilidad",T62="Probabilidad"),(AG61-(+AG61*AA62)),IF(AND(T61="Impacto",T62="Probabilidad"),(AG60-(+AG60*AA62)),IF(T62="Impacto",AG61,""))),"")</f>
        <v/>
      </c>
      <c r="AF62" s="176" t="str">
        <f t="shared" si="4"/>
        <v/>
      </c>
      <c r="AG62" s="174" t="str">
        <f t="shared" si="7"/>
        <v/>
      </c>
      <c r="AH62" s="176" t="str">
        <f t="shared" si="5"/>
        <v/>
      </c>
      <c r="AI62" s="174" t="str">
        <f>IFERROR(IF(AND(T61="Impacto",T62="Impacto"),(AI61-(+AI61*AA62)),IF(AND(T61="Probabilidad",T62="Impacto"),(AI60-(+AI60*AA62)),IF(T62="Probabilidad",AI61,""))),"")</f>
        <v/>
      </c>
      <c r="AJ62" s="177" t="str">
        <f t="shared" si="8"/>
        <v/>
      </c>
      <c r="AK62" s="472"/>
      <c r="AL62" s="189"/>
      <c r="AM62" s="188"/>
      <c r="AN62" s="191"/>
      <c r="AO62" s="148"/>
      <c r="AP62" s="143"/>
      <c r="AQ62" s="148"/>
      <c r="AR62" s="143"/>
      <c r="AS62" s="148"/>
      <c r="AT62" s="143"/>
      <c r="AU62" s="148"/>
      <c r="AV62" s="143"/>
      <c r="AW62" s="147"/>
      <c r="AX62" s="143"/>
      <c r="AY62" s="143"/>
      <c r="AZ62" s="147"/>
      <c r="BA62" s="148"/>
      <c r="BB62" s="148"/>
      <c r="BC62" s="143"/>
      <c r="BD62" s="143"/>
      <c r="BE62" s="147"/>
      <c r="BF62" s="148"/>
      <c r="BG62" s="148"/>
      <c r="BH62" s="143"/>
      <c r="BI62" s="143"/>
      <c r="BJ62" s="147"/>
      <c r="BK62" s="148"/>
      <c r="BL62" s="148"/>
      <c r="BM62" s="143"/>
      <c r="BN62" s="143"/>
      <c r="BO62" s="147"/>
      <c r="BP62" s="148"/>
      <c r="BQ62" s="148"/>
      <c r="BR62" s="170"/>
      <c r="BS62" s="143"/>
      <c r="BT62" s="143"/>
      <c r="BU62" s="143"/>
      <c r="BV62" s="148"/>
      <c r="BW62" s="143"/>
      <c r="BX62" s="143"/>
      <c r="BY62" s="746"/>
      <c r="BZ62" s="143"/>
      <c r="CA62" s="147"/>
      <c r="CB62" s="143"/>
    </row>
    <row r="63" spans="1:106" ht="16.5" customHeight="1" x14ac:dyDescent="0.2">
      <c r="A63" s="463"/>
      <c r="B63" s="464"/>
      <c r="C63" s="464"/>
      <c r="D63" s="464"/>
      <c r="E63" s="492"/>
      <c r="F63" s="464"/>
      <c r="G63" s="464"/>
      <c r="H63" s="464"/>
      <c r="I63" s="464"/>
      <c r="J63" s="463"/>
      <c r="K63" s="489"/>
      <c r="L63" s="490"/>
      <c r="M63" s="485"/>
      <c r="N63" s="487"/>
      <c r="O63" s="489"/>
      <c r="P63" s="490"/>
      <c r="Q63" s="491"/>
      <c r="R63" s="188">
        <v>5</v>
      </c>
      <c r="S63" s="217"/>
      <c r="T63" s="184" t="str">
        <f t="shared" si="9"/>
        <v/>
      </c>
      <c r="U63" s="184"/>
      <c r="V63" s="184"/>
      <c r="W63" s="184"/>
      <c r="X63" s="184"/>
      <c r="Y63" s="228"/>
      <c r="Z63" s="228"/>
      <c r="AA63" s="174" t="str">
        <f t="shared" si="6"/>
        <v/>
      </c>
      <c r="AB63" s="228"/>
      <c r="AC63" s="228"/>
      <c r="AD63" s="228"/>
      <c r="AE63" s="180" t="str">
        <f>IFERROR(IF(AND(T62="Probabilidad",T63="Probabilidad"),(AG62-(+AG62*AA63)),IF(AND(T62="Impacto",T63="Probabilidad"),(AG61-(+AG61*AA63)),IF(T63="Impacto",AG62,""))),"")</f>
        <v/>
      </c>
      <c r="AF63" s="176" t="str">
        <f t="shared" si="4"/>
        <v/>
      </c>
      <c r="AG63" s="174" t="str">
        <f t="shared" si="7"/>
        <v/>
      </c>
      <c r="AH63" s="176" t="str">
        <f t="shared" si="5"/>
        <v/>
      </c>
      <c r="AI63" s="174" t="str">
        <f>IFERROR(IF(AND(T62="Impacto",T63="Impacto"),(AI62-(+AI62*AA63)),IF(AND(T62="Probabilidad",T63="Impacto"),(AI61-(+AI61*AA63)),IF(T63="Probabilidad",AI62,""))),"")</f>
        <v/>
      </c>
      <c r="AJ63" s="177" t="str">
        <f t="shared" si="8"/>
        <v/>
      </c>
      <c r="AK63" s="472"/>
      <c r="AL63" s="189"/>
      <c r="AM63" s="188"/>
      <c r="AN63" s="191"/>
      <c r="AO63" s="148"/>
      <c r="AP63" s="143"/>
      <c r="AQ63" s="148"/>
      <c r="AR63" s="143"/>
      <c r="AS63" s="148"/>
      <c r="AT63" s="143"/>
      <c r="AU63" s="148"/>
      <c r="AV63" s="143"/>
      <c r="AW63" s="147"/>
      <c r="AX63" s="143"/>
      <c r="AY63" s="143"/>
      <c r="AZ63" s="147"/>
      <c r="BA63" s="148"/>
      <c r="BB63" s="148"/>
      <c r="BC63" s="143"/>
      <c r="BD63" s="143"/>
      <c r="BE63" s="147"/>
      <c r="BF63" s="148"/>
      <c r="BG63" s="148"/>
      <c r="BH63" s="143"/>
      <c r="BI63" s="143"/>
      <c r="BJ63" s="147"/>
      <c r="BK63" s="148"/>
      <c r="BL63" s="148"/>
      <c r="BM63" s="143"/>
      <c r="BN63" s="143"/>
      <c r="BO63" s="147"/>
      <c r="BP63" s="148"/>
      <c r="BQ63" s="148"/>
      <c r="BR63" s="170"/>
      <c r="BS63" s="143"/>
      <c r="BT63" s="143"/>
      <c r="BU63" s="143"/>
      <c r="BV63" s="148"/>
      <c r="BW63" s="143"/>
      <c r="BX63" s="143"/>
      <c r="BY63" s="746"/>
      <c r="BZ63" s="143"/>
      <c r="CA63" s="147"/>
      <c r="CB63" s="143"/>
    </row>
    <row r="64" spans="1:106" ht="16.5" customHeight="1" x14ac:dyDescent="0.2">
      <c r="A64" s="463"/>
      <c r="B64" s="464"/>
      <c r="C64" s="464"/>
      <c r="D64" s="464"/>
      <c r="E64" s="492"/>
      <c r="F64" s="464"/>
      <c r="G64" s="464"/>
      <c r="H64" s="464"/>
      <c r="I64" s="464"/>
      <c r="J64" s="463"/>
      <c r="K64" s="489"/>
      <c r="L64" s="490"/>
      <c r="M64" s="485"/>
      <c r="N64" s="488"/>
      <c r="O64" s="489"/>
      <c r="P64" s="490"/>
      <c r="Q64" s="491"/>
      <c r="R64" s="188">
        <v>6</v>
      </c>
      <c r="S64" s="217"/>
      <c r="T64" s="184" t="str">
        <f t="shared" si="9"/>
        <v/>
      </c>
      <c r="U64" s="184"/>
      <c r="V64" s="184"/>
      <c r="W64" s="184"/>
      <c r="X64" s="184"/>
      <c r="Y64" s="228"/>
      <c r="Z64" s="228"/>
      <c r="AA64" s="174" t="str">
        <f t="shared" si="6"/>
        <v/>
      </c>
      <c r="AB64" s="228"/>
      <c r="AC64" s="228"/>
      <c r="AD64" s="228"/>
      <c r="AE64" s="180" t="str">
        <f>IFERROR(IF(AND(T63="Probabilidad",T64="Probabilidad"),(AG63-(+AG63*AA64)),IF(AND(T63="Impacto",T64="Probabilidad"),(AG62-(+AG62*AA64)),IF(T64="Impacto",AG63,""))),"")</f>
        <v/>
      </c>
      <c r="AF64" s="176" t="str">
        <f t="shared" si="4"/>
        <v/>
      </c>
      <c r="AG64" s="174" t="str">
        <f t="shared" si="7"/>
        <v/>
      </c>
      <c r="AH64" s="176" t="str">
        <f t="shared" si="5"/>
        <v/>
      </c>
      <c r="AI64" s="174" t="str">
        <f>IFERROR(IF(AND(T63="Impacto",T64="Impacto"),(AI63-(+AI63*AA64)),IF(AND(T63="Probabilidad",T64="Impacto"),(AI62-(+AI62*AA64)),IF(T64="Probabilidad",AI63,""))),"")</f>
        <v/>
      </c>
      <c r="AJ64" s="177" t="str">
        <f t="shared" si="8"/>
        <v/>
      </c>
      <c r="AK64" s="473"/>
      <c r="AL64" s="189"/>
      <c r="AM64" s="188"/>
      <c r="AN64" s="191"/>
      <c r="AO64" s="148"/>
      <c r="AP64" s="143"/>
      <c r="AQ64" s="148"/>
      <c r="AR64" s="143"/>
      <c r="AS64" s="148"/>
      <c r="AT64" s="143"/>
      <c r="AU64" s="148"/>
      <c r="AV64" s="143"/>
      <c r="AW64" s="147"/>
      <c r="AX64" s="143"/>
      <c r="AY64" s="143"/>
      <c r="AZ64" s="147"/>
      <c r="BA64" s="148"/>
      <c r="BB64" s="148"/>
      <c r="BC64" s="143"/>
      <c r="BD64" s="143"/>
      <c r="BE64" s="147"/>
      <c r="BF64" s="148"/>
      <c r="BG64" s="148"/>
      <c r="BH64" s="143"/>
      <c r="BI64" s="143"/>
      <c r="BJ64" s="147"/>
      <c r="BK64" s="148"/>
      <c r="BL64" s="148"/>
      <c r="BM64" s="143"/>
      <c r="BN64" s="143"/>
      <c r="BO64" s="147"/>
      <c r="BP64" s="148"/>
      <c r="BQ64" s="148"/>
      <c r="BR64" s="170"/>
      <c r="BS64" s="143"/>
      <c r="BT64" s="143"/>
      <c r="BU64" s="143"/>
      <c r="BV64" s="148"/>
      <c r="BW64" s="143"/>
      <c r="BX64" s="143"/>
      <c r="BY64" s="746"/>
      <c r="BZ64" s="143"/>
      <c r="CA64" s="147"/>
      <c r="CB64" s="143"/>
    </row>
  </sheetData>
  <sheetProtection algorithmName="SHA-512" hashValue="A76+OztFy3jg8BfogMLXo2ZPyq6ylCwR6KvyxmRRKVvz3QDjyqZUBeGKa59VOfW6FPXGvBwPXUZZ7FABmg6otw==" saltValue="z2lrUTVLZhgXPNWgZOsF4Q==" spinCount="100000" sheet="1" objects="1" scenarios="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36" priority="231" operator="equal">
      <formula>"Muy Baja"</formula>
    </cfRule>
    <cfRule type="cellIs" dxfId="235" priority="227" operator="equal">
      <formula>"Muy Alta"</formula>
    </cfRule>
    <cfRule type="cellIs" dxfId="234" priority="230" operator="equal">
      <formula>"Baja"</formula>
    </cfRule>
    <cfRule type="cellIs" dxfId="233" priority="229" operator="equal">
      <formula>"Media"</formula>
    </cfRule>
    <cfRule type="cellIs" dxfId="232" priority="228" operator="equal">
      <formula>"Alta"</formula>
    </cfRule>
  </conditionalFormatting>
  <conditionalFormatting sqref="K17">
    <cfRule type="cellIs" dxfId="231" priority="182" operator="equal">
      <formula>"Alta"</formula>
    </cfRule>
    <cfRule type="cellIs" dxfId="230" priority="185" operator="equal">
      <formula>"Muy Baja"</formula>
    </cfRule>
    <cfRule type="cellIs" dxfId="229" priority="181" operator="equal">
      <formula>"Muy Alta"</formula>
    </cfRule>
    <cfRule type="cellIs" dxfId="228" priority="184" operator="equal">
      <formula>"Baja"</formula>
    </cfRule>
    <cfRule type="cellIs" dxfId="227" priority="183" operator="equal">
      <formula>"Media"</formula>
    </cfRule>
  </conditionalFormatting>
  <conditionalFormatting sqref="K23">
    <cfRule type="cellIs" dxfId="226" priority="162" operator="equal">
      <formula>"Muy Baja"</formula>
    </cfRule>
    <cfRule type="cellIs" dxfId="225" priority="160" operator="equal">
      <formula>"Media"</formula>
    </cfRule>
    <cfRule type="cellIs" dxfId="224" priority="158" operator="equal">
      <formula>"Muy Alta"</formula>
    </cfRule>
    <cfRule type="cellIs" dxfId="223" priority="159" operator="equal">
      <formula>"Alta"</formula>
    </cfRule>
    <cfRule type="cellIs" dxfId="222" priority="161" operator="equal">
      <formula>"Baja"</formula>
    </cfRule>
  </conditionalFormatting>
  <conditionalFormatting sqref="K29">
    <cfRule type="cellIs" dxfId="221" priority="136" operator="equal">
      <formula>"Alta"</formula>
    </cfRule>
    <cfRule type="cellIs" dxfId="220" priority="135" operator="equal">
      <formula>"Muy Alta"</formula>
    </cfRule>
    <cfRule type="cellIs" dxfId="219" priority="137" operator="equal">
      <formula>"Media"</formula>
    </cfRule>
    <cfRule type="cellIs" dxfId="218" priority="138" operator="equal">
      <formula>"Baja"</formula>
    </cfRule>
    <cfRule type="cellIs" dxfId="217" priority="139" operator="equal">
      <formula>"Muy Baja"</formula>
    </cfRule>
  </conditionalFormatting>
  <conditionalFormatting sqref="K35">
    <cfRule type="cellIs" dxfId="216" priority="112" operator="equal">
      <formula>"Muy Alta"</formula>
    </cfRule>
    <cfRule type="cellIs" dxfId="215" priority="114" operator="equal">
      <formula>"Media"</formula>
    </cfRule>
    <cfRule type="cellIs" dxfId="214" priority="116" operator="equal">
      <formula>"Muy Baja"</formula>
    </cfRule>
    <cfRule type="cellIs" dxfId="213" priority="115" operator="equal">
      <formula>"Baja"</formula>
    </cfRule>
    <cfRule type="cellIs" dxfId="212" priority="113" operator="equal">
      <formula>"Alta"</formula>
    </cfRule>
  </conditionalFormatting>
  <conditionalFormatting sqref="K41">
    <cfRule type="cellIs" dxfId="211" priority="93" operator="equal">
      <formula>"Muy Baja"</formula>
    </cfRule>
    <cfRule type="cellIs" dxfId="210" priority="89" operator="equal">
      <formula>"Muy Alta"</formula>
    </cfRule>
    <cfRule type="cellIs" dxfId="209" priority="90" operator="equal">
      <formula>"Alta"</formula>
    </cfRule>
    <cfRule type="cellIs" dxfId="208" priority="91" operator="equal">
      <formula>"Media"</formula>
    </cfRule>
    <cfRule type="cellIs" dxfId="207" priority="92" operator="equal">
      <formula>"Baja"</formula>
    </cfRule>
  </conditionalFormatting>
  <conditionalFormatting sqref="K47">
    <cfRule type="cellIs" dxfId="206" priority="66" operator="equal">
      <formula>"Muy Alta"</formula>
    </cfRule>
    <cfRule type="cellIs" dxfId="205" priority="68" operator="equal">
      <formula>"Media"</formula>
    </cfRule>
    <cfRule type="cellIs" dxfId="204" priority="69" operator="equal">
      <formula>"Baja"</formula>
    </cfRule>
    <cfRule type="cellIs" dxfId="203" priority="70" operator="equal">
      <formula>"Muy Baja"</formula>
    </cfRule>
    <cfRule type="cellIs" dxfId="202" priority="67" operator="equal">
      <formula>"Alta"</formula>
    </cfRule>
  </conditionalFormatting>
  <conditionalFormatting sqref="K53">
    <cfRule type="cellIs" dxfId="201" priority="46" operator="equal">
      <formula>"Baja"</formula>
    </cfRule>
    <cfRule type="cellIs" dxfId="200" priority="43" operator="equal">
      <formula>"Muy Alta"</formula>
    </cfRule>
    <cfRule type="cellIs" dxfId="199" priority="44" operator="equal">
      <formula>"Alta"</formula>
    </cfRule>
    <cfRule type="cellIs" dxfId="198" priority="45" operator="equal">
      <formula>"Media"</formula>
    </cfRule>
    <cfRule type="cellIs" dxfId="197" priority="47" operator="equal">
      <formula>"Muy Baja"</formula>
    </cfRule>
  </conditionalFormatting>
  <conditionalFormatting sqref="K59">
    <cfRule type="cellIs" dxfId="196" priority="24" operator="equal">
      <formula>"Muy Baja"</formula>
    </cfRule>
    <cfRule type="cellIs" dxfId="195" priority="20" operator="equal">
      <formula>"Muy Alta"</formula>
    </cfRule>
    <cfRule type="cellIs" dxfId="194" priority="23" operator="equal">
      <formula>"Baja"</formula>
    </cfRule>
    <cfRule type="cellIs" dxfId="193" priority="22" operator="equal">
      <formula>"Media"</formula>
    </cfRule>
    <cfRule type="cellIs" dxfId="192" priority="21" operator="equal">
      <formula>"Alta"</formula>
    </cfRule>
  </conditionalFormatting>
  <conditionalFormatting sqref="N5 N11 N17 N23 N29 N35 N41 N47 N53 N59">
    <cfRule type="containsText" dxfId="191" priority="1" operator="containsText" text="❌">
      <formula>NOT(ISERROR(SEARCH("❌",N5)))</formula>
    </cfRule>
  </conditionalFormatting>
  <conditionalFormatting sqref="O5 O11 O17 O23 O29 O35 O41 O47 O53 O59">
    <cfRule type="cellIs" dxfId="190" priority="226" operator="equal">
      <formula>"Leve"</formula>
    </cfRule>
    <cfRule type="cellIs" dxfId="189" priority="222" operator="equal">
      <formula>"Catastrófico"</formula>
    </cfRule>
    <cfRule type="cellIs" dxfId="188" priority="223" operator="equal">
      <formula>"Mayor"</formula>
    </cfRule>
    <cfRule type="cellIs" dxfId="187" priority="224" operator="equal">
      <formula>"Moderado"</formula>
    </cfRule>
    <cfRule type="cellIs" dxfId="186" priority="225" operator="equal">
      <formula>"Menor"</formula>
    </cfRule>
  </conditionalFormatting>
  <conditionalFormatting sqref="Q5">
    <cfRule type="cellIs" dxfId="185" priority="221" operator="equal">
      <formula>"Bajo"</formula>
    </cfRule>
    <cfRule type="cellIs" dxfId="184" priority="218" operator="equal">
      <formula>"Extremo"</formula>
    </cfRule>
    <cfRule type="cellIs" dxfId="183" priority="219" operator="equal">
      <formula>"Alto"</formula>
    </cfRule>
    <cfRule type="cellIs" dxfId="182" priority="220" operator="equal">
      <formula>"Moderado"</formula>
    </cfRule>
  </conditionalFormatting>
  <conditionalFormatting sqref="Q11">
    <cfRule type="cellIs" dxfId="181" priority="200" operator="equal">
      <formula>"Extremo"</formula>
    </cfRule>
    <cfRule type="cellIs" dxfId="180" priority="203" operator="equal">
      <formula>"Bajo"</formula>
    </cfRule>
    <cfRule type="cellIs" dxfId="179" priority="202" operator="equal">
      <formula>"Moderado"</formula>
    </cfRule>
    <cfRule type="cellIs" dxfId="178" priority="201" operator="equal">
      <formula>"Alto"</formula>
    </cfRule>
  </conditionalFormatting>
  <conditionalFormatting sqref="Q17">
    <cfRule type="cellIs" dxfId="177" priority="180" operator="equal">
      <formula>"Bajo"</formula>
    </cfRule>
    <cfRule type="cellIs" dxfId="176" priority="177" operator="equal">
      <formula>"Extremo"</formula>
    </cfRule>
    <cfRule type="cellIs" dxfId="175" priority="178" operator="equal">
      <formula>"Alto"</formula>
    </cfRule>
    <cfRule type="cellIs" dxfId="174" priority="179" operator="equal">
      <formula>"Moderado"</formula>
    </cfRule>
  </conditionalFormatting>
  <conditionalFormatting sqref="Q23">
    <cfRule type="cellIs" dxfId="173" priority="154" operator="equal">
      <formula>"Extremo"</formula>
    </cfRule>
    <cfRule type="cellIs" dxfId="172" priority="155" operator="equal">
      <formula>"Alto"</formula>
    </cfRule>
    <cfRule type="cellIs" dxfId="171" priority="156" operator="equal">
      <formula>"Moderado"</formula>
    </cfRule>
    <cfRule type="cellIs" dxfId="170" priority="157" operator="equal">
      <formula>"Bajo"</formula>
    </cfRule>
  </conditionalFormatting>
  <conditionalFormatting sqref="Q29">
    <cfRule type="cellIs" dxfId="169" priority="132" operator="equal">
      <formula>"Alto"</formula>
    </cfRule>
    <cfRule type="cellIs" dxfId="168" priority="131" operator="equal">
      <formula>"Extremo"</formula>
    </cfRule>
    <cfRule type="cellIs" dxfId="167" priority="133" operator="equal">
      <formula>"Moderado"</formula>
    </cfRule>
    <cfRule type="cellIs" dxfId="166" priority="134" operator="equal">
      <formula>"Bajo"</formula>
    </cfRule>
  </conditionalFormatting>
  <conditionalFormatting sqref="Q35">
    <cfRule type="cellIs" dxfId="165" priority="110" operator="equal">
      <formula>"Moderado"</formula>
    </cfRule>
    <cfRule type="cellIs" dxfId="164" priority="109" operator="equal">
      <formula>"Alto"</formula>
    </cfRule>
    <cfRule type="cellIs" dxfId="163" priority="111" operator="equal">
      <formula>"Bajo"</formula>
    </cfRule>
    <cfRule type="cellIs" dxfId="162" priority="108" operator="equal">
      <formula>"Extremo"</formula>
    </cfRule>
  </conditionalFormatting>
  <conditionalFormatting sqref="Q41">
    <cfRule type="cellIs" dxfId="161" priority="88" operator="equal">
      <formula>"Bajo"</formula>
    </cfRule>
    <cfRule type="cellIs" dxfId="160" priority="87" operator="equal">
      <formula>"Moderado"</formula>
    </cfRule>
    <cfRule type="cellIs" dxfId="159" priority="86" operator="equal">
      <formula>"Alto"</formula>
    </cfRule>
    <cfRule type="cellIs" dxfId="158" priority="85" operator="equal">
      <formula>"Extremo"</formula>
    </cfRule>
  </conditionalFormatting>
  <conditionalFormatting sqref="Q47">
    <cfRule type="cellIs" dxfId="157" priority="62" operator="equal">
      <formula>"Extremo"</formula>
    </cfRule>
    <cfRule type="cellIs" dxfId="156" priority="63" operator="equal">
      <formula>"Alto"</formula>
    </cfRule>
    <cfRule type="cellIs" dxfId="155" priority="65" operator="equal">
      <formula>"Bajo"</formula>
    </cfRule>
    <cfRule type="cellIs" dxfId="154" priority="64" operator="equal">
      <formula>"Moderado"</formula>
    </cfRule>
  </conditionalFormatting>
  <conditionalFormatting sqref="Q53">
    <cfRule type="cellIs" dxfId="153" priority="39" operator="equal">
      <formula>"Extremo"</formula>
    </cfRule>
    <cfRule type="cellIs" dxfId="152" priority="40" operator="equal">
      <formula>"Alto"</formula>
    </cfRule>
    <cfRule type="cellIs" dxfId="151" priority="42" operator="equal">
      <formula>"Bajo"</formula>
    </cfRule>
    <cfRule type="cellIs" dxfId="150" priority="41" operator="equal">
      <formula>"Moderado"</formula>
    </cfRule>
  </conditionalFormatting>
  <conditionalFormatting sqref="Q59">
    <cfRule type="cellIs" dxfId="149" priority="16" operator="equal">
      <formula>"Extremo"</formula>
    </cfRule>
    <cfRule type="cellIs" dxfId="148" priority="19" operator="equal">
      <formula>"Bajo"</formula>
    </cfRule>
    <cfRule type="cellIs" dxfId="147" priority="18" operator="equal">
      <formula>"Moderado"</formula>
    </cfRule>
    <cfRule type="cellIs" dxfId="146" priority="17" operator="equal">
      <formula>"Alto"</formula>
    </cfRule>
  </conditionalFormatting>
  <conditionalFormatting sqref="AF5:AF64">
    <cfRule type="cellIs" dxfId="145" priority="15" operator="equal">
      <formula>"Muy Baja"</formula>
    </cfRule>
    <cfRule type="cellIs" dxfId="144" priority="13" operator="equal">
      <formula>"Media"</formula>
    </cfRule>
    <cfRule type="cellIs" dxfId="143" priority="12" operator="equal">
      <formula>"Alta"</formula>
    </cfRule>
    <cfRule type="cellIs" dxfId="142" priority="11" operator="equal">
      <formula>"Muy Alta"</formula>
    </cfRule>
    <cfRule type="cellIs" dxfId="141" priority="14" operator="equal">
      <formula>"Baja"</formula>
    </cfRule>
  </conditionalFormatting>
  <conditionalFormatting sqref="AH5:AH64">
    <cfRule type="cellIs" dxfId="140" priority="10" operator="equal">
      <formula>"Leve"</formula>
    </cfRule>
    <cfRule type="cellIs" dxfId="139" priority="9" operator="equal">
      <formula>"Menor"</formula>
    </cfRule>
    <cfRule type="cellIs" dxfId="138" priority="7" operator="equal">
      <formula>"Mayor"</formula>
    </cfRule>
    <cfRule type="cellIs" dxfId="137" priority="6" operator="equal">
      <formula>"Catastrófico"</formula>
    </cfRule>
    <cfRule type="cellIs" dxfId="136" priority="8" operator="equal">
      <formula>"Moderado"</formula>
    </cfRule>
  </conditionalFormatting>
  <conditionalFormatting sqref="AJ5:AJ64">
    <cfRule type="cellIs" dxfId="135" priority="2" operator="equal">
      <formula>"Extremo"</formula>
    </cfRule>
    <cfRule type="cellIs" dxfId="134" priority="5" operator="equal">
      <formula>"Bajo"</formula>
    </cfRule>
    <cfRule type="cellIs" dxfId="133" priority="4" operator="equal">
      <formula>"Moderado"</formula>
    </cfRule>
    <cfRule type="cellIs" dxfId="132" priority="3" operator="equal">
      <formula>"Alto"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BQ5:BQ64 BG5:BG64 BL5:BL64 BB6:BB10 BB13:BB64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Y2" zoomScale="70" zoomScaleNormal="70" zoomScaleSheetLayoutView="10" zoomScalePageLayoutView="55" workbookViewId="0">
      <pane ySplit="3" topLeftCell="A9" activePane="bottomLeft" state="frozen"/>
      <selection activeCell="A2" sqref="A2"/>
      <selection pane="bottomLeft" activeCell="CC11" sqref="CC11"/>
    </sheetView>
  </sheetViews>
  <sheetFormatPr baseColWidth="10" defaultColWidth="11.42578125" defaultRowHeight="21" customHeight="1" x14ac:dyDescent="0.2"/>
  <cols>
    <col min="1" max="1" width="4" style="185" bestFit="1" customWidth="1"/>
    <col min="2" max="4" width="18.7109375" style="186" customWidth="1"/>
    <col min="5" max="5" width="32.42578125" style="187" customWidth="1"/>
    <col min="6" max="6" width="14.140625" style="185" customWidth="1"/>
    <col min="7" max="8" width="16.140625" style="185" customWidth="1"/>
    <col min="9" max="9" width="19" style="211" customWidth="1"/>
    <col min="10" max="12" width="17.85546875" style="187" customWidth="1"/>
    <col min="13" max="13" width="16.5703125" style="187" customWidth="1"/>
    <col min="14" max="14" width="5.85546875" style="187" customWidth="1"/>
    <col min="15" max="15" width="48.42578125" style="187" customWidth="1"/>
    <col min="16" max="24" width="31" style="187" hidden="1" customWidth="1"/>
    <col min="25" max="25" width="31" style="212" hidden="1" customWidth="1"/>
    <col min="26" max="26" width="31" style="213" hidden="1" customWidth="1"/>
    <col min="27" max="36" width="31" style="187" hidden="1" customWidth="1"/>
    <col min="37" max="37" width="17.85546875" style="187" hidden="1" customWidth="1"/>
    <col min="38" max="38" width="16.5703125" style="187" hidden="1" customWidth="1"/>
    <col min="39" max="39" width="31" style="187" hidden="1" customWidth="1"/>
    <col min="40" max="40" width="23" style="187" customWidth="1"/>
    <col min="41" max="41" width="18.85546875" style="187" customWidth="1"/>
    <col min="42" max="42" width="22.140625" style="187" customWidth="1"/>
    <col min="43" max="43" width="20.5703125" style="144" hidden="1" customWidth="1"/>
    <col min="44" max="44" width="18.5703125" style="144" hidden="1" customWidth="1"/>
    <col min="45" max="45" width="20.5703125" style="144" customWidth="1"/>
    <col min="46" max="46" width="18.5703125" style="144" customWidth="1"/>
    <col min="47" max="47" width="20.5703125" style="144" customWidth="1"/>
    <col min="48" max="48" width="18.5703125" style="144" customWidth="1"/>
    <col min="49" max="49" width="20.5703125" style="144" hidden="1" customWidth="1"/>
    <col min="50" max="50" width="18.5703125" style="144" hidden="1" customWidth="1"/>
    <col min="51" max="51" width="17.28515625" style="144" hidden="1" customWidth="1"/>
    <col min="52" max="53" width="23" style="144" hidden="1" customWidth="1"/>
    <col min="54" max="54" width="18.85546875" style="144" hidden="1" customWidth="1"/>
    <col min="55" max="55" width="16.85546875" style="144" hidden="1" customWidth="1"/>
    <col min="56" max="56" width="19.5703125" style="144" hidden="1" customWidth="1"/>
    <col min="57" max="58" width="23" style="144" customWidth="1"/>
    <col min="59" max="59" width="18.85546875" style="144" customWidth="1"/>
    <col min="60" max="60" width="16.85546875" style="144" customWidth="1"/>
    <col min="61" max="61" width="19.5703125" style="144" customWidth="1"/>
    <col min="62" max="63" width="23" style="144" customWidth="1"/>
    <col min="64" max="64" width="18.85546875" style="144" customWidth="1"/>
    <col min="65" max="65" width="16.85546875" style="144" customWidth="1"/>
    <col min="66" max="66" width="19.5703125" style="144" customWidth="1"/>
    <col min="67" max="68" width="23" style="144" hidden="1" customWidth="1"/>
    <col min="69" max="69" width="18.85546875" style="144" hidden="1" customWidth="1"/>
    <col min="70" max="70" width="16.85546875" style="144" hidden="1" customWidth="1"/>
    <col min="71" max="71" width="19.5703125" style="144" hidden="1" customWidth="1"/>
    <col min="72" max="72" width="20.5703125" style="144" customWidth="1"/>
    <col min="73" max="74" width="23" style="144" customWidth="1"/>
    <col min="75" max="75" width="18.5703125" style="144" customWidth="1"/>
    <col min="76" max="76" width="20.5703125" style="144" customWidth="1"/>
    <col min="77" max="77" width="23" style="144" customWidth="1"/>
    <col min="78" max="78" width="18.5703125" style="144" customWidth="1"/>
    <col min="79" max="79" width="20.5703125" style="144" customWidth="1"/>
    <col min="80" max="82" width="57.42578125" style="144" customWidth="1"/>
    <col min="83" max="16384" width="11.42578125" style="144"/>
  </cols>
  <sheetData>
    <row r="1" spans="1:108" ht="21" customHeight="1" x14ac:dyDescent="0.2">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row>
    <row r="2" spans="1:108" ht="21" customHeight="1" x14ac:dyDescent="0.2">
      <c r="A2" s="468" t="s">
        <v>145</v>
      </c>
      <c r="B2" s="469"/>
      <c r="C2" s="469"/>
      <c r="D2" s="469"/>
      <c r="E2" s="469"/>
      <c r="F2" s="469"/>
      <c r="G2" s="469"/>
      <c r="H2" s="469"/>
      <c r="I2" s="470"/>
      <c r="J2" s="468" t="s">
        <v>146</v>
      </c>
      <c r="K2" s="469"/>
      <c r="L2" s="469"/>
      <c r="M2" s="470"/>
      <c r="N2" s="468" t="s">
        <v>147</v>
      </c>
      <c r="O2" s="469"/>
      <c r="P2" s="469"/>
      <c r="Q2" s="469"/>
      <c r="R2" s="469"/>
      <c r="S2" s="469"/>
      <c r="T2" s="469"/>
      <c r="U2" s="469"/>
      <c r="V2" s="469"/>
      <c r="W2" s="469"/>
      <c r="X2" s="469"/>
      <c r="Y2" s="469"/>
      <c r="Z2" s="469"/>
      <c r="AA2" s="469"/>
      <c r="AB2" s="469"/>
      <c r="AC2" s="469"/>
      <c r="AD2" s="469"/>
      <c r="AE2" s="469"/>
      <c r="AF2" s="469"/>
      <c r="AG2" s="469"/>
      <c r="AH2" s="470"/>
      <c r="AI2" s="468" t="s">
        <v>263</v>
      </c>
      <c r="AJ2" s="469"/>
      <c r="AK2" s="469"/>
      <c r="AL2" s="470"/>
      <c r="AM2" s="214"/>
      <c r="AN2" s="544" t="s">
        <v>149</v>
      </c>
      <c r="AO2" s="544"/>
      <c r="AP2" s="544"/>
      <c r="AQ2" s="544"/>
      <c r="AR2" s="544"/>
      <c r="AS2" s="544"/>
      <c r="AT2" s="544"/>
      <c r="AU2" s="544"/>
      <c r="AV2" s="544"/>
      <c r="AW2" s="544"/>
      <c r="AX2" s="544"/>
      <c r="AY2" s="544"/>
      <c r="AZ2" s="513" t="s">
        <v>150</v>
      </c>
      <c r="BA2" s="513"/>
      <c r="BB2" s="513"/>
      <c r="BC2" s="513"/>
      <c r="BD2" s="513"/>
      <c r="BE2" s="513" t="s">
        <v>151</v>
      </c>
      <c r="BF2" s="513"/>
      <c r="BG2" s="513"/>
      <c r="BH2" s="513"/>
      <c r="BI2" s="513"/>
      <c r="BJ2" s="513" t="s">
        <v>152</v>
      </c>
      <c r="BK2" s="513"/>
      <c r="BL2" s="513"/>
      <c r="BM2" s="513"/>
      <c r="BN2" s="513"/>
      <c r="BO2" s="513" t="s">
        <v>153</v>
      </c>
      <c r="BP2" s="513"/>
      <c r="BQ2" s="513"/>
      <c r="BR2" s="513"/>
      <c r="BS2" s="513"/>
      <c r="BT2" s="545" t="s">
        <v>154</v>
      </c>
      <c r="BU2" s="545"/>
      <c r="BV2" s="545"/>
      <c r="BW2" s="545"/>
      <c r="BX2" s="532" t="s">
        <v>155</v>
      </c>
      <c r="BY2" s="532"/>
      <c r="BZ2" s="532"/>
      <c r="CA2" s="518" t="s">
        <v>156</v>
      </c>
      <c r="CB2" s="519"/>
      <c r="CC2" s="519"/>
      <c r="CD2" s="520"/>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row>
    <row r="3" spans="1:108" s="165" customFormat="1" ht="21" customHeight="1" x14ac:dyDescent="0.2">
      <c r="A3" s="546" t="s">
        <v>157</v>
      </c>
      <c r="B3" s="501" t="s">
        <v>7</v>
      </c>
      <c r="C3" s="501" t="s">
        <v>9</v>
      </c>
      <c r="D3" s="501" t="s">
        <v>11</v>
      </c>
      <c r="E3" s="547" t="s">
        <v>21</v>
      </c>
      <c r="F3" s="547" t="s">
        <v>15</v>
      </c>
      <c r="G3" s="501" t="s">
        <v>17</v>
      </c>
      <c r="H3" s="501" t="s">
        <v>19</v>
      </c>
      <c r="I3" s="501" t="s">
        <v>23</v>
      </c>
      <c r="J3" s="501" t="s">
        <v>264</v>
      </c>
      <c r="K3" s="501" t="s">
        <v>15</v>
      </c>
      <c r="L3" s="501" t="s">
        <v>265</v>
      </c>
      <c r="M3" s="535" t="s">
        <v>29</v>
      </c>
      <c r="N3" s="539" t="s">
        <v>166</v>
      </c>
      <c r="O3" s="501" t="s">
        <v>31</v>
      </c>
      <c r="P3" s="501" t="s">
        <v>266</v>
      </c>
      <c r="Q3" s="535" t="s">
        <v>174</v>
      </c>
      <c r="R3" s="501" t="s">
        <v>174</v>
      </c>
      <c r="S3" s="501" t="s">
        <v>267</v>
      </c>
      <c r="T3" s="501" t="s">
        <v>268</v>
      </c>
      <c r="U3" s="501" t="s">
        <v>269</v>
      </c>
      <c r="V3" s="501" t="s">
        <v>270</v>
      </c>
      <c r="W3" s="501" t="s">
        <v>271</v>
      </c>
      <c r="X3" s="501" t="s">
        <v>272</v>
      </c>
      <c r="Y3" s="501" t="s">
        <v>273</v>
      </c>
      <c r="Z3" s="501" t="s">
        <v>274</v>
      </c>
      <c r="AA3" s="501" t="s">
        <v>275</v>
      </c>
      <c r="AB3" s="501" t="s">
        <v>276</v>
      </c>
      <c r="AC3" s="540" t="s">
        <v>277</v>
      </c>
      <c r="AD3" s="541"/>
      <c r="AE3" s="501" t="s">
        <v>278</v>
      </c>
      <c r="AF3" s="501" t="s">
        <v>279</v>
      </c>
      <c r="AG3" s="501" t="s">
        <v>280</v>
      </c>
      <c r="AH3" s="501" t="s">
        <v>281</v>
      </c>
      <c r="AI3" s="501" t="s">
        <v>264</v>
      </c>
      <c r="AJ3" s="501" t="s">
        <v>15</v>
      </c>
      <c r="AK3" s="501" t="s">
        <v>265</v>
      </c>
      <c r="AL3" s="535" t="s">
        <v>282</v>
      </c>
      <c r="AM3" s="501" t="s">
        <v>283</v>
      </c>
      <c r="AN3" s="482" t="s">
        <v>173</v>
      </c>
      <c r="AO3" s="482" t="s">
        <v>174</v>
      </c>
      <c r="AP3" s="482" t="s">
        <v>175</v>
      </c>
      <c r="AQ3" s="514" t="s">
        <v>176</v>
      </c>
      <c r="AR3" s="514" t="s">
        <v>177</v>
      </c>
      <c r="AS3" s="514" t="s">
        <v>176</v>
      </c>
      <c r="AT3" s="515" t="s">
        <v>178</v>
      </c>
      <c r="AU3" s="514" t="s">
        <v>176</v>
      </c>
      <c r="AV3" s="514" t="s">
        <v>179</v>
      </c>
      <c r="AW3" s="514" t="s">
        <v>176</v>
      </c>
      <c r="AX3" s="515" t="s">
        <v>180</v>
      </c>
      <c r="AY3" s="514" t="s">
        <v>53</v>
      </c>
      <c r="AZ3" s="517" t="s">
        <v>181</v>
      </c>
      <c r="BA3" s="517" t="s">
        <v>182</v>
      </c>
      <c r="BB3" s="517" t="s">
        <v>174</v>
      </c>
      <c r="BC3" s="517" t="s">
        <v>183</v>
      </c>
      <c r="BD3" s="517" t="s">
        <v>184</v>
      </c>
      <c r="BE3" s="517" t="s">
        <v>181</v>
      </c>
      <c r="BF3" s="517" t="s">
        <v>182</v>
      </c>
      <c r="BG3" s="517" t="s">
        <v>174</v>
      </c>
      <c r="BH3" s="517" t="s">
        <v>183</v>
      </c>
      <c r="BI3" s="517" t="s">
        <v>184</v>
      </c>
      <c r="BJ3" s="517" t="s">
        <v>181</v>
      </c>
      <c r="BK3" s="517" t="s">
        <v>182</v>
      </c>
      <c r="BL3" s="517" t="s">
        <v>174</v>
      </c>
      <c r="BM3" s="517" t="s">
        <v>183</v>
      </c>
      <c r="BN3" s="517" t="s">
        <v>184</v>
      </c>
      <c r="BO3" s="517" t="s">
        <v>181</v>
      </c>
      <c r="BP3" s="517" t="s">
        <v>182</v>
      </c>
      <c r="BQ3" s="517" t="s">
        <v>174</v>
      </c>
      <c r="BR3" s="517" t="s">
        <v>183</v>
      </c>
      <c r="BS3" s="517" t="s">
        <v>184</v>
      </c>
      <c r="BT3" s="538" t="s">
        <v>284</v>
      </c>
      <c r="BU3" s="538" t="s">
        <v>186</v>
      </c>
      <c r="BV3" s="538" t="s">
        <v>187</v>
      </c>
      <c r="BW3" s="538" t="s">
        <v>182</v>
      </c>
      <c r="BX3" s="533" t="s">
        <v>176</v>
      </c>
      <c r="BY3" s="533" t="s">
        <v>188</v>
      </c>
      <c r="BZ3" s="533" t="s">
        <v>189</v>
      </c>
      <c r="CA3" s="537" t="s">
        <v>190</v>
      </c>
      <c r="CB3" s="537" t="s">
        <v>191</v>
      </c>
      <c r="CC3" s="537" t="s">
        <v>192</v>
      </c>
      <c r="CD3" s="537" t="s">
        <v>193</v>
      </c>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row>
    <row r="4" spans="1:108" s="167" customFormat="1" ht="21" customHeight="1" thickBot="1" x14ac:dyDescent="0.3">
      <c r="A4" s="546"/>
      <c r="B4" s="501"/>
      <c r="C4" s="501"/>
      <c r="D4" s="501"/>
      <c r="E4" s="547"/>
      <c r="F4" s="547"/>
      <c r="G4" s="501"/>
      <c r="H4" s="501"/>
      <c r="I4" s="501"/>
      <c r="J4" s="501"/>
      <c r="K4" s="501"/>
      <c r="L4" s="501"/>
      <c r="M4" s="536"/>
      <c r="N4" s="539"/>
      <c r="O4" s="501"/>
      <c r="P4" s="501"/>
      <c r="Q4" s="536"/>
      <c r="R4" s="501" t="s">
        <v>174</v>
      </c>
      <c r="S4" s="501"/>
      <c r="T4" s="501"/>
      <c r="U4" s="501"/>
      <c r="V4" s="501"/>
      <c r="W4" s="501" t="s">
        <v>271</v>
      </c>
      <c r="X4" s="501"/>
      <c r="Y4" s="501" t="s">
        <v>271</v>
      </c>
      <c r="Z4" s="501"/>
      <c r="AA4" s="501" t="s">
        <v>275</v>
      </c>
      <c r="AB4" s="501"/>
      <c r="AC4" s="542"/>
      <c r="AD4" s="543"/>
      <c r="AE4" s="501"/>
      <c r="AF4" s="501"/>
      <c r="AG4" s="501"/>
      <c r="AH4" s="501"/>
      <c r="AI4" s="501"/>
      <c r="AJ4" s="501"/>
      <c r="AK4" s="501"/>
      <c r="AL4" s="536"/>
      <c r="AM4" s="501"/>
      <c r="AN4" s="482"/>
      <c r="AO4" s="482"/>
      <c r="AP4" s="482"/>
      <c r="AQ4" s="514"/>
      <c r="AR4" s="514"/>
      <c r="AS4" s="514"/>
      <c r="AT4" s="516"/>
      <c r="AU4" s="514"/>
      <c r="AV4" s="514"/>
      <c r="AW4" s="514"/>
      <c r="AX4" s="516"/>
      <c r="AY4" s="514"/>
      <c r="AZ4" s="517"/>
      <c r="BA4" s="517"/>
      <c r="BB4" s="517"/>
      <c r="BC4" s="517"/>
      <c r="BD4" s="517"/>
      <c r="BE4" s="517"/>
      <c r="BF4" s="517"/>
      <c r="BG4" s="517"/>
      <c r="BH4" s="517"/>
      <c r="BI4" s="517"/>
      <c r="BJ4" s="517"/>
      <c r="BK4" s="517"/>
      <c r="BL4" s="517"/>
      <c r="BM4" s="517"/>
      <c r="BN4" s="517"/>
      <c r="BO4" s="517"/>
      <c r="BP4" s="517"/>
      <c r="BQ4" s="517"/>
      <c r="BR4" s="517"/>
      <c r="BS4" s="517"/>
      <c r="BT4" s="538"/>
      <c r="BU4" s="538"/>
      <c r="BV4" s="538"/>
      <c r="BW4" s="538"/>
      <c r="BX4" s="533"/>
      <c r="BY4" s="533"/>
      <c r="BZ4" s="533"/>
      <c r="CA4" s="537"/>
      <c r="CB4" s="537"/>
      <c r="CC4" s="537"/>
      <c r="CD4" s="537"/>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row>
    <row r="5" spans="1:108" s="169" customFormat="1" ht="264" customHeight="1" x14ac:dyDescent="0.2">
      <c r="A5" s="463">
        <v>1</v>
      </c>
      <c r="B5" s="464" t="s">
        <v>73</v>
      </c>
      <c r="C5" s="464" t="s">
        <v>202</v>
      </c>
      <c r="D5" s="492" t="s">
        <v>285</v>
      </c>
      <c r="E5" s="492" t="s">
        <v>286</v>
      </c>
      <c r="F5" s="464" t="s">
        <v>205</v>
      </c>
      <c r="G5" s="492" t="s">
        <v>287</v>
      </c>
      <c r="H5" s="492" t="s">
        <v>288</v>
      </c>
      <c r="I5" s="464" t="s">
        <v>289</v>
      </c>
      <c r="J5" s="463">
        <v>4</v>
      </c>
      <c r="K5" s="463">
        <v>5</v>
      </c>
      <c r="L5" s="525">
        <f>+(J5*K5)*4</f>
        <v>80</v>
      </c>
      <c r="M5" s="522" t="str">
        <f>IF(OR(AND(J5=3,K5=4),AND(J5=2,K5=5),AND(J5=2,K5=5),AND(L5=20),AND(L5&gt;=52,L5&lt;=100)),"ZONA RIESGO EXTREMA",IF(OR(AND(J5=5,K5=2),AND(J5=4,K5=3),AND(J5=1,K5=4),AND(L5=16),AND(L5&gt;=28,L5&lt;=48)),"ZONA RIESGO ALTA",IF(OR(AND(J5=1,K5=3),AND(J5=4,K5=1),AND(L5=24)),"ZONA RIESGO MODERADA",IF(AND(L5&gt;=4,L5&lt;=16),"ZONA RIESGO BAJA"))))</f>
        <v>ZONA RIESGO EXTREMA</v>
      </c>
      <c r="N5" s="188">
        <v>1</v>
      </c>
      <c r="O5" s="215" t="s">
        <v>290</v>
      </c>
      <c r="P5" s="189">
        <v>15</v>
      </c>
      <c r="Q5" s="189">
        <v>15</v>
      </c>
      <c r="R5" s="189">
        <v>15</v>
      </c>
      <c r="S5" s="189">
        <v>15</v>
      </c>
      <c r="T5" s="189">
        <v>15</v>
      </c>
      <c r="U5" s="189">
        <v>15</v>
      </c>
      <c r="V5" s="189">
        <v>10</v>
      </c>
      <c r="W5" s="113">
        <f>SUM(P5:V5)</f>
        <v>100</v>
      </c>
      <c r="X5" s="114" t="str">
        <f t="shared" ref="X5:X64" si="0">IF(AND(W5&gt;=86,W5&lt;=95),"MODERADO",IF(AND(W5&gt;=96), "FUERTE",IF(AND(W5&lt;=85), "DEBIL")))</f>
        <v>FUERTE</v>
      </c>
      <c r="Y5" s="216" t="s">
        <v>291</v>
      </c>
      <c r="Z5" s="115" t="str">
        <f>IFERROR((_xlfn.IFS(AND(X5="FUERTE",Y5="FUERTE"),"FUERTE",AND(X5="FUERTE",Y5="MODERADO"),"MODERADO",AND(X5="FUERTE",Y5="DEBIL"),"DEBIL",AND(X5="MODERADO",Y5="FUERTE"),"MODERADO",AND(X5="MODERADO",Y5="MODERADO"),"MODERADO",AND(X5="MODERADO",Y5="DEBIL"),"DEBIL",AND(X5="DEBIL",Y5="FUERTE"),"DEBIL",AND(X5="DEBIL",Y5="MODERADO"),"DEBIL",AND(X5="DEBIL",Y5="DEBIL"),"DEBIL")),"")</f>
        <v>FUERTE</v>
      </c>
      <c r="AA5" s="113" t="str">
        <f>IF(AND(Z5="FUERTE"),"NO", "SI")</f>
        <v>NO</v>
      </c>
      <c r="AB5" s="189"/>
      <c r="AC5" s="526">
        <f>IF(AND(W5&gt;0,SUM(W6:W10)=0),W5,IF(AND(SUM(W5:W6)&gt;0,SUM(W7:W10)=0),AVERAGE(W5:W6),IF(AND(SUM(W5:W7)&gt;0,SUM(W8:W10)=0),AVERAGE(W5:W7),IF(AND(SUM(W5:W8)&gt;0,SUM(W9:W10)=0),AVERAGE(W5:W8),IF(AND(SUM(W5:W9)&gt;0,W10=0),AVERAGE(W5:W9),AVERAGE(W5:W10))))))</f>
        <v>100</v>
      </c>
      <c r="AD5" s="526" t="str">
        <f>IF(AND(AC5&gt;=50,AC5&lt;=99),"MODERADO",IF(AND(AC5=100), "FUERTE",IF(AND(AC5&lt;50), "DEBIL")))</f>
        <v>FUERTE</v>
      </c>
      <c r="AE5" s="527" t="s">
        <v>292</v>
      </c>
      <c r="AF5" s="527" t="s">
        <v>292</v>
      </c>
      <c r="AG5" s="528">
        <f>IFERROR(_xlfn.IFS(AND(AD5="MODERADO",AE5="Directamente"),1,AND(AD5="FUERTE",AE5="Directamente"),2),"0")</f>
        <v>2</v>
      </c>
      <c r="AH5" s="528">
        <f>IFERROR(_xlfn.IFS(AND(AD5="MODERADO",AF5="Directamente"),1,AND(AD5="FUERTE",AF5="Directamente"),2,AND(AD5="FUERTE",AF5="Indirectamente"),1),"0")</f>
        <v>2</v>
      </c>
      <c r="AI5" s="521">
        <v>1</v>
      </c>
      <c r="AJ5" s="521">
        <v>3</v>
      </c>
      <c r="AK5" s="525">
        <f>+(AI5*AJ5)*4</f>
        <v>12</v>
      </c>
      <c r="AL5" s="522"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529" t="s">
        <v>293</v>
      </c>
      <c r="AN5" s="190" t="s">
        <v>294</v>
      </c>
      <c r="AO5" s="190" t="s">
        <v>295</v>
      </c>
      <c r="AP5" s="219">
        <v>45291</v>
      </c>
      <c r="AQ5" s="335" t="s">
        <v>225</v>
      </c>
      <c r="AR5" s="314" t="s">
        <v>296</v>
      </c>
      <c r="AS5" s="313" t="s">
        <v>230</v>
      </c>
      <c r="AT5" s="361" t="s">
        <v>297</v>
      </c>
      <c r="AU5" s="383" t="s">
        <v>233</v>
      </c>
      <c r="AV5" s="382" t="s">
        <v>298</v>
      </c>
      <c r="AW5" s="306"/>
      <c r="AX5" s="143"/>
      <c r="AY5" s="147" t="s">
        <v>224</v>
      </c>
      <c r="AZ5" s="335" t="s">
        <v>225</v>
      </c>
      <c r="BA5" s="336" t="s">
        <v>299</v>
      </c>
      <c r="BB5" s="313" t="s">
        <v>300</v>
      </c>
      <c r="BC5" s="313" t="s">
        <v>301</v>
      </c>
      <c r="BD5" s="219" t="s">
        <v>229</v>
      </c>
      <c r="BE5" s="360" t="s">
        <v>230</v>
      </c>
      <c r="BF5" s="361" t="s">
        <v>302</v>
      </c>
      <c r="BG5" s="313" t="s">
        <v>303</v>
      </c>
      <c r="BH5" s="313" t="s">
        <v>304</v>
      </c>
      <c r="BI5" s="191" t="s">
        <v>229</v>
      </c>
      <c r="BJ5" s="373" t="s">
        <v>233</v>
      </c>
      <c r="BK5" s="373" t="s">
        <v>305</v>
      </c>
      <c r="BL5" s="142" t="s">
        <v>306</v>
      </c>
      <c r="BM5" s="148" t="s">
        <v>307</v>
      </c>
      <c r="BN5" s="148" t="s">
        <v>229</v>
      </c>
      <c r="BO5" s="143"/>
      <c r="BP5" s="143"/>
      <c r="BQ5" s="147"/>
      <c r="BR5" s="148"/>
      <c r="BS5" s="148"/>
      <c r="BT5" s="309" t="s">
        <v>308</v>
      </c>
      <c r="BU5" s="143"/>
      <c r="BV5" s="143"/>
      <c r="BW5" s="143"/>
      <c r="BX5" s="170" t="s">
        <v>236</v>
      </c>
      <c r="BY5" s="143" t="s">
        <v>237</v>
      </c>
      <c r="BZ5" s="143" t="s">
        <v>309</v>
      </c>
      <c r="CA5" s="395" t="s">
        <v>684</v>
      </c>
      <c r="CB5" s="396" t="s">
        <v>685</v>
      </c>
      <c r="CC5" s="396" t="s">
        <v>686</v>
      </c>
      <c r="CD5" s="396" t="s">
        <v>687</v>
      </c>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row>
    <row r="6" spans="1:108" ht="252" customHeight="1" x14ac:dyDescent="0.2">
      <c r="A6" s="463"/>
      <c r="B6" s="464"/>
      <c r="C6" s="464"/>
      <c r="D6" s="492"/>
      <c r="E6" s="492"/>
      <c r="F6" s="464"/>
      <c r="G6" s="492"/>
      <c r="H6" s="492"/>
      <c r="I6" s="464"/>
      <c r="J6" s="463"/>
      <c r="K6" s="463"/>
      <c r="L6" s="525"/>
      <c r="M6" s="523"/>
      <c r="N6" s="188">
        <v>2</v>
      </c>
      <c r="O6" s="377" t="s">
        <v>310</v>
      </c>
      <c r="P6" s="189">
        <v>15</v>
      </c>
      <c r="Q6" s="189">
        <v>15</v>
      </c>
      <c r="R6" s="189">
        <v>15</v>
      </c>
      <c r="S6" s="189">
        <v>15</v>
      </c>
      <c r="T6" s="189">
        <v>15</v>
      </c>
      <c r="U6" s="189">
        <v>15</v>
      </c>
      <c r="V6" s="189">
        <v>10</v>
      </c>
      <c r="W6" s="113">
        <f t="shared" ref="W6:W64" si="1">SUM(P6:V6)</f>
        <v>100</v>
      </c>
      <c r="X6" s="114" t="str">
        <f t="shared" si="0"/>
        <v>FUERTE</v>
      </c>
      <c r="Y6" s="216" t="s">
        <v>291</v>
      </c>
      <c r="Z6" s="115"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13" t="str">
        <f t="shared" ref="AA6:AA64" si="3">IF(AND(Z6="FUERTE"),"NO", "SI")</f>
        <v>NO</v>
      </c>
      <c r="AB6" s="189"/>
      <c r="AC6" s="526"/>
      <c r="AD6" s="526"/>
      <c r="AE6" s="527"/>
      <c r="AF6" s="527"/>
      <c r="AG6" s="528"/>
      <c r="AH6" s="528"/>
      <c r="AI6" s="521"/>
      <c r="AJ6" s="521"/>
      <c r="AK6" s="525"/>
      <c r="AL6" s="523"/>
      <c r="AM6" s="530"/>
      <c r="AN6" s="378" t="s">
        <v>311</v>
      </c>
      <c r="AO6" s="190" t="s">
        <v>295</v>
      </c>
      <c r="AP6" s="219">
        <v>45291</v>
      </c>
      <c r="AQ6" s="335" t="s">
        <v>225</v>
      </c>
      <c r="AR6" s="322" t="s">
        <v>312</v>
      </c>
      <c r="AS6" s="313" t="s">
        <v>230</v>
      </c>
      <c r="AT6" s="361" t="s">
        <v>313</v>
      </c>
      <c r="AU6" s="383" t="s">
        <v>233</v>
      </c>
      <c r="AV6" s="374" t="s">
        <v>314</v>
      </c>
      <c r="AW6" s="307"/>
      <c r="AX6" s="143"/>
      <c r="AY6" s="147"/>
      <c r="AZ6" s="338" t="s">
        <v>225</v>
      </c>
      <c r="BA6" s="336" t="s">
        <v>315</v>
      </c>
      <c r="BB6" s="313" t="s">
        <v>300</v>
      </c>
      <c r="BC6" s="313" t="s">
        <v>316</v>
      </c>
      <c r="BD6" s="219" t="s">
        <v>229</v>
      </c>
      <c r="BE6" s="360">
        <v>45056</v>
      </c>
      <c r="BF6" s="189" t="s">
        <v>317</v>
      </c>
      <c r="BG6" s="313" t="s">
        <v>318</v>
      </c>
      <c r="BH6" s="313" t="s">
        <v>319</v>
      </c>
      <c r="BI6" s="219" t="s">
        <v>229</v>
      </c>
      <c r="BJ6" s="309">
        <v>45179</v>
      </c>
      <c r="BK6" s="390" t="s">
        <v>320</v>
      </c>
      <c r="BL6" s="147"/>
      <c r="BM6" s="148"/>
      <c r="BN6" s="148"/>
      <c r="BO6" s="143"/>
      <c r="BP6" s="143"/>
      <c r="BQ6" s="147"/>
      <c r="BR6" s="148"/>
      <c r="BS6" s="148"/>
      <c r="BT6" s="309" t="s">
        <v>321</v>
      </c>
      <c r="BU6" s="143"/>
      <c r="BV6" s="143"/>
      <c r="BW6" s="143"/>
      <c r="BX6" s="170" t="s">
        <v>236</v>
      </c>
      <c r="BY6" s="143" t="s">
        <v>322</v>
      </c>
      <c r="BZ6" s="143" t="s">
        <v>309</v>
      </c>
      <c r="CA6" s="395" t="s">
        <v>684</v>
      </c>
      <c r="CB6" s="396" t="s">
        <v>688</v>
      </c>
      <c r="CC6" s="396" t="s">
        <v>689</v>
      </c>
      <c r="CD6" s="396" t="s">
        <v>690</v>
      </c>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row>
    <row r="7" spans="1:108" ht="333" thickTop="1" thickBot="1" x14ac:dyDescent="0.25">
      <c r="A7" s="463"/>
      <c r="B7" s="464"/>
      <c r="C7" s="464"/>
      <c r="D7" s="492"/>
      <c r="E7" s="492"/>
      <c r="F7" s="464"/>
      <c r="G7" s="492"/>
      <c r="H7" s="492"/>
      <c r="I7" s="464"/>
      <c r="J7" s="463"/>
      <c r="K7" s="463"/>
      <c r="L7" s="525"/>
      <c r="M7" s="523"/>
      <c r="N7" s="188">
        <v>3</v>
      </c>
      <c r="O7" s="215"/>
      <c r="P7" s="189"/>
      <c r="Q7" s="189"/>
      <c r="R7" s="189"/>
      <c r="S7" s="189"/>
      <c r="T7" s="189"/>
      <c r="U7" s="189"/>
      <c r="V7" s="189"/>
      <c r="W7" s="113">
        <f t="shared" si="1"/>
        <v>0</v>
      </c>
      <c r="X7" s="114" t="str">
        <f t="shared" si="0"/>
        <v>DEBIL</v>
      </c>
      <c r="Y7" s="216"/>
      <c r="Z7" s="115" t="str">
        <f t="shared" si="2"/>
        <v/>
      </c>
      <c r="AA7" s="113" t="str">
        <f t="shared" si="3"/>
        <v>SI</v>
      </c>
      <c r="AB7" s="189"/>
      <c r="AC7" s="526"/>
      <c r="AD7" s="526"/>
      <c r="AE7" s="527"/>
      <c r="AF7" s="527"/>
      <c r="AG7" s="528"/>
      <c r="AH7" s="528"/>
      <c r="AI7" s="521"/>
      <c r="AJ7" s="521"/>
      <c r="AK7" s="525"/>
      <c r="AL7" s="523"/>
      <c r="AM7" s="530"/>
      <c r="AN7" s="315" t="s">
        <v>323</v>
      </c>
      <c r="AO7" s="190" t="s">
        <v>295</v>
      </c>
      <c r="AP7" s="219">
        <v>45048</v>
      </c>
      <c r="AQ7" s="219">
        <v>44994</v>
      </c>
      <c r="AR7" s="331" t="s">
        <v>324</v>
      </c>
      <c r="AS7" s="366">
        <v>45056</v>
      </c>
      <c r="AT7" s="322" t="s">
        <v>325</v>
      </c>
      <c r="AU7" s="307"/>
      <c r="AV7" s="364" t="s">
        <v>326</v>
      </c>
      <c r="AW7" s="307"/>
      <c r="AX7" s="143"/>
      <c r="AY7" s="147"/>
      <c r="AZ7" s="325"/>
      <c r="BA7" s="322"/>
      <c r="BB7" s="313"/>
      <c r="BC7" s="326"/>
      <c r="BD7" s="326"/>
      <c r="BE7" s="189"/>
      <c r="BF7" s="189"/>
      <c r="BG7" s="188"/>
      <c r="BH7" s="191"/>
      <c r="BI7" s="191"/>
      <c r="BJ7" s="143"/>
      <c r="BK7" s="143"/>
      <c r="BL7" s="147"/>
      <c r="BM7" s="148"/>
      <c r="BN7" s="148"/>
      <c r="BO7" s="143"/>
      <c r="BP7" s="143"/>
      <c r="BQ7" s="147"/>
      <c r="BR7" s="148"/>
      <c r="BS7" s="148"/>
      <c r="BT7" s="148"/>
      <c r="BU7" s="143"/>
      <c r="BV7" s="143"/>
      <c r="BW7" s="143"/>
      <c r="BX7" s="170" t="s">
        <v>236</v>
      </c>
      <c r="BY7" s="143"/>
      <c r="BZ7" s="143" t="s">
        <v>309</v>
      </c>
      <c r="CA7" s="395" t="s">
        <v>684</v>
      </c>
      <c r="CB7" s="397" t="s">
        <v>691</v>
      </c>
      <c r="CC7" s="398" t="s">
        <v>691</v>
      </c>
      <c r="CD7" s="396" t="s">
        <v>692</v>
      </c>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row>
    <row r="8" spans="1:108" ht="317.25" customHeight="1" thickTop="1" thickBot="1" x14ac:dyDescent="0.25">
      <c r="A8" s="463"/>
      <c r="B8" s="464"/>
      <c r="C8" s="464"/>
      <c r="D8" s="492"/>
      <c r="E8" s="492"/>
      <c r="F8" s="464"/>
      <c r="G8" s="492"/>
      <c r="H8" s="492"/>
      <c r="I8" s="464"/>
      <c r="J8" s="463"/>
      <c r="K8" s="463"/>
      <c r="L8" s="525"/>
      <c r="M8" s="523"/>
      <c r="N8" s="188">
        <v>4</v>
      </c>
      <c r="O8" s="215"/>
      <c r="P8" s="189"/>
      <c r="Q8" s="189"/>
      <c r="R8" s="189"/>
      <c r="S8" s="189"/>
      <c r="T8" s="189"/>
      <c r="U8" s="189"/>
      <c r="V8" s="189"/>
      <c r="W8" s="113">
        <f t="shared" si="1"/>
        <v>0</v>
      </c>
      <c r="X8" s="114" t="str">
        <f t="shared" si="0"/>
        <v>DEBIL</v>
      </c>
      <c r="Y8" s="216"/>
      <c r="Z8" s="115" t="str">
        <f t="shared" si="2"/>
        <v/>
      </c>
      <c r="AA8" s="113" t="str">
        <f t="shared" si="3"/>
        <v>SI</v>
      </c>
      <c r="AB8" s="189"/>
      <c r="AC8" s="526"/>
      <c r="AD8" s="526"/>
      <c r="AE8" s="527"/>
      <c r="AF8" s="527"/>
      <c r="AG8" s="528"/>
      <c r="AH8" s="528"/>
      <c r="AI8" s="521"/>
      <c r="AJ8" s="521"/>
      <c r="AK8" s="525"/>
      <c r="AL8" s="523"/>
      <c r="AM8" s="530"/>
      <c r="AN8" s="189" t="s">
        <v>327</v>
      </c>
      <c r="AO8" s="190" t="s">
        <v>295</v>
      </c>
      <c r="AP8" s="219">
        <v>45048</v>
      </c>
      <c r="AQ8" s="219">
        <v>44994</v>
      </c>
      <c r="AR8" s="315" t="s">
        <v>328</v>
      </c>
      <c r="AS8" s="367" t="s">
        <v>329</v>
      </c>
      <c r="AT8" s="322" t="s">
        <v>330</v>
      </c>
      <c r="AU8" s="307"/>
      <c r="AV8" s="364" t="s">
        <v>326</v>
      </c>
      <c r="AW8" s="307"/>
      <c r="AX8" s="143"/>
      <c r="AY8" s="147"/>
      <c r="AZ8" s="327"/>
      <c r="BA8" s="322"/>
      <c r="BB8" s="313"/>
      <c r="BC8" s="326"/>
      <c r="BD8" s="326"/>
      <c r="BE8" s="189"/>
      <c r="BF8" s="189"/>
      <c r="BG8" s="188"/>
      <c r="BH8" s="191"/>
      <c r="BI8" s="191"/>
      <c r="BJ8" s="143"/>
      <c r="BK8" s="143"/>
      <c r="BL8" s="147"/>
      <c r="BM8" s="148"/>
      <c r="BN8" s="148"/>
      <c r="BO8" s="143"/>
      <c r="BP8" s="143"/>
      <c r="BQ8" s="147"/>
      <c r="BR8" s="148"/>
      <c r="BS8" s="148"/>
      <c r="BT8" s="148"/>
      <c r="BU8" s="143"/>
      <c r="BV8" s="143"/>
      <c r="BW8" s="143"/>
      <c r="BX8" s="170" t="s">
        <v>236</v>
      </c>
      <c r="BY8" s="143"/>
      <c r="BZ8" s="143" t="s">
        <v>309</v>
      </c>
      <c r="CA8" s="395" t="s">
        <v>684</v>
      </c>
      <c r="CB8" s="397" t="s">
        <v>691</v>
      </c>
      <c r="CC8" s="398" t="s">
        <v>691</v>
      </c>
      <c r="CD8" s="396" t="s">
        <v>693</v>
      </c>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row>
    <row r="9" spans="1:108" ht="180" thickTop="1" thickBot="1" x14ac:dyDescent="0.25">
      <c r="A9" s="463"/>
      <c r="B9" s="464"/>
      <c r="C9" s="464"/>
      <c r="D9" s="492"/>
      <c r="E9" s="492"/>
      <c r="F9" s="464"/>
      <c r="G9" s="492"/>
      <c r="H9" s="492"/>
      <c r="I9" s="464"/>
      <c r="J9" s="463"/>
      <c r="K9" s="463"/>
      <c r="L9" s="525"/>
      <c r="M9" s="523"/>
      <c r="N9" s="188">
        <v>5</v>
      </c>
      <c r="O9" s="215"/>
      <c r="P9" s="189"/>
      <c r="Q9" s="189"/>
      <c r="R9" s="189"/>
      <c r="S9" s="189"/>
      <c r="T9" s="189"/>
      <c r="U9" s="189"/>
      <c r="V9" s="189"/>
      <c r="W9" s="113">
        <f t="shared" si="1"/>
        <v>0</v>
      </c>
      <c r="X9" s="114" t="str">
        <f t="shared" si="0"/>
        <v>DEBIL</v>
      </c>
      <c r="Y9" s="216"/>
      <c r="Z9" s="115" t="str">
        <f t="shared" si="2"/>
        <v/>
      </c>
      <c r="AA9" s="113" t="str">
        <f t="shared" si="3"/>
        <v>SI</v>
      </c>
      <c r="AB9" s="189"/>
      <c r="AC9" s="526"/>
      <c r="AD9" s="526"/>
      <c r="AE9" s="527"/>
      <c r="AF9" s="527"/>
      <c r="AG9" s="528"/>
      <c r="AH9" s="528"/>
      <c r="AI9" s="521"/>
      <c r="AJ9" s="521"/>
      <c r="AK9" s="525"/>
      <c r="AL9" s="523"/>
      <c r="AM9" s="530"/>
      <c r="AN9" s="316" t="s">
        <v>331</v>
      </c>
      <c r="AO9" s="317" t="s">
        <v>295</v>
      </c>
      <c r="AP9" s="318">
        <v>45291</v>
      </c>
      <c r="AQ9" s="318">
        <v>44994</v>
      </c>
      <c r="AR9" s="189" t="s">
        <v>332</v>
      </c>
      <c r="AS9" s="322"/>
      <c r="AT9" s="322"/>
      <c r="AU9" s="307"/>
      <c r="AV9" s="307"/>
      <c r="AW9" s="307"/>
      <c r="AX9" s="143"/>
      <c r="AY9" s="311" t="s">
        <v>333</v>
      </c>
      <c r="AZ9" s="328"/>
      <c r="BA9" s="322" t="s">
        <v>334</v>
      </c>
      <c r="BB9" s="326" t="s">
        <v>334</v>
      </c>
      <c r="BC9" s="326" t="s">
        <v>334</v>
      </c>
      <c r="BD9" s="326" t="s">
        <v>229</v>
      </c>
      <c r="BE9" s="189"/>
      <c r="BF9" s="189"/>
      <c r="BG9" s="188"/>
      <c r="BH9" s="191"/>
      <c r="BI9" s="191"/>
      <c r="BJ9" s="143"/>
      <c r="BK9" s="143"/>
      <c r="BL9" s="147"/>
      <c r="BM9" s="148"/>
      <c r="BN9" s="148"/>
      <c r="BO9" s="143"/>
      <c r="BP9" s="143"/>
      <c r="BQ9" s="147"/>
      <c r="BR9" s="148"/>
      <c r="BS9" s="148"/>
      <c r="BT9" s="148"/>
      <c r="BU9" s="143"/>
      <c r="BV9" s="143"/>
      <c r="BW9" s="143"/>
      <c r="BX9" s="148"/>
      <c r="BY9" s="143"/>
      <c r="BZ9" s="350" t="s">
        <v>335</v>
      </c>
      <c r="CA9" s="395" t="s">
        <v>684</v>
      </c>
      <c r="CB9" s="397" t="s">
        <v>691</v>
      </c>
      <c r="CC9" s="398" t="s">
        <v>691</v>
      </c>
      <c r="CD9" s="396" t="s">
        <v>694</v>
      </c>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row>
    <row r="10" spans="1:108" ht="141.75" x14ac:dyDescent="0.2">
      <c r="A10" s="463"/>
      <c r="B10" s="464"/>
      <c r="C10" s="464"/>
      <c r="D10" s="492"/>
      <c r="E10" s="492"/>
      <c r="F10" s="464"/>
      <c r="G10" s="492"/>
      <c r="H10" s="492"/>
      <c r="I10" s="464"/>
      <c r="J10" s="463"/>
      <c r="K10" s="463"/>
      <c r="L10" s="525"/>
      <c r="M10" s="524"/>
      <c r="N10" s="188">
        <v>6</v>
      </c>
      <c r="O10" s="217"/>
      <c r="P10" s="189"/>
      <c r="Q10" s="189"/>
      <c r="R10" s="189"/>
      <c r="S10" s="189"/>
      <c r="T10" s="189"/>
      <c r="U10" s="189"/>
      <c r="V10" s="189"/>
      <c r="W10" s="113">
        <f t="shared" si="1"/>
        <v>0</v>
      </c>
      <c r="X10" s="114" t="str">
        <f t="shared" si="0"/>
        <v>DEBIL</v>
      </c>
      <c r="Y10" s="216"/>
      <c r="Z10" s="115" t="str">
        <f t="shared" si="2"/>
        <v/>
      </c>
      <c r="AA10" s="113" t="str">
        <f t="shared" si="3"/>
        <v>SI</v>
      </c>
      <c r="AB10" s="189"/>
      <c r="AC10" s="526"/>
      <c r="AD10" s="526"/>
      <c r="AE10" s="527"/>
      <c r="AF10" s="527"/>
      <c r="AG10" s="528"/>
      <c r="AH10" s="528"/>
      <c r="AI10" s="521"/>
      <c r="AJ10" s="521"/>
      <c r="AK10" s="525"/>
      <c r="AL10" s="524"/>
      <c r="AM10" s="531"/>
      <c r="AN10" s="189" t="s">
        <v>336</v>
      </c>
      <c r="AO10" s="190" t="s">
        <v>337</v>
      </c>
      <c r="AP10" s="219">
        <v>45291</v>
      </c>
      <c r="AQ10" s="313" t="s">
        <v>338</v>
      </c>
      <c r="AR10" s="190" t="s">
        <v>339</v>
      </c>
      <c r="AS10" s="368" t="s">
        <v>340</v>
      </c>
      <c r="AT10" s="322" t="s">
        <v>341</v>
      </c>
      <c r="AU10" s="384" t="s">
        <v>233</v>
      </c>
      <c r="AV10" s="385" t="s">
        <v>342</v>
      </c>
      <c r="AW10" s="307"/>
      <c r="AX10" s="143"/>
      <c r="AY10" s="147"/>
      <c r="AZ10" s="328" t="s">
        <v>334</v>
      </c>
      <c r="BA10" s="322" t="s">
        <v>334</v>
      </c>
      <c r="BB10" s="326" t="s">
        <v>334</v>
      </c>
      <c r="BC10" s="326" t="s">
        <v>334</v>
      </c>
      <c r="BD10" s="326" t="s">
        <v>334</v>
      </c>
      <c r="BE10" s="189"/>
      <c r="BF10" s="189"/>
      <c r="BG10" s="188"/>
      <c r="BH10" s="191"/>
      <c r="BI10" s="191"/>
      <c r="BJ10" s="143"/>
      <c r="BK10" s="143"/>
      <c r="BL10" s="147"/>
      <c r="BM10" s="148"/>
      <c r="BN10" s="148"/>
      <c r="BO10" s="143"/>
      <c r="BP10" s="143"/>
      <c r="BQ10" s="147"/>
      <c r="BR10" s="148"/>
      <c r="BS10" s="148"/>
      <c r="BT10" s="148"/>
      <c r="BU10" s="143"/>
      <c r="BV10" s="143"/>
      <c r="BW10" s="143"/>
      <c r="BX10" s="170" t="s">
        <v>236</v>
      </c>
      <c r="BY10" s="143"/>
      <c r="BZ10" s="143" t="s">
        <v>343</v>
      </c>
      <c r="CA10" s="395" t="s">
        <v>684</v>
      </c>
      <c r="CB10" s="397" t="s">
        <v>691</v>
      </c>
      <c r="CC10" s="398" t="s">
        <v>691</v>
      </c>
      <c r="CD10" s="397" t="s">
        <v>695</v>
      </c>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row>
    <row r="11" spans="1:108" ht="345" customHeight="1" x14ac:dyDescent="0.2">
      <c r="A11" s="463">
        <v>2</v>
      </c>
      <c r="B11" s="464" t="s">
        <v>73</v>
      </c>
      <c r="C11" s="464" t="s">
        <v>202</v>
      </c>
      <c r="D11" s="492" t="s">
        <v>344</v>
      </c>
      <c r="E11" s="492" t="s">
        <v>345</v>
      </c>
      <c r="F11" s="464" t="s">
        <v>205</v>
      </c>
      <c r="G11" s="464" t="s">
        <v>346</v>
      </c>
      <c r="H11" s="464" t="s">
        <v>347</v>
      </c>
      <c r="I11" s="464" t="s">
        <v>289</v>
      </c>
      <c r="J11" s="463">
        <v>1</v>
      </c>
      <c r="K11" s="463">
        <v>4</v>
      </c>
      <c r="L11" s="525">
        <f>+(J11*K11)*4</f>
        <v>16</v>
      </c>
      <c r="M11" s="522"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88">
        <v>1</v>
      </c>
      <c r="O11" s="215" t="s">
        <v>348</v>
      </c>
      <c r="P11" s="189">
        <v>15</v>
      </c>
      <c r="Q11" s="189">
        <v>15</v>
      </c>
      <c r="R11" s="189">
        <v>15</v>
      </c>
      <c r="S11" s="189">
        <v>15</v>
      </c>
      <c r="T11" s="189">
        <v>15</v>
      </c>
      <c r="U11" s="189">
        <v>15</v>
      </c>
      <c r="V11" s="189">
        <v>10</v>
      </c>
      <c r="W11" s="113">
        <f t="shared" si="1"/>
        <v>100</v>
      </c>
      <c r="X11" s="114" t="str">
        <f t="shared" si="0"/>
        <v>FUERTE</v>
      </c>
      <c r="Y11" s="216" t="s">
        <v>291</v>
      </c>
      <c r="Z11" s="115" t="str">
        <f t="shared" si="2"/>
        <v>FUERTE</v>
      </c>
      <c r="AA11" s="113" t="str">
        <f t="shared" si="3"/>
        <v>NO</v>
      </c>
      <c r="AB11" s="189"/>
      <c r="AC11" s="526">
        <f>IF(AND(W11&gt;0,SUM(W12:W16)=0),W11,IF(AND(SUM(W11:W12)&gt;0,SUM(W13:W16)=0),AVERAGE(W11:W12),IF(AND(SUM(W11:W13)&gt;0,SUM(W14:W16)=0),AVERAGE(W11:W13),IF(AND(SUM(W11:W14)&gt;0,SUM(W15:W16)=0),AVERAGE(W11:W14),IF(AND(SUM(W11:W15)&gt;0,W16=0),AVERAGE(W11:W15),AVERAGE(W11:W16))))))</f>
        <v>100</v>
      </c>
      <c r="AD11" s="526" t="str">
        <f>IF(AND(AC11&gt;=50,AC11&lt;=99),"MODERADO",IF(AND(AC11=100), "FUERTE",IF(AND(AC11&lt;50), "DEBIL")))</f>
        <v>FUERTE</v>
      </c>
      <c r="AE11" s="527" t="s">
        <v>292</v>
      </c>
      <c r="AF11" s="527" t="s">
        <v>292</v>
      </c>
      <c r="AG11" s="528">
        <f>IFERROR(_xlfn.IFS(AND(AD11="MODERADO",AE11="Directamente"),1,AND(AD11="FUERTE",AE11="Directamente"),2),"0")</f>
        <v>2</v>
      </c>
      <c r="AH11" s="528">
        <f>IFERROR(_xlfn.IFS(AND(AD11="MODERADO",AF11="Directamente"),1,AND(AD11="FUERTE",AF11="Directamente"),2,AND(AD11="FUERTE",AF11="Indirectamente"),1),"0")</f>
        <v>2</v>
      </c>
      <c r="AI11" s="521">
        <v>1</v>
      </c>
      <c r="AJ11" s="521">
        <v>3</v>
      </c>
      <c r="AK11" s="525">
        <f>+(AI11*AJ11)*4</f>
        <v>12</v>
      </c>
      <c r="AL11" s="522"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529" t="s">
        <v>293</v>
      </c>
      <c r="AN11" s="319" t="s">
        <v>349</v>
      </c>
      <c r="AO11" s="319" t="s">
        <v>350</v>
      </c>
      <c r="AP11" s="320">
        <v>45291</v>
      </c>
      <c r="AQ11" s="335" t="s">
        <v>225</v>
      </c>
      <c r="AR11" s="340" t="s">
        <v>351</v>
      </c>
      <c r="AS11" s="340" t="s">
        <v>230</v>
      </c>
      <c r="AT11" s="369" t="s">
        <v>352</v>
      </c>
      <c r="AU11" s="341"/>
      <c r="AV11" s="341"/>
      <c r="AW11" s="342"/>
      <c r="AX11" s="343"/>
      <c r="AY11" s="344"/>
      <c r="AZ11" s="345" t="s">
        <v>353</v>
      </c>
      <c r="BA11" s="346" t="s">
        <v>354</v>
      </c>
      <c r="BB11" s="347" t="s">
        <v>355</v>
      </c>
      <c r="BC11" s="347" t="s">
        <v>356</v>
      </c>
      <c r="BD11" s="347" t="s">
        <v>229</v>
      </c>
      <c r="BE11" s="360" t="s">
        <v>230</v>
      </c>
      <c r="BF11" s="361" t="s">
        <v>357</v>
      </c>
      <c r="BG11" s="319" t="s">
        <v>355</v>
      </c>
      <c r="BH11" s="319" t="s">
        <v>356</v>
      </c>
      <c r="BI11" s="319" t="s">
        <v>229</v>
      </c>
      <c r="BJ11" s="392" t="s">
        <v>233</v>
      </c>
      <c r="BK11" s="393" t="s">
        <v>358</v>
      </c>
      <c r="BL11" s="147"/>
      <c r="BM11" s="148"/>
      <c r="BN11" s="148"/>
      <c r="BO11" s="143"/>
      <c r="BP11" s="143"/>
      <c r="BQ11" s="147"/>
      <c r="BR11" s="148"/>
      <c r="BS11" s="148"/>
      <c r="BT11" s="170" t="s">
        <v>359</v>
      </c>
      <c r="BU11" s="143"/>
      <c r="BV11" s="143"/>
      <c r="BW11" s="143"/>
      <c r="BX11" s="170" t="s">
        <v>236</v>
      </c>
      <c r="BY11" s="143" t="s">
        <v>237</v>
      </c>
      <c r="BZ11" s="143" t="s">
        <v>360</v>
      </c>
      <c r="CA11" s="395" t="s">
        <v>684</v>
      </c>
      <c r="CB11" s="396" t="s">
        <v>696</v>
      </c>
      <c r="CC11" s="397" t="s">
        <v>697</v>
      </c>
      <c r="CD11" s="397" t="s">
        <v>698</v>
      </c>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row>
    <row r="12" spans="1:108" ht="258" customHeight="1" x14ac:dyDescent="0.2">
      <c r="A12" s="463"/>
      <c r="B12" s="464"/>
      <c r="C12" s="464"/>
      <c r="D12" s="492"/>
      <c r="E12" s="492"/>
      <c r="F12" s="464"/>
      <c r="G12" s="464"/>
      <c r="H12" s="464"/>
      <c r="I12" s="464"/>
      <c r="J12" s="463"/>
      <c r="K12" s="463"/>
      <c r="L12" s="525"/>
      <c r="M12" s="523"/>
      <c r="N12" s="188">
        <v>2</v>
      </c>
      <c r="O12" s="215" t="s">
        <v>361</v>
      </c>
      <c r="P12" s="189">
        <v>15</v>
      </c>
      <c r="Q12" s="189">
        <v>15</v>
      </c>
      <c r="R12" s="189">
        <v>15</v>
      </c>
      <c r="S12" s="189">
        <v>15</v>
      </c>
      <c r="T12" s="189">
        <v>15</v>
      </c>
      <c r="U12" s="189">
        <v>15</v>
      </c>
      <c r="V12" s="189">
        <v>10</v>
      </c>
      <c r="W12" s="113">
        <f t="shared" si="1"/>
        <v>100</v>
      </c>
      <c r="X12" s="114" t="str">
        <f t="shared" si="0"/>
        <v>FUERTE</v>
      </c>
      <c r="Y12" s="216" t="s">
        <v>291</v>
      </c>
      <c r="Z12" s="115" t="str">
        <f t="shared" si="2"/>
        <v>FUERTE</v>
      </c>
      <c r="AA12" s="113" t="str">
        <f t="shared" si="3"/>
        <v>NO</v>
      </c>
      <c r="AB12" s="189"/>
      <c r="AC12" s="526"/>
      <c r="AD12" s="526"/>
      <c r="AE12" s="527"/>
      <c r="AF12" s="527"/>
      <c r="AG12" s="528"/>
      <c r="AH12" s="528"/>
      <c r="AI12" s="521"/>
      <c r="AJ12" s="521"/>
      <c r="AK12" s="525"/>
      <c r="AL12" s="523"/>
      <c r="AM12" s="534"/>
      <c r="AN12" s="321"/>
      <c r="AO12" s="321"/>
      <c r="AP12" s="321"/>
      <c r="AQ12" s="219"/>
      <c r="AR12" s="322"/>
      <c r="AS12" s="322"/>
      <c r="AT12" s="322"/>
      <c r="AU12" s="307"/>
      <c r="AV12" s="307"/>
      <c r="AW12" s="307"/>
      <c r="AX12" s="348"/>
      <c r="AY12" s="349"/>
      <c r="AZ12" s="337" t="s">
        <v>225</v>
      </c>
      <c r="BA12" s="322" t="s">
        <v>362</v>
      </c>
      <c r="BB12" s="326" t="s">
        <v>334</v>
      </c>
      <c r="BC12" s="326" t="s">
        <v>334</v>
      </c>
      <c r="BD12" s="326" t="s">
        <v>334</v>
      </c>
      <c r="BE12" s="360">
        <v>45056</v>
      </c>
      <c r="BF12" s="330" t="s">
        <v>363</v>
      </c>
      <c r="BG12" s="365" t="s">
        <v>355</v>
      </c>
      <c r="BH12" s="191" t="s">
        <v>364</v>
      </c>
      <c r="BI12" s="191" t="s">
        <v>229</v>
      </c>
      <c r="BJ12" s="394">
        <v>45179</v>
      </c>
      <c r="BK12" s="394" t="s">
        <v>365</v>
      </c>
      <c r="BL12" s="147"/>
      <c r="BM12" s="148"/>
      <c r="BN12" s="148"/>
      <c r="BO12" s="143"/>
      <c r="BP12" s="143"/>
      <c r="BQ12" s="147"/>
      <c r="BR12" s="148"/>
      <c r="BS12" s="148"/>
      <c r="BT12" s="170" t="s">
        <v>366</v>
      </c>
      <c r="BU12" s="143"/>
      <c r="BV12" s="143"/>
      <c r="BW12" s="143"/>
      <c r="BX12" s="170" t="s">
        <v>236</v>
      </c>
      <c r="BY12" s="143" t="s">
        <v>322</v>
      </c>
      <c r="BZ12" s="143"/>
      <c r="CA12" s="395" t="s">
        <v>684</v>
      </c>
      <c r="CB12" s="396" t="s">
        <v>699</v>
      </c>
      <c r="CC12" s="397" t="s">
        <v>700</v>
      </c>
      <c r="CD12" s="397" t="s">
        <v>691</v>
      </c>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row>
    <row r="13" spans="1:108" ht="21" customHeight="1" x14ac:dyDescent="0.2">
      <c r="A13" s="463"/>
      <c r="B13" s="464"/>
      <c r="C13" s="464"/>
      <c r="D13" s="492"/>
      <c r="E13" s="492"/>
      <c r="F13" s="464"/>
      <c r="G13" s="464"/>
      <c r="H13" s="464"/>
      <c r="I13" s="464"/>
      <c r="J13" s="463"/>
      <c r="K13" s="463"/>
      <c r="L13" s="525"/>
      <c r="M13" s="523"/>
      <c r="N13" s="188">
        <v>3</v>
      </c>
      <c r="O13" s="218"/>
      <c r="P13" s="189"/>
      <c r="Q13" s="189"/>
      <c r="R13" s="189"/>
      <c r="S13" s="189"/>
      <c r="T13" s="189"/>
      <c r="U13" s="189"/>
      <c r="V13" s="189"/>
      <c r="W13" s="113">
        <f t="shared" si="1"/>
        <v>0</v>
      </c>
      <c r="X13" s="114" t="str">
        <f t="shared" si="0"/>
        <v>DEBIL</v>
      </c>
      <c r="Y13" s="216"/>
      <c r="Z13" s="115" t="str">
        <f t="shared" si="2"/>
        <v/>
      </c>
      <c r="AA13" s="113" t="str">
        <f t="shared" si="3"/>
        <v>SI</v>
      </c>
      <c r="AB13" s="189"/>
      <c r="AC13" s="526"/>
      <c r="AD13" s="526"/>
      <c r="AE13" s="527"/>
      <c r="AF13" s="527"/>
      <c r="AG13" s="528"/>
      <c r="AH13" s="528"/>
      <c r="AI13" s="521"/>
      <c r="AJ13" s="521"/>
      <c r="AK13" s="525"/>
      <c r="AL13" s="523"/>
      <c r="AM13" s="530"/>
      <c r="AN13" s="312"/>
      <c r="AO13" s="323"/>
      <c r="AP13" s="324"/>
      <c r="AQ13" s="191"/>
      <c r="AR13" s="189"/>
      <c r="AS13" s="191"/>
      <c r="AT13" s="189"/>
      <c r="AU13" s="148"/>
      <c r="AV13" s="143"/>
      <c r="AW13" s="148"/>
      <c r="AX13" s="143"/>
      <c r="AY13" s="147"/>
      <c r="AZ13" s="189"/>
      <c r="BA13" s="189"/>
      <c r="BB13" s="188"/>
      <c r="BC13" s="191"/>
      <c r="BD13" s="191"/>
      <c r="BE13" s="189"/>
      <c r="BF13" s="189"/>
      <c r="BG13" s="188"/>
      <c r="BH13" s="191"/>
      <c r="BI13" s="191"/>
      <c r="BJ13" s="143"/>
      <c r="BK13" s="143"/>
      <c r="BL13" s="147"/>
      <c r="BM13" s="148"/>
      <c r="BN13" s="148"/>
      <c r="BO13" s="143"/>
      <c r="BP13" s="143"/>
      <c r="BQ13" s="147"/>
      <c r="BR13" s="148"/>
      <c r="BS13" s="148"/>
      <c r="BT13" s="148"/>
      <c r="BU13" s="143"/>
      <c r="BV13" s="143"/>
      <c r="BW13" s="143"/>
      <c r="BX13" s="148"/>
      <c r="BY13" s="143"/>
      <c r="BZ13" s="143"/>
      <c r="CA13" s="399"/>
      <c r="CB13" s="396"/>
      <c r="CC13" s="400"/>
      <c r="CD13" s="396"/>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row>
    <row r="14" spans="1:108" ht="21" customHeight="1" x14ac:dyDescent="0.2">
      <c r="A14" s="463"/>
      <c r="B14" s="464"/>
      <c r="C14" s="464"/>
      <c r="D14" s="492"/>
      <c r="E14" s="492"/>
      <c r="F14" s="464"/>
      <c r="G14" s="464"/>
      <c r="H14" s="464"/>
      <c r="I14" s="464"/>
      <c r="J14" s="463"/>
      <c r="K14" s="463"/>
      <c r="L14" s="525"/>
      <c r="M14" s="523"/>
      <c r="N14" s="188">
        <v>4</v>
      </c>
      <c r="O14" s="217"/>
      <c r="P14" s="189"/>
      <c r="Q14" s="189"/>
      <c r="R14" s="189"/>
      <c r="S14" s="189"/>
      <c r="T14" s="189"/>
      <c r="U14" s="189"/>
      <c r="V14" s="189"/>
      <c r="W14" s="113">
        <f t="shared" si="1"/>
        <v>0</v>
      </c>
      <c r="X14" s="114" t="str">
        <f t="shared" si="0"/>
        <v>DEBIL</v>
      </c>
      <c r="Y14" s="216"/>
      <c r="Z14" s="115" t="str">
        <f t="shared" si="2"/>
        <v/>
      </c>
      <c r="AA14" s="113" t="str">
        <f t="shared" si="3"/>
        <v>SI</v>
      </c>
      <c r="AB14" s="189"/>
      <c r="AC14" s="526"/>
      <c r="AD14" s="526"/>
      <c r="AE14" s="527"/>
      <c r="AF14" s="527"/>
      <c r="AG14" s="528"/>
      <c r="AH14" s="528"/>
      <c r="AI14" s="521"/>
      <c r="AJ14" s="521"/>
      <c r="AK14" s="525"/>
      <c r="AL14" s="523"/>
      <c r="AM14" s="530"/>
      <c r="AN14" s="189"/>
      <c r="AO14" s="188"/>
      <c r="AP14" s="191"/>
      <c r="AQ14" s="191"/>
      <c r="AR14" s="189"/>
      <c r="AS14" s="191"/>
      <c r="AT14" s="189"/>
      <c r="AU14" s="148"/>
      <c r="AV14" s="143"/>
      <c r="AW14" s="148"/>
      <c r="AX14" s="143"/>
      <c r="AY14" s="147"/>
      <c r="AZ14" s="189"/>
      <c r="BA14" s="189"/>
      <c r="BB14" s="188"/>
      <c r="BC14" s="191"/>
      <c r="BD14" s="191"/>
      <c r="BE14" s="189"/>
      <c r="BF14" s="189"/>
      <c r="BG14" s="188"/>
      <c r="BH14" s="191"/>
      <c r="BI14" s="191"/>
      <c r="BJ14" s="143"/>
      <c r="BK14" s="143"/>
      <c r="BL14" s="147"/>
      <c r="BM14" s="148"/>
      <c r="BN14" s="148"/>
      <c r="BO14" s="143"/>
      <c r="BP14" s="143"/>
      <c r="BQ14" s="147"/>
      <c r="BR14" s="148"/>
      <c r="BS14" s="148"/>
      <c r="BT14" s="148"/>
      <c r="BU14" s="143"/>
      <c r="BV14" s="143"/>
      <c r="BW14" s="143"/>
      <c r="BX14" s="148"/>
      <c r="BY14" s="143"/>
      <c r="BZ14" s="143"/>
      <c r="CA14" s="399"/>
      <c r="CB14" s="396"/>
      <c r="CC14" s="400"/>
      <c r="CD14" s="396"/>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row>
    <row r="15" spans="1:108" ht="21" customHeight="1" x14ac:dyDescent="0.2">
      <c r="A15" s="463"/>
      <c r="B15" s="464"/>
      <c r="C15" s="464"/>
      <c r="D15" s="492"/>
      <c r="E15" s="492"/>
      <c r="F15" s="464"/>
      <c r="G15" s="464"/>
      <c r="H15" s="464"/>
      <c r="I15" s="464"/>
      <c r="J15" s="463"/>
      <c r="K15" s="463"/>
      <c r="L15" s="525"/>
      <c r="M15" s="523"/>
      <c r="N15" s="188">
        <v>5</v>
      </c>
      <c r="O15" s="217"/>
      <c r="P15" s="189"/>
      <c r="Q15" s="189"/>
      <c r="R15" s="189"/>
      <c r="S15" s="189"/>
      <c r="T15" s="189"/>
      <c r="U15" s="189"/>
      <c r="V15" s="189"/>
      <c r="W15" s="113">
        <f t="shared" si="1"/>
        <v>0</v>
      </c>
      <c r="X15" s="114" t="str">
        <f t="shared" si="0"/>
        <v>DEBIL</v>
      </c>
      <c r="Y15" s="216"/>
      <c r="Z15" s="115" t="str">
        <f t="shared" si="2"/>
        <v/>
      </c>
      <c r="AA15" s="113" t="str">
        <f t="shared" si="3"/>
        <v>SI</v>
      </c>
      <c r="AB15" s="189"/>
      <c r="AC15" s="526"/>
      <c r="AD15" s="526"/>
      <c r="AE15" s="527"/>
      <c r="AF15" s="527"/>
      <c r="AG15" s="528"/>
      <c r="AH15" s="528"/>
      <c r="AI15" s="521"/>
      <c r="AJ15" s="521"/>
      <c r="AK15" s="525"/>
      <c r="AL15" s="523"/>
      <c r="AM15" s="530"/>
      <c r="AN15" s="189"/>
      <c r="AO15" s="188"/>
      <c r="AP15" s="191"/>
      <c r="AQ15" s="191"/>
      <c r="AR15" s="189"/>
      <c r="AS15" s="191"/>
      <c r="AT15" s="189"/>
      <c r="AU15" s="148"/>
      <c r="AV15" s="143"/>
      <c r="AW15" s="148"/>
      <c r="AX15" s="143"/>
      <c r="AY15" s="147"/>
      <c r="AZ15" s="189"/>
      <c r="BA15" s="189"/>
      <c r="BB15" s="188"/>
      <c r="BC15" s="191"/>
      <c r="BD15" s="191"/>
      <c r="BE15" s="189"/>
      <c r="BF15" s="189"/>
      <c r="BG15" s="188"/>
      <c r="BH15" s="191"/>
      <c r="BI15" s="191"/>
      <c r="BJ15" s="143"/>
      <c r="BK15" s="143"/>
      <c r="BL15" s="147"/>
      <c r="BM15" s="148"/>
      <c r="BN15" s="148"/>
      <c r="BO15" s="143"/>
      <c r="BP15" s="143"/>
      <c r="BQ15" s="147"/>
      <c r="BR15" s="148"/>
      <c r="BS15" s="148"/>
      <c r="BT15" s="148"/>
      <c r="BU15" s="143"/>
      <c r="BV15" s="143"/>
      <c r="BW15" s="143"/>
      <c r="BX15" s="148"/>
      <c r="BY15" s="143"/>
      <c r="BZ15" s="143"/>
      <c r="CA15" s="399"/>
      <c r="CB15" s="396"/>
      <c r="CC15" s="400"/>
      <c r="CD15" s="396"/>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row>
    <row r="16" spans="1:108" ht="21" customHeight="1" x14ac:dyDescent="0.2">
      <c r="A16" s="463"/>
      <c r="B16" s="464"/>
      <c r="C16" s="464"/>
      <c r="D16" s="492"/>
      <c r="E16" s="492"/>
      <c r="F16" s="464"/>
      <c r="G16" s="464"/>
      <c r="H16" s="464"/>
      <c r="I16" s="464"/>
      <c r="J16" s="463"/>
      <c r="K16" s="463"/>
      <c r="L16" s="525"/>
      <c r="M16" s="524"/>
      <c r="N16" s="188">
        <v>6</v>
      </c>
      <c r="O16" s="217"/>
      <c r="P16" s="189"/>
      <c r="Q16" s="189"/>
      <c r="R16" s="189"/>
      <c r="S16" s="189"/>
      <c r="T16" s="189"/>
      <c r="U16" s="189"/>
      <c r="V16" s="189"/>
      <c r="W16" s="113">
        <f t="shared" si="1"/>
        <v>0</v>
      </c>
      <c r="X16" s="114" t="str">
        <f t="shared" si="0"/>
        <v>DEBIL</v>
      </c>
      <c r="Y16" s="216"/>
      <c r="Z16" s="115" t="str">
        <f t="shared" si="2"/>
        <v/>
      </c>
      <c r="AA16" s="113" t="str">
        <f t="shared" si="3"/>
        <v>SI</v>
      </c>
      <c r="AB16" s="189"/>
      <c r="AC16" s="526"/>
      <c r="AD16" s="526"/>
      <c r="AE16" s="527"/>
      <c r="AF16" s="527"/>
      <c r="AG16" s="528"/>
      <c r="AH16" s="528"/>
      <c r="AI16" s="521"/>
      <c r="AJ16" s="521"/>
      <c r="AK16" s="525"/>
      <c r="AL16" s="524"/>
      <c r="AM16" s="531"/>
      <c r="AN16" s="189"/>
      <c r="AO16" s="188"/>
      <c r="AP16" s="191"/>
      <c r="AQ16" s="191"/>
      <c r="AR16" s="189"/>
      <c r="AS16" s="191"/>
      <c r="AT16" s="189"/>
      <c r="AU16" s="148"/>
      <c r="AV16" s="143"/>
      <c r="AW16" s="148"/>
      <c r="AX16" s="143"/>
      <c r="AY16" s="147"/>
      <c r="AZ16" s="189"/>
      <c r="BA16" s="189"/>
      <c r="BB16" s="188"/>
      <c r="BC16" s="191"/>
      <c r="BD16" s="191"/>
      <c r="BE16" s="189"/>
      <c r="BF16" s="189"/>
      <c r="BG16" s="188"/>
      <c r="BH16" s="191"/>
      <c r="BI16" s="191"/>
      <c r="BJ16" s="143"/>
      <c r="BK16" s="143"/>
      <c r="BL16" s="147"/>
      <c r="BM16" s="148"/>
      <c r="BN16" s="148"/>
      <c r="BO16" s="143"/>
      <c r="BP16" s="143"/>
      <c r="BQ16" s="147"/>
      <c r="BR16" s="148"/>
      <c r="BS16" s="148"/>
      <c r="BT16" s="148"/>
      <c r="BU16" s="143"/>
      <c r="BV16" s="143"/>
      <c r="BW16" s="143"/>
      <c r="BX16" s="148"/>
      <c r="BY16" s="143"/>
      <c r="BZ16" s="143"/>
      <c r="CA16" s="399"/>
      <c r="CB16" s="401"/>
      <c r="CC16" s="402"/>
      <c r="CD16" s="401"/>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row>
    <row r="17" spans="1:108" ht="21" customHeight="1" x14ac:dyDescent="0.2">
      <c r="A17" s="463"/>
      <c r="B17" s="464"/>
      <c r="C17" s="464"/>
      <c r="D17" s="464"/>
      <c r="E17" s="492"/>
      <c r="F17" s="464"/>
      <c r="G17" s="464"/>
      <c r="H17" s="464"/>
      <c r="I17" s="464"/>
      <c r="J17" s="463"/>
      <c r="K17" s="463"/>
      <c r="L17" s="525">
        <f>+(J17*K17)*4</f>
        <v>0</v>
      </c>
      <c r="M17" s="522" t="b">
        <f>IF(OR(AND(J17=3,K17=4),AND(J17=2,K17=5),AND(J17=2,K17=5),AND(L17=20),AND(L17&gt;=52,L17&lt;=100)),"ZONA RIESGO EXTREMA",IF(OR(AND(J17=5,K17=2),AND(J17=4,K17=3),AND(J17=1,K17=4),AND(L17=16),AND(L17&gt;=28,L17&lt;=48)),"ZONA RIESGO ALTA",IF(OR(AND(J17=1,K17=3),AND(J17=4,K17=1),AND(L17=24)),"ZONA RIESGO MODERADA",IF(AND(L17&gt;=4,L17&lt;=16),"ZONA RIESGO BAJA"))))</f>
        <v>0</v>
      </c>
      <c r="N17" s="188">
        <v>1</v>
      </c>
      <c r="O17" s="217"/>
      <c r="P17" s="189"/>
      <c r="Q17" s="189"/>
      <c r="R17" s="189"/>
      <c r="S17" s="189"/>
      <c r="T17" s="189"/>
      <c r="U17" s="189"/>
      <c r="V17" s="189"/>
      <c r="W17" s="113">
        <f t="shared" si="1"/>
        <v>0</v>
      </c>
      <c r="X17" s="114" t="str">
        <f t="shared" si="0"/>
        <v>DEBIL</v>
      </c>
      <c r="Y17" s="216"/>
      <c r="Z17" s="115" t="str">
        <f t="shared" si="2"/>
        <v/>
      </c>
      <c r="AA17" s="113" t="str">
        <f t="shared" si="3"/>
        <v>SI</v>
      </c>
      <c r="AB17" s="189"/>
      <c r="AC17" s="526">
        <f>IF(AND(W17&gt;0,SUM(W18:W22)=0),W17,IF(AND(SUM(W17:W18)&gt;0,SUM(W19:W22)=0),AVERAGE(W17:W18),IF(AND(SUM(W17:W19)&gt;0,SUM(W20:W22)=0),AVERAGE(W17:W19),IF(AND(SUM(W17:W20)&gt;0,SUM(W21:W22)=0),AVERAGE(W17:W20),IF(AND(SUM(W17:W21)&gt;0,W22=0),AVERAGE(W17:W21),AVERAGE(W17:W22))))))</f>
        <v>0</v>
      </c>
      <c r="AD17" s="526" t="str">
        <f>IF(AND(AC17&gt;=50,AC17&lt;=99),"MODERADO",IF(AND(AC17=100), "FUERTE",IF(AND(AC17&lt;50), "DEBIL")))</f>
        <v>DEBIL</v>
      </c>
      <c r="AE17" s="527"/>
      <c r="AF17" s="527"/>
      <c r="AG17" s="528" t="str">
        <f>IFERROR(_xlfn.IFS(AND(AD17="MODERADO",AE17="Directamente"),1,AND(AD17="FUERTE",AE17="Directamente"),2),"0")</f>
        <v>0</v>
      </c>
      <c r="AH17" s="528" t="str">
        <f>IFERROR(_xlfn.IFS(AND(AD17="MODERADO",AF17="Directamente"),1,AND(AD17="FUERTE",AF17="Directamente"),2,AND(AD17="FUERTE",AF17="Indirectamente"),1),"0")</f>
        <v>0</v>
      </c>
      <c r="AI17" s="521"/>
      <c r="AJ17" s="521"/>
      <c r="AK17" s="525">
        <f>+(AI17*AJ17)*4</f>
        <v>0</v>
      </c>
      <c r="AL17" s="52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529"/>
      <c r="AN17" s="189"/>
      <c r="AO17" s="188"/>
      <c r="AP17" s="191"/>
      <c r="AQ17" s="191"/>
      <c r="AR17" s="189"/>
      <c r="AS17" s="191"/>
      <c r="AT17" s="189"/>
      <c r="AU17" s="148"/>
      <c r="AV17" s="143"/>
      <c r="AW17" s="148"/>
      <c r="AX17" s="143"/>
      <c r="AY17" s="147"/>
      <c r="AZ17" s="189"/>
      <c r="BA17" s="189"/>
      <c r="BB17" s="188"/>
      <c r="BC17" s="191"/>
      <c r="BD17" s="191"/>
      <c r="BE17" s="189"/>
      <c r="BF17" s="189"/>
      <c r="BG17" s="188"/>
      <c r="BH17" s="191"/>
      <c r="BI17" s="191"/>
      <c r="BJ17" s="143"/>
      <c r="BK17" s="143"/>
      <c r="BL17" s="147"/>
      <c r="BM17" s="148"/>
      <c r="BN17" s="148"/>
      <c r="BO17" s="143"/>
      <c r="BP17" s="143"/>
      <c r="BQ17" s="147"/>
      <c r="BR17" s="148"/>
      <c r="BS17" s="148"/>
      <c r="BT17" s="148"/>
      <c r="BU17" s="143"/>
      <c r="BV17" s="143"/>
      <c r="BW17" s="143"/>
      <c r="BX17" s="148"/>
      <c r="BY17" s="143"/>
      <c r="BZ17" s="143"/>
      <c r="CA17" s="399"/>
      <c r="CB17" s="401"/>
      <c r="CC17" s="402"/>
      <c r="CD17" s="401"/>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row>
    <row r="18" spans="1:108" ht="21" customHeight="1" x14ac:dyDescent="0.2">
      <c r="A18" s="463"/>
      <c r="B18" s="464"/>
      <c r="C18" s="464"/>
      <c r="D18" s="464"/>
      <c r="E18" s="492"/>
      <c r="F18" s="464"/>
      <c r="G18" s="464"/>
      <c r="H18" s="464"/>
      <c r="I18" s="464"/>
      <c r="J18" s="463"/>
      <c r="K18" s="463"/>
      <c r="L18" s="525"/>
      <c r="M18" s="523"/>
      <c r="N18" s="188">
        <v>2</v>
      </c>
      <c r="O18" s="217"/>
      <c r="P18" s="189"/>
      <c r="Q18" s="189"/>
      <c r="R18" s="189"/>
      <c r="S18" s="189"/>
      <c r="T18" s="189"/>
      <c r="U18" s="189"/>
      <c r="V18" s="189"/>
      <c r="W18" s="113">
        <f t="shared" si="1"/>
        <v>0</v>
      </c>
      <c r="X18" s="114" t="str">
        <f t="shared" si="0"/>
        <v>DEBIL</v>
      </c>
      <c r="Y18" s="216"/>
      <c r="Z18" s="115" t="str">
        <f t="shared" si="2"/>
        <v/>
      </c>
      <c r="AA18" s="113" t="str">
        <f t="shared" si="3"/>
        <v>SI</v>
      </c>
      <c r="AB18" s="189"/>
      <c r="AC18" s="526"/>
      <c r="AD18" s="526"/>
      <c r="AE18" s="527"/>
      <c r="AF18" s="527"/>
      <c r="AG18" s="528"/>
      <c r="AH18" s="528"/>
      <c r="AI18" s="521"/>
      <c r="AJ18" s="521"/>
      <c r="AK18" s="525"/>
      <c r="AL18" s="523"/>
      <c r="AM18" s="530"/>
      <c r="AN18" s="189"/>
      <c r="AO18" s="188"/>
      <c r="AP18" s="191"/>
      <c r="AQ18" s="191"/>
      <c r="AR18" s="189"/>
      <c r="AS18" s="191"/>
      <c r="AT18" s="189"/>
      <c r="AU18" s="148"/>
      <c r="AV18" s="143"/>
      <c r="AW18" s="148"/>
      <c r="AX18" s="143"/>
      <c r="AY18" s="147"/>
      <c r="AZ18" s="189"/>
      <c r="BA18" s="189"/>
      <c r="BB18" s="188"/>
      <c r="BC18" s="191"/>
      <c r="BD18" s="191"/>
      <c r="BE18" s="189"/>
      <c r="BF18" s="189"/>
      <c r="BG18" s="188"/>
      <c r="BH18" s="191"/>
      <c r="BI18" s="191"/>
      <c r="BJ18" s="143"/>
      <c r="BK18" s="143"/>
      <c r="BL18" s="147"/>
      <c r="BM18" s="148"/>
      <c r="BN18" s="148"/>
      <c r="BO18" s="143"/>
      <c r="BP18" s="143"/>
      <c r="BQ18" s="147"/>
      <c r="BR18" s="148"/>
      <c r="BS18" s="148"/>
      <c r="BT18" s="148"/>
      <c r="BU18" s="143"/>
      <c r="BV18" s="143"/>
      <c r="BW18" s="143"/>
      <c r="BX18" s="148"/>
      <c r="BY18" s="143"/>
      <c r="BZ18" s="143"/>
      <c r="CA18" s="399"/>
      <c r="CB18" s="401"/>
      <c r="CC18" s="402"/>
      <c r="CD18" s="401"/>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row>
    <row r="19" spans="1:108" ht="21" customHeight="1" x14ac:dyDescent="0.2">
      <c r="A19" s="463"/>
      <c r="B19" s="464"/>
      <c r="C19" s="464"/>
      <c r="D19" s="464"/>
      <c r="E19" s="492"/>
      <c r="F19" s="464"/>
      <c r="G19" s="464"/>
      <c r="H19" s="464"/>
      <c r="I19" s="464"/>
      <c r="J19" s="463"/>
      <c r="K19" s="463"/>
      <c r="L19" s="525"/>
      <c r="M19" s="523"/>
      <c r="N19" s="188">
        <v>3</v>
      </c>
      <c r="O19" s="218"/>
      <c r="P19" s="189"/>
      <c r="Q19" s="189"/>
      <c r="R19" s="189"/>
      <c r="S19" s="189"/>
      <c r="T19" s="189"/>
      <c r="U19" s="189"/>
      <c r="V19" s="189"/>
      <c r="W19" s="113">
        <f t="shared" si="1"/>
        <v>0</v>
      </c>
      <c r="X19" s="114" t="str">
        <f t="shared" si="0"/>
        <v>DEBIL</v>
      </c>
      <c r="Y19" s="216"/>
      <c r="Z19" s="115" t="str">
        <f t="shared" si="2"/>
        <v/>
      </c>
      <c r="AA19" s="113" t="str">
        <f t="shared" si="3"/>
        <v>SI</v>
      </c>
      <c r="AB19" s="189"/>
      <c r="AC19" s="526"/>
      <c r="AD19" s="526"/>
      <c r="AE19" s="527"/>
      <c r="AF19" s="527"/>
      <c r="AG19" s="528"/>
      <c r="AH19" s="528"/>
      <c r="AI19" s="521"/>
      <c r="AJ19" s="521"/>
      <c r="AK19" s="525"/>
      <c r="AL19" s="523"/>
      <c r="AM19" s="530"/>
      <c r="AN19" s="189"/>
      <c r="AO19" s="188"/>
      <c r="AP19" s="191"/>
      <c r="AQ19" s="191"/>
      <c r="AR19" s="189"/>
      <c r="AS19" s="191"/>
      <c r="AT19" s="189"/>
      <c r="AU19" s="148"/>
      <c r="AV19" s="143"/>
      <c r="AW19" s="148"/>
      <c r="AX19" s="143"/>
      <c r="AY19" s="147"/>
      <c r="AZ19" s="189"/>
      <c r="BA19" s="189"/>
      <c r="BB19" s="188"/>
      <c r="BC19" s="191"/>
      <c r="BD19" s="191"/>
      <c r="BE19" s="189"/>
      <c r="BF19" s="189"/>
      <c r="BG19" s="188"/>
      <c r="BH19" s="191"/>
      <c r="BI19" s="191"/>
      <c r="BJ19" s="143"/>
      <c r="BK19" s="143"/>
      <c r="BL19" s="147"/>
      <c r="BM19" s="148"/>
      <c r="BN19" s="148"/>
      <c r="BO19" s="143"/>
      <c r="BP19" s="143"/>
      <c r="BQ19" s="147"/>
      <c r="BR19" s="148"/>
      <c r="BS19" s="148"/>
      <c r="BT19" s="148"/>
      <c r="BU19" s="143"/>
      <c r="BV19" s="143"/>
      <c r="BW19" s="143"/>
      <c r="BX19" s="148"/>
      <c r="BY19" s="143"/>
      <c r="BZ19" s="143"/>
      <c r="CA19" s="399"/>
      <c r="CB19" s="401"/>
      <c r="CC19" s="402"/>
      <c r="CD19" s="401"/>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row>
    <row r="20" spans="1:108" ht="21" customHeight="1" thickTop="1" thickBot="1" x14ac:dyDescent="0.25">
      <c r="A20" s="463"/>
      <c r="B20" s="464"/>
      <c r="C20" s="464"/>
      <c r="D20" s="464"/>
      <c r="E20" s="492"/>
      <c r="F20" s="464"/>
      <c r="G20" s="464"/>
      <c r="H20" s="464"/>
      <c r="I20" s="464"/>
      <c r="J20" s="463"/>
      <c r="K20" s="463"/>
      <c r="L20" s="525"/>
      <c r="M20" s="523"/>
      <c r="N20" s="188">
        <v>4</v>
      </c>
      <c r="O20" s="217"/>
      <c r="P20" s="189"/>
      <c r="Q20" s="189"/>
      <c r="R20" s="189"/>
      <c r="S20" s="189"/>
      <c r="T20" s="189"/>
      <c r="U20" s="189"/>
      <c r="V20" s="189"/>
      <c r="W20" s="113">
        <f t="shared" si="1"/>
        <v>0</v>
      </c>
      <c r="X20" s="114" t="str">
        <f t="shared" si="0"/>
        <v>DEBIL</v>
      </c>
      <c r="Y20" s="216"/>
      <c r="Z20" s="115" t="str">
        <f t="shared" si="2"/>
        <v/>
      </c>
      <c r="AA20" s="113" t="str">
        <f t="shared" si="3"/>
        <v>SI</v>
      </c>
      <c r="AB20" s="189"/>
      <c r="AC20" s="526"/>
      <c r="AD20" s="526"/>
      <c r="AE20" s="527"/>
      <c r="AF20" s="527"/>
      <c r="AG20" s="528"/>
      <c r="AH20" s="528"/>
      <c r="AI20" s="521"/>
      <c r="AJ20" s="521"/>
      <c r="AK20" s="525"/>
      <c r="AL20" s="523"/>
      <c r="AM20" s="530"/>
      <c r="AN20" s="189"/>
      <c r="AO20" s="188"/>
      <c r="AP20" s="191"/>
      <c r="AQ20" s="191"/>
      <c r="AR20" s="189"/>
      <c r="AS20" s="191"/>
      <c r="AT20" s="189"/>
      <c r="AU20" s="148"/>
      <c r="AV20" s="143"/>
      <c r="AW20" s="148"/>
      <c r="AX20" s="143"/>
      <c r="AY20" s="147"/>
      <c r="AZ20" s="189"/>
      <c r="BA20" s="189"/>
      <c r="BB20" s="188"/>
      <c r="BC20" s="191"/>
      <c r="BD20" s="191"/>
      <c r="BE20" s="189"/>
      <c r="BF20" s="189"/>
      <c r="BG20" s="188"/>
      <c r="BH20" s="191"/>
      <c r="BI20" s="191"/>
      <c r="BJ20" s="143"/>
      <c r="BK20" s="143"/>
      <c r="BL20" s="147"/>
      <c r="BM20" s="148"/>
      <c r="BN20" s="148"/>
      <c r="BO20" s="143"/>
      <c r="BP20" s="143"/>
      <c r="BQ20" s="147"/>
      <c r="BR20" s="148"/>
      <c r="BS20" s="148"/>
      <c r="BT20" s="148"/>
      <c r="BU20" s="143"/>
      <c r="BV20" s="143"/>
      <c r="BW20" s="143"/>
      <c r="BX20" s="148"/>
      <c r="BY20" s="143"/>
      <c r="BZ20" s="143"/>
      <c r="CA20" s="399"/>
      <c r="CB20" s="401"/>
      <c r="CC20" s="402"/>
      <c r="CD20" s="401"/>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row>
    <row r="21" spans="1:108" ht="21" customHeight="1" thickTop="1" thickBot="1" x14ac:dyDescent="0.25">
      <c r="A21" s="463"/>
      <c r="B21" s="464"/>
      <c r="C21" s="464"/>
      <c r="D21" s="464"/>
      <c r="E21" s="492"/>
      <c r="F21" s="464"/>
      <c r="G21" s="464"/>
      <c r="H21" s="464"/>
      <c r="I21" s="464"/>
      <c r="J21" s="463"/>
      <c r="K21" s="463"/>
      <c r="L21" s="525"/>
      <c r="M21" s="523"/>
      <c r="N21" s="188">
        <v>5</v>
      </c>
      <c r="O21" s="217"/>
      <c r="P21" s="189"/>
      <c r="Q21" s="189"/>
      <c r="R21" s="189"/>
      <c r="S21" s="189"/>
      <c r="T21" s="189"/>
      <c r="U21" s="189"/>
      <c r="V21" s="189"/>
      <c r="W21" s="113">
        <f t="shared" si="1"/>
        <v>0</v>
      </c>
      <c r="X21" s="114" t="str">
        <f t="shared" si="0"/>
        <v>DEBIL</v>
      </c>
      <c r="Y21" s="216"/>
      <c r="Z21" s="115" t="str">
        <f t="shared" si="2"/>
        <v/>
      </c>
      <c r="AA21" s="113" t="str">
        <f t="shared" si="3"/>
        <v>SI</v>
      </c>
      <c r="AB21" s="189"/>
      <c r="AC21" s="526"/>
      <c r="AD21" s="526"/>
      <c r="AE21" s="527"/>
      <c r="AF21" s="527"/>
      <c r="AG21" s="528"/>
      <c r="AH21" s="528"/>
      <c r="AI21" s="521"/>
      <c r="AJ21" s="521"/>
      <c r="AK21" s="525"/>
      <c r="AL21" s="523"/>
      <c r="AM21" s="530"/>
      <c r="AN21" s="189"/>
      <c r="AO21" s="188"/>
      <c r="AP21" s="191"/>
      <c r="AQ21" s="191"/>
      <c r="AR21" s="189"/>
      <c r="AS21" s="191"/>
      <c r="AT21" s="189"/>
      <c r="AU21" s="148"/>
      <c r="AV21" s="143"/>
      <c r="AW21" s="148"/>
      <c r="AX21" s="143"/>
      <c r="AY21" s="147"/>
      <c r="AZ21" s="189"/>
      <c r="BA21" s="189"/>
      <c r="BB21" s="188"/>
      <c r="BC21" s="191"/>
      <c r="BD21" s="191"/>
      <c r="BE21" s="189"/>
      <c r="BF21" s="189"/>
      <c r="BG21" s="188"/>
      <c r="BH21" s="191"/>
      <c r="BI21" s="191"/>
      <c r="BJ21" s="143"/>
      <c r="BK21" s="143"/>
      <c r="BL21" s="147"/>
      <c r="BM21" s="148"/>
      <c r="BN21" s="148"/>
      <c r="BO21" s="143"/>
      <c r="BP21" s="143"/>
      <c r="BQ21" s="147"/>
      <c r="BR21" s="148"/>
      <c r="BS21" s="148"/>
      <c r="BT21" s="148"/>
      <c r="BU21" s="143"/>
      <c r="BV21" s="143"/>
      <c r="BW21" s="143"/>
      <c r="BX21" s="148"/>
      <c r="BY21" s="143"/>
      <c r="BZ21" s="143"/>
      <c r="CA21" s="399"/>
      <c r="CB21" s="401"/>
      <c r="CC21" s="402"/>
      <c r="CD21" s="401"/>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row>
    <row r="22" spans="1:108" ht="21" customHeight="1" thickTop="1" thickBot="1" x14ac:dyDescent="0.25">
      <c r="A22" s="463"/>
      <c r="B22" s="464"/>
      <c r="C22" s="464"/>
      <c r="D22" s="464"/>
      <c r="E22" s="492"/>
      <c r="F22" s="464"/>
      <c r="G22" s="464"/>
      <c r="H22" s="464"/>
      <c r="I22" s="464"/>
      <c r="J22" s="463"/>
      <c r="K22" s="463"/>
      <c r="L22" s="525"/>
      <c r="M22" s="524"/>
      <c r="N22" s="188">
        <v>6</v>
      </c>
      <c r="O22" s="217"/>
      <c r="P22" s="189"/>
      <c r="Q22" s="189"/>
      <c r="R22" s="189"/>
      <c r="S22" s="189"/>
      <c r="T22" s="189"/>
      <c r="U22" s="189"/>
      <c r="V22" s="189"/>
      <c r="W22" s="113">
        <f t="shared" si="1"/>
        <v>0</v>
      </c>
      <c r="X22" s="114" t="str">
        <f t="shared" si="0"/>
        <v>DEBIL</v>
      </c>
      <c r="Y22" s="216"/>
      <c r="Z22" s="115" t="str">
        <f t="shared" si="2"/>
        <v/>
      </c>
      <c r="AA22" s="113" t="str">
        <f t="shared" si="3"/>
        <v>SI</v>
      </c>
      <c r="AB22" s="189"/>
      <c r="AC22" s="526"/>
      <c r="AD22" s="526"/>
      <c r="AE22" s="527"/>
      <c r="AF22" s="527"/>
      <c r="AG22" s="528"/>
      <c r="AH22" s="528"/>
      <c r="AI22" s="521"/>
      <c r="AJ22" s="521"/>
      <c r="AK22" s="525"/>
      <c r="AL22" s="524"/>
      <c r="AM22" s="531"/>
      <c r="AN22" s="189"/>
      <c r="AO22" s="188"/>
      <c r="AP22" s="191"/>
      <c r="AQ22" s="191"/>
      <c r="AR22" s="189"/>
      <c r="AS22" s="191"/>
      <c r="AT22" s="189"/>
      <c r="AU22" s="148"/>
      <c r="AV22" s="143"/>
      <c r="AW22" s="148"/>
      <c r="AX22" s="143"/>
      <c r="AY22" s="147"/>
      <c r="AZ22" s="189"/>
      <c r="BA22" s="189"/>
      <c r="BB22" s="188"/>
      <c r="BC22" s="191"/>
      <c r="BD22" s="191"/>
      <c r="BE22" s="189"/>
      <c r="BF22" s="189"/>
      <c r="BG22" s="188"/>
      <c r="BH22" s="191"/>
      <c r="BI22" s="191"/>
      <c r="BJ22" s="143"/>
      <c r="BK22" s="143"/>
      <c r="BL22" s="147"/>
      <c r="BM22" s="148"/>
      <c r="BN22" s="148"/>
      <c r="BO22" s="143"/>
      <c r="BP22" s="143"/>
      <c r="BQ22" s="147"/>
      <c r="BR22" s="148"/>
      <c r="BS22" s="148"/>
      <c r="BT22" s="148"/>
      <c r="BU22" s="143"/>
      <c r="BV22" s="143"/>
      <c r="BW22" s="143"/>
      <c r="BX22" s="148"/>
      <c r="BY22" s="143"/>
      <c r="BZ22" s="143"/>
      <c r="CA22" s="399"/>
      <c r="CB22" s="401"/>
      <c r="CC22" s="402"/>
      <c r="CD22" s="401"/>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row>
    <row r="23" spans="1:108" ht="21" customHeight="1" thickTop="1" thickBot="1" x14ac:dyDescent="0.25">
      <c r="A23" s="463"/>
      <c r="B23" s="464"/>
      <c r="C23" s="464"/>
      <c r="D23" s="464"/>
      <c r="E23" s="492"/>
      <c r="F23" s="464"/>
      <c r="G23" s="464"/>
      <c r="H23" s="464"/>
      <c r="I23" s="464"/>
      <c r="J23" s="463"/>
      <c r="K23" s="463"/>
      <c r="L23" s="525">
        <f>+(J23*K23)*4</f>
        <v>0</v>
      </c>
      <c r="M23" s="522" t="b">
        <f>IF(OR(AND(J23=3,K23=4),AND(J23=2,K23=5),AND(J23=2,K23=5),AND(L23=20),AND(L23&gt;=52,L23&lt;=100)),"ZONA RIESGO EXTREMA",IF(OR(AND(J23=5,K23=2),AND(J23=4,K23=3),AND(J23=1,K23=4),AND(L23=16),AND(L23&gt;=28,L23&lt;=48)),"ZONA RIESGO ALTA",IF(OR(AND(J23=1,K23=3),AND(J23=4,K23=1),AND(L23=24)),"ZONA RIESGO MODERADA",IF(AND(L23&gt;=4,L23&lt;=16),"ZONA RIESGO BAJA"))))</f>
        <v>0</v>
      </c>
      <c r="N23" s="188">
        <v>1</v>
      </c>
      <c r="O23" s="217"/>
      <c r="P23" s="189"/>
      <c r="Q23" s="189"/>
      <c r="R23" s="189"/>
      <c r="S23" s="189"/>
      <c r="T23" s="189"/>
      <c r="U23" s="189"/>
      <c r="V23" s="189"/>
      <c r="W23" s="113">
        <f t="shared" si="1"/>
        <v>0</v>
      </c>
      <c r="X23" s="114" t="str">
        <f t="shared" si="0"/>
        <v>DEBIL</v>
      </c>
      <c r="Y23" s="216"/>
      <c r="Z23" s="115" t="str">
        <f t="shared" si="2"/>
        <v/>
      </c>
      <c r="AA23" s="113" t="str">
        <f t="shared" si="3"/>
        <v>SI</v>
      </c>
      <c r="AB23" s="189"/>
      <c r="AC23" s="526">
        <f>IF(AND(W23&gt;0,SUM(W24:W28)=0),W23,IF(AND(SUM(W23:W24)&gt;0,SUM(W25:W28)=0),AVERAGE(W23:W24),IF(AND(SUM(W23:W25)&gt;0,SUM(W26:W28)=0),AVERAGE(W23:W25),IF(AND(SUM(W23:W26)&gt;0,SUM(W27:W28)=0),AVERAGE(W23:W26),IF(AND(SUM(W23:W27)&gt;0,W28=0),AVERAGE(W23:W27),AVERAGE(W23:W28))))))</f>
        <v>0</v>
      </c>
      <c r="AD23" s="526" t="str">
        <f>IF(AND(AC23&gt;=50,AC23&lt;=99),"MODERADO",IF(AND(AC23=100), "FUERTE",IF(AND(AC23&lt;50), "DEBIL")))</f>
        <v>DEBIL</v>
      </c>
      <c r="AE23" s="527"/>
      <c r="AF23" s="527"/>
      <c r="AG23" s="528" t="str">
        <f>IFERROR(_xlfn.IFS(AND(AD23="MODERADO",AE23="Directamente"),1,AND(AD23="FUERTE",AE23="Directamente"),2),"0")</f>
        <v>0</v>
      </c>
      <c r="AH23" s="528" t="str">
        <f>IFERROR(_xlfn.IFS(AND(AD23="MODERADO",AF23="Directamente"),1,AND(AD23="FUERTE",AF23="Directamente"),2,AND(AD23="FUERTE",AF23="Indirectamente"),1),"0")</f>
        <v>0</v>
      </c>
      <c r="AI23" s="521"/>
      <c r="AJ23" s="521"/>
      <c r="AK23" s="525">
        <f>+(AI23*AJ23)*4</f>
        <v>0</v>
      </c>
      <c r="AL23" s="52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529"/>
      <c r="AN23" s="189"/>
      <c r="AO23" s="188"/>
      <c r="AP23" s="191"/>
      <c r="AQ23" s="191"/>
      <c r="AR23" s="189"/>
      <c r="AS23" s="191"/>
      <c r="AT23" s="189"/>
      <c r="AU23" s="148"/>
      <c r="AV23" s="143"/>
      <c r="AW23" s="148"/>
      <c r="AX23" s="143"/>
      <c r="AY23" s="147"/>
      <c r="AZ23" s="189"/>
      <c r="BA23" s="189"/>
      <c r="BB23" s="188"/>
      <c r="BC23" s="191"/>
      <c r="BD23" s="191"/>
      <c r="BE23" s="189"/>
      <c r="BF23" s="189"/>
      <c r="BG23" s="188"/>
      <c r="BH23" s="191"/>
      <c r="BI23" s="191"/>
      <c r="BJ23" s="143"/>
      <c r="BK23" s="143"/>
      <c r="BL23" s="147"/>
      <c r="BM23" s="148"/>
      <c r="BN23" s="148"/>
      <c r="BO23" s="143"/>
      <c r="BP23" s="143"/>
      <c r="BQ23" s="147"/>
      <c r="BR23" s="148"/>
      <c r="BS23" s="148"/>
      <c r="BT23" s="148"/>
      <c r="BU23" s="143"/>
      <c r="BV23" s="143"/>
      <c r="BW23" s="143"/>
      <c r="BX23" s="148"/>
      <c r="BY23" s="143"/>
      <c r="BZ23" s="143"/>
      <c r="CA23" s="399"/>
      <c r="CB23" s="401"/>
      <c r="CC23" s="402"/>
      <c r="CD23" s="401"/>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row>
    <row r="24" spans="1:108" ht="21" customHeight="1" thickTop="1" thickBot="1" x14ac:dyDescent="0.25">
      <c r="A24" s="463"/>
      <c r="B24" s="464"/>
      <c r="C24" s="464"/>
      <c r="D24" s="464"/>
      <c r="E24" s="492"/>
      <c r="F24" s="464"/>
      <c r="G24" s="464"/>
      <c r="H24" s="464"/>
      <c r="I24" s="464"/>
      <c r="J24" s="463"/>
      <c r="K24" s="463"/>
      <c r="L24" s="525"/>
      <c r="M24" s="523"/>
      <c r="N24" s="188">
        <v>2</v>
      </c>
      <c r="O24" s="217"/>
      <c r="P24" s="189"/>
      <c r="Q24" s="189"/>
      <c r="R24" s="189"/>
      <c r="S24" s="189"/>
      <c r="T24" s="189"/>
      <c r="U24" s="189"/>
      <c r="V24" s="189"/>
      <c r="W24" s="113">
        <f t="shared" si="1"/>
        <v>0</v>
      </c>
      <c r="X24" s="114" t="str">
        <f t="shared" si="0"/>
        <v>DEBIL</v>
      </c>
      <c r="Y24" s="216"/>
      <c r="Z24" s="115" t="str">
        <f t="shared" si="2"/>
        <v/>
      </c>
      <c r="AA24" s="113" t="str">
        <f t="shared" si="3"/>
        <v>SI</v>
      </c>
      <c r="AB24" s="189"/>
      <c r="AC24" s="526"/>
      <c r="AD24" s="526"/>
      <c r="AE24" s="527"/>
      <c r="AF24" s="527"/>
      <c r="AG24" s="528"/>
      <c r="AH24" s="528"/>
      <c r="AI24" s="521"/>
      <c r="AJ24" s="521"/>
      <c r="AK24" s="525"/>
      <c r="AL24" s="523"/>
      <c r="AM24" s="530"/>
      <c r="AN24" s="189"/>
      <c r="AO24" s="188"/>
      <c r="AP24" s="191"/>
      <c r="AQ24" s="191"/>
      <c r="AR24" s="189"/>
      <c r="AS24" s="191"/>
      <c r="AT24" s="189"/>
      <c r="AU24" s="148"/>
      <c r="AV24" s="143"/>
      <c r="AW24" s="148"/>
      <c r="AX24" s="143"/>
      <c r="AY24" s="147"/>
      <c r="AZ24" s="189"/>
      <c r="BA24" s="189"/>
      <c r="BB24" s="188"/>
      <c r="BC24" s="191"/>
      <c r="BD24" s="191"/>
      <c r="BE24" s="189"/>
      <c r="BF24" s="189"/>
      <c r="BG24" s="188"/>
      <c r="BH24" s="191"/>
      <c r="BI24" s="191"/>
      <c r="BJ24" s="143"/>
      <c r="BK24" s="143"/>
      <c r="BL24" s="147"/>
      <c r="BM24" s="148"/>
      <c r="BN24" s="148"/>
      <c r="BO24" s="143"/>
      <c r="BP24" s="143"/>
      <c r="BQ24" s="147"/>
      <c r="BR24" s="148"/>
      <c r="BS24" s="148"/>
      <c r="BT24" s="148"/>
      <c r="BU24" s="143"/>
      <c r="BV24" s="143"/>
      <c r="BW24" s="143"/>
      <c r="BX24" s="148"/>
      <c r="BY24" s="143"/>
      <c r="BZ24" s="143"/>
      <c r="CA24" s="399"/>
      <c r="CB24" s="401"/>
      <c r="CC24" s="402"/>
      <c r="CD24" s="401"/>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row>
    <row r="25" spans="1:108" ht="21" customHeight="1" thickTop="1" thickBot="1" x14ac:dyDescent="0.25">
      <c r="A25" s="463"/>
      <c r="B25" s="464"/>
      <c r="C25" s="464"/>
      <c r="D25" s="464"/>
      <c r="E25" s="492"/>
      <c r="F25" s="464"/>
      <c r="G25" s="464"/>
      <c r="H25" s="464"/>
      <c r="I25" s="464"/>
      <c r="J25" s="463"/>
      <c r="K25" s="463"/>
      <c r="L25" s="525"/>
      <c r="M25" s="523"/>
      <c r="N25" s="188">
        <v>3</v>
      </c>
      <c r="O25" s="218"/>
      <c r="P25" s="189"/>
      <c r="Q25" s="189"/>
      <c r="R25" s="189"/>
      <c r="S25" s="189"/>
      <c r="T25" s="189"/>
      <c r="U25" s="189"/>
      <c r="V25" s="189"/>
      <c r="W25" s="113">
        <f t="shared" si="1"/>
        <v>0</v>
      </c>
      <c r="X25" s="114" t="str">
        <f t="shared" si="0"/>
        <v>DEBIL</v>
      </c>
      <c r="Y25" s="216"/>
      <c r="Z25" s="115" t="str">
        <f t="shared" si="2"/>
        <v/>
      </c>
      <c r="AA25" s="113" t="str">
        <f t="shared" si="3"/>
        <v>SI</v>
      </c>
      <c r="AB25" s="189"/>
      <c r="AC25" s="526"/>
      <c r="AD25" s="526"/>
      <c r="AE25" s="527"/>
      <c r="AF25" s="527"/>
      <c r="AG25" s="528"/>
      <c r="AH25" s="528"/>
      <c r="AI25" s="521"/>
      <c r="AJ25" s="521"/>
      <c r="AK25" s="525"/>
      <c r="AL25" s="523"/>
      <c r="AM25" s="530"/>
      <c r="AN25" s="189"/>
      <c r="AO25" s="188"/>
      <c r="AP25" s="191"/>
      <c r="AQ25" s="191"/>
      <c r="AR25" s="189"/>
      <c r="AS25" s="191"/>
      <c r="AT25" s="189"/>
      <c r="AU25" s="148"/>
      <c r="AV25" s="143"/>
      <c r="AW25" s="148"/>
      <c r="AX25" s="143"/>
      <c r="AY25" s="147"/>
      <c r="AZ25" s="189"/>
      <c r="BA25" s="189"/>
      <c r="BB25" s="188"/>
      <c r="BC25" s="191"/>
      <c r="BD25" s="191"/>
      <c r="BE25" s="189"/>
      <c r="BF25" s="189"/>
      <c r="BG25" s="188"/>
      <c r="BH25" s="191"/>
      <c r="BI25" s="191"/>
      <c r="BJ25" s="143"/>
      <c r="BK25" s="143"/>
      <c r="BL25" s="147"/>
      <c r="BM25" s="148"/>
      <c r="BN25" s="148"/>
      <c r="BO25" s="143"/>
      <c r="BP25" s="143"/>
      <c r="BQ25" s="147"/>
      <c r="BR25" s="148"/>
      <c r="BS25" s="148"/>
      <c r="BT25" s="148"/>
      <c r="BU25" s="143"/>
      <c r="BV25" s="143"/>
      <c r="BW25" s="143"/>
      <c r="BX25" s="148"/>
      <c r="BY25" s="143"/>
      <c r="BZ25" s="143"/>
      <c r="CA25" s="399"/>
      <c r="CB25" s="401"/>
      <c r="CC25" s="402"/>
      <c r="CD25" s="401"/>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row>
    <row r="26" spans="1:108" ht="21" customHeight="1" thickTop="1" thickBot="1" x14ac:dyDescent="0.25">
      <c r="A26" s="463"/>
      <c r="B26" s="464"/>
      <c r="C26" s="464"/>
      <c r="D26" s="464"/>
      <c r="E26" s="492"/>
      <c r="F26" s="464"/>
      <c r="G26" s="464"/>
      <c r="H26" s="464"/>
      <c r="I26" s="464"/>
      <c r="J26" s="463"/>
      <c r="K26" s="463"/>
      <c r="L26" s="525"/>
      <c r="M26" s="523"/>
      <c r="N26" s="188">
        <v>4</v>
      </c>
      <c r="O26" s="217"/>
      <c r="P26" s="189"/>
      <c r="Q26" s="189"/>
      <c r="R26" s="189"/>
      <c r="S26" s="189"/>
      <c r="T26" s="189"/>
      <c r="U26" s="189"/>
      <c r="V26" s="189"/>
      <c r="W26" s="113">
        <f t="shared" si="1"/>
        <v>0</v>
      </c>
      <c r="X26" s="114" t="str">
        <f t="shared" si="0"/>
        <v>DEBIL</v>
      </c>
      <c r="Y26" s="216"/>
      <c r="Z26" s="115" t="str">
        <f t="shared" si="2"/>
        <v/>
      </c>
      <c r="AA26" s="113" t="str">
        <f t="shared" si="3"/>
        <v>SI</v>
      </c>
      <c r="AB26" s="189"/>
      <c r="AC26" s="526"/>
      <c r="AD26" s="526"/>
      <c r="AE26" s="527"/>
      <c r="AF26" s="527"/>
      <c r="AG26" s="528"/>
      <c r="AH26" s="528"/>
      <c r="AI26" s="521"/>
      <c r="AJ26" s="521"/>
      <c r="AK26" s="525"/>
      <c r="AL26" s="523"/>
      <c r="AM26" s="530"/>
      <c r="AN26" s="189"/>
      <c r="AO26" s="188"/>
      <c r="AP26" s="191"/>
      <c r="AQ26" s="191"/>
      <c r="AR26" s="189"/>
      <c r="AS26" s="191"/>
      <c r="AT26" s="189"/>
      <c r="AU26" s="148"/>
      <c r="AV26" s="143"/>
      <c r="AW26" s="148"/>
      <c r="AX26" s="143"/>
      <c r="AY26" s="147"/>
      <c r="AZ26" s="189"/>
      <c r="BA26" s="189"/>
      <c r="BB26" s="188"/>
      <c r="BC26" s="191"/>
      <c r="BD26" s="191"/>
      <c r="BE26" s="189"/>
      <c r="BF26" s="189"/>
      <c r="BG26" s="188"/>
      <c r="BH26" s="191"/>
      <c r="BI26" s="191"/>
      <c r="BJ26" s="143"/>
      <c r="BK26" s="143"/>
      <c r="BL26" s="147"/>
      <c r="BM26" s="148"/>
      <c r="BN26" s="148"/>
      <c r="BO26" s="143"/>
      <c r="BP26" s="143"/>
      <c r="BQ26" s="147"/>
      <c r="BR26" s="148"/>
      <c r="BS26" s="148"/>
      <c r="BT26" s="148"/>
      <c r="BU26" s="143"/>
      <c r="BV26" s="143"/>
      <c r="BW26" s="143"/>
      <c r="BX26" s="148"/>
      <c r="BY26" s="143"/>
      <c r="BZ26" s="143"/>
      <c r="CA26" s="399"/>
      <c r="CB26" s="401"/>
      <c r="CC26" s="402"/>
      <c r="CD26" s="401"/>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row>
    <row r="27" spans="1:108" ht="21" customHeight="1" thickTop="1" thickBot="1" x14ac:dyDescent="0.25">
      <c r="A27" s="463"/>
      <c r="B27" s="464"/>
      <c r="C27" s="464"/>
      <c r="D27" s="464"/>
      <c r="E27" s="492"/>
      <c r="F27" s="464"/>
      <c r="G27" s="464"/>
      <c r="H27" s="464"/>
      <c r="I27" s="464"/>
      <c r="J27" s="463"/>
      <c r="K27" s="463"/>
      <c r="L27" s="525"/>
      <c r="M27" s="523"/>
      <c r="N27" s="188">
        <v>5</v>
      </c>
      <c r="O27" s="217"/>
      <c r="P27" s="189"/>
      <c r="Q27" s="189"/>
      <c r="R27" s="189"/>
      <c r="S27" s="189"/>
      <c r="T27" s="189"/>
      <c r="U27" s="189"/>
      <c r="V27" s="189"/>
      <c r="W27" s="113">
        <f t="shared" si="1"/>
        <v>0</v>
      </c>
      <c r="X27" s="114" t="str">
        <f t="shared" si="0"/>
        <v>DEBIL</v>
      </c>
      <c r="Y27" s="216"/>
      <c r="Z27" s="115" t="str">
        <f t="shared" si="2"/>
        <v/>
      </c>
      <c r="AA27" s="113" t="str">
        <f t="shared" si="3"/>
        <v>SI</v>
      </c>
      <c r="AB27" s="189"/>
      <c r="AC27" s="526"/>
      <c r="AD27" s="526"/>
      <c r="AE27" s="527"/>
      <c r="AF27" s="527"/>
      <c r="AG27" s="528"/>
      <c r="AH27" s="528"/>
      <c r="AI27" s="521"/>
      <c r="AJ27" s="521"/>
      <c r="AK27" s="525"/>
      <c r="AL27" s="523"/>
      <c r="AM27" s="530"/>
      <c r="AN27" s="189"/>
      <c r="AO27" s="188"/>
      <c r="AP27" s="191"/>
      <c r="AQ27" s="191"/>
      <c r="AR27" s="189"/>
      <c r="AS27" s="191"/>
      <c r="AT27" s="189"/>
      <c r="AU27" s="148"/>
      <c r="AV27" s="143"/>
      <c r="AW27" s="148"/>
      <c r="AX27" s="143"/>
      <c r="AY27" s="147"/>
      <c r="AZ27" s="189"/>
      <c r="BA27" s="189"/>
      <c r="BB27" s="188"/>
      <c r="BC27" s="191"/>
      <c r="BD27" s="191"/>
      <c r="BE27" s="189"/>
      <c r="BF27" s="189"/>
      <c r="BG27" s="188"/>
      <c r="BH27" s="191"/>
      <c r="BI27" s="191"/>
      <c r="BJ27" s="143"/>
      <c r="BK27" s="143"/>
      <c r="BL27" s="147"/>
      <c r="BM27" s="148"/>
      <c r="BN27" s="148"/>
      <c r="BO27" s="143"/>
      <c r="BP27" s="143"/>
      <c r="BQ27" s="147"/>
      <c r="BR27" s="148"/>
      <c r="BS27" s="148"/>
      <c r="BT27" s="148"/>
      <c r="BU27" s="143"/>
      <c r="BV27" s="143"/>
      <c r="BW27" s="143"/>
      <c r="BX27" s="148"/>
      <c r="BY27" s="143"/>
      <c r="BZ27" s="143"/>
      <c r="CA27" s="399"/>
      <c r="CB27" s="401"/>
      <c r="CC27" s="402"/>
      <c r="CD27" s="401"/>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row>
    <row r="28" spans="1:108" ht="21" customHeight="1" thickTop="1" thickBot="1" x14ac:dyDescent="0.25">
      <c r="A28" s="463"/>
      <c r="B28" s="464"/>
      <c r="C28" s="464"/>
      <c r="D28" s="464"/>
      <c r="E28" s="492"/>
      <c r="F28" s="464"/>
      <c r="G28" s="464"/>
      <c r="H28" s="464"/>
      <c r="I28" s="464"/>
      <c r="J28" s="463"/>
      <c r="K28" s="463"/>
      <c r="L28" s="525"/>
      <c r="M28" s="524"/>
      <c r="N28" s="188">
        <v>6</v>
      </c>
      <c r="O28" s="217"/>
      <c r="P28" s="189"/>
      <c r="Q28" s="189"/>
      <c r="R28" s="189"/>
      <c r="S28" s="189"/>
      <c r="T28" s="189"/>
      <c r="U28" s="189"/>
      <c r="V28" s="189"/>
      <c r="W28" s="113">
        <f t="shared" si="1"/>
        <v>0</v>
      </c>
      <c r="X28" s="114" t="str">
        <f t="shared" si="0"/>
        <v>DEBIL</v>
      </c>
      <c r="Y28" s="216"/>
      <c r="Z28" s="115" t="str">
        <f t="shared" si="2"/>
        <v/>
      </c>
      <c r="AA28" s="113" t="str">
        <f t="shared" si="3"/>
        <v>SI</v>
      </c>
      <c r="AB28" s="189"/>
      <c r="AC28" s="526"/>
      <c r="AD28" s="526"/>
      <c r="AE28" s="527"/>
      <c r="AF28" s="527"/>
      <c r="AG28" s="528"/>
      <c r="AH28" s="528"/>
      <c r="AI28" s="521"/>
      <c r="AJ28" s="521"/>
      <c r="AK28" s="525"/>
      <c r="AL28" s="524"/>
      <c r="AM28" s="531"/>
      <c r="AN28" s="189"/>
      <c r="AO28" s="188"/>
      <c r="AP28" s="191"/>
      <c r="AQ28" s="191"/>
      <c r="AR28" s="189"/>
      <c r="AS28" s="191"/>
      <c r="AT28" s="189"/>
      <c r="AU28" s="148"/>
      <c r="AV28" s="143"/>
      <c r="AW28" s="148"/>
      <c r="AX28" s="143"/>
      <c r="AY28" s="147"/>
      <c r="AZ28" s="189"/>
      <c r="BA28" s="189"/>
      <c r="BB28" s="188"/>
      <c r="BC28" s="191"/>
      <c r="BD28" s="191"/>
      <c r="BE28" s="189"/>
      <c r="BF28" s="189"/>
      <c r="BG28" s="188"/>
      <c r="BH28" s="191"/>
      <c r="BI28" s="191"/>
      <c r="BJ28" s="143"/>
      <c r="BK28" s="143"/>
      <c r="BL28" s="147"/>
      <c r="BM28" s="148"/>
      <c r="BN28" s="148"/>
      <c r="BO28" s="143"/>
      <c r="BP28" s="143"/>
      <c r="BQ28" s="147"/>
      <c r="BR28" s="148"/>
      <c r="BS28" s="148"/>
      <c r="BT28" s="148"/>
      <c r="BU28" s="143"/>
      <c r="BV28" s="143"/>
      <c r="BW28" s="143"/>
      <c r="BX28" s="148"/>
      <c r="BY28" s="143"/>
      <c r="BZ28" s="143"/>
      <c r="CA28" s="399"/>
      <c r="CB28" s="401"/>
      <c r="CC28" s="402"/>
      <c r="CD28" s="401"/>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row>
    <row r="29" spans="1:108" ht="21" customHeight="1" thickTop="1" thickBot="1" x14ac:dyDescent="0.25">
      <c r="A29" s="463"/>
      <c r="B29" s="464"/>
      <c r="C29" s="464"/>
      <c r="D29" s="464"/>
      <c r="E29" s="492"/>
      <c r="F29" s="464"/>
      <c r="G29" s="464"/>
      <c r="H29" s="464"/>
      <c r="I29" s="464"/>
      <c r="J29" s="463"/>
      <c r="K29" s="463"/>
      <c r="L29" s="525">
        <f>+(J29*K29)*4</f>
        <v>0</v>
      </c>
      <c r="M29" s="522" t="b">
        <f>IF(OR(AND(J29=3,K29=4),AND(J29=2,K29=5),AND(J29=2,K29=5),AND(L29=20),AND(L29&gt;=52,L29&lt;=100)),"ZONA RIESGO EXTREMA",IF(OR(AND(J29=5,K29=2),AND(J29=4,K29=3),AND(J29=1,K29=4),AND(L29=16),AND(L29&gt;=28,L29&lt;=48)),"ZONA RIESGO ALTA",IF(OR(AND(J29=1,K29=3),AND(J29=4,K29=1),AND(L29=24)),"ZONA RIESGO MODERADA",IF(AND(L29&gt;=4,L29&lt;=16),"ZONA RIESGO BAJA"))))</f>
        <v>0</v>
      </c>
      <c r="N29" s="188">
        <v>1</v>
      </c>
      <c r="O29" s="217"/>
      <c r="P29" s="189"/>
      <c r="Q29" s="189"/>
      <c r="R29" s="189"/>
      <c r="S29" s="189"/>
      <c r="T29" s="189"/>
      <c r="U29" s="189"/>
      <c r="V29" s="189"/>
      <c r="W29" s="113">
        <f t="shared" si="1"/>
        <v>0</v>
      </c>
      <c r="X29" s="114" t="str">
        <f t="shared" si="0"/>
        <v>DEBIL</v>
      </c>
      <c r="Y29" s="216"/>
      <c r="Z29" s="115" t="str">
        <f t="shared" si="2"/>
        <v/>
      </c>
      <c r="AA29" s="113" t="str">
        <f t="shared" si="3"/>
        <v>SI</v>
      </c>
      <c r="AB29" s="189"/>
      <c r="AC29" s="526">
        <f>IF(AND(W29&gt;0,SUM(W30:W34)=0),W29,IF(AND(SUM(W29:W30)&gt;0,SUM(W31:W34)=0),AVERAGE(W29:W30),IF(AND(SUM(W29:W31)&gt;0,SUM(W32:W34)=0),AVERAGE(W29:W31),IF(AND(SUM(W29:W32)&gt;0,SUM(W33:W34)=0),AVERAGE(W29:W32),IF(AND(SUM(W29:W33)&gt;0,W34=0),AVERAGE(W29:W33),AVERAGE(W29:W34))))))</f>
        <v>0</v>
      </c>
      <c r="AD29" s="526" t="str">
        <f>IF(AND(AC29&gt;=50,AC29&lt;=99),"MODERADO",IF(AND(AC29=100), "FUERTE",IF(AND(AC29&lt;50), "DEBIL")))</f>
        <v>DEBIL</v>
      </c>
      <c r="AE29" s="527"/>
      <c r="AF29" s="527"/>
      <c r="AG29" s="528" t="str">
        <f>IFERROR(_xlfn.IFS(AND(AD29="MODERADO",AE29="Directamente"),1,AND(AD29="FUERTE",AE29="Directamente"),2),"0")</f>
        <v>0</v>
      </c>
      <c r="AH29" s="528" t="str">
        <f>IFERROR(_xlfn.IFS(AND(AD29="MODERADO",AF29="Directamente"),1,AND(AD29="FUERTE",AF29="Directamente"),2,AND(AD29="FUERTE",AF29="Indirectamente"),1),"0")</f>
        <v>0</v>
      </c>
      <c r="AI29" s="521"/>
      <c r="AJ29" s="521"/>
      <c r="AK29" s="525">
        <f>+(AI29*AJ29)*4</f>
        <v>0</v>
      </c>
      <c r="AL29" s="52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529"/>
      <c r="AN29" s="189"/>
      <c r="AO29" s="188"/>
      <c r="AP29" s="191"/>
      <c r="AQ29" s="191"/>
      <c r="AR29" s="189"/>
      <c r="AS29" s="191"/>
      <c r="AT29" s="189"/>
      <c r="AU29" s="148"/>
      <c r="AV29" s="143"/>
      <c r="AW29" s="148"/>
      <c r="AX29" s="143"/>
      <c r="AY29" s="147"/>
      <c r="AZ29" s="189"/>
      <c r="BA29" s="189"/>
      <c r="BB29" s="188"/>
      <c r="BC29" s="191"/>
      <c r="BD29" s="191"/>
      <c r="BE29" s="189"/>
      <c r="BF29" s="189"/>
      <c r="BG29" s="188"/>
      <c r="BH29" s="191"/>
      <c r="BI29" s="191"/>
      <c r="BJ29" s="143"/>
      <c r="BK29" s="143"/>
      <c r="BL29" s="147"/>
      <c r="BM29" s="148"/>
      <c r="BN29" s="148"/>
      <c r="BO29" s="143"/>
      <c r="BP29" s="143"/>
      <c r="BQ29" s="147"/>
      <c r="BR29" s="148"/>
      <c r="BS29" s="148"/>
      <c r="BT29" s="148"/>
      <c r="BU29" s="143"/>
      <c r="BV29" s="143"/>
      <c r="BW29" s="143"/>
      <c r="BX29" s="148"/>
      <c r="BY29" s="143"/>
      <c r="BZ29" s="143"/>
      <c r="CA29" s="399"/>
      <c r="CB29" s="401"/>
      <c r="CC29" s="402"/>
      <c r="CD29" s="401"/>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row>
    <row r="30" spans="1:108" ht="21" customHeight="1" thickTop="1" thickBot="1" x14ac:dyDescent="0.25">
      <c r="A30" s="463"/>
      <c r="B30" s="464"/>
      <c r="C30" s="464"/>
      <c r="D30" s="464"/>
      <c r="E30" s="492"/>
      <c r="F30" s="464"/>
      <c r="G30" s="464"/>
      <c r="H30" s="464"/>
      <c r="I30" s="464"/>
      <c r="J30" s="463"/>
      <c r="K30" s="463"/>
      <c r="L30" s="525"/>
      <c r="M30" s="523"/>
      <c r="N30" s="188">
        <v>2</v>
      </c>
      <c r="O30" s="217"/>
      <c r="P30" s="189"/>
      <c r="Q30" s="189"/>
      <c r="R30" s="189"/>
      <c r="S30" s="189"/>
      <c r="T30" s="189"/>
      <c r="U30" s="189"/>
      <c r="V30" s="189"/>
      <c r="W30" s="113">
        <f t="shared" si="1"/>
        <v>0</v>
      </c>
      <c r="X30" s="114" t="str">
        <f t="shared" si="0"/>
        <v>DEBIL</v>
      </c>
      <c r="Y30" s="216"/>
      <c r="Z30" s="115" t="str">
        <f t="shared" si="2"/>
        <v/>
      </c>
      <c r="AA30" s="113" t="str">
        <f t="shared" si="3"/>
        <v>SI</v>
      </c>
      <c r="AB30" s="189"/>
      <c r="AC30" s="526"/>
      <c r="AD30" s="526"/>
      <c r="AE30" s="527"/>
      <c r="AF30" s="527"/>
      <c r="AG30" s="528"/>
      <c r="AH30" s="528"/>
      <c r="AI30" s="521"/>
      <c r="AJ30" s="521"/>
      <c r="AK30" s="525"/>
      <c r="AL30" s="523"/>
      <c r="AM30" s="530"/>
      <c r="AN30" s="189"/>
      <c r="AO30" s="188"/>
      <c r="AP30" s="191"/>
      <c r="AQ30" s="191"/>
      <c r="AR30" s="189"/>
      <c r="AS30" s="191"/>
      <c r="AT30" s="189"/>
      <c r="AU30" s="148"/>
      <c r="AV30" s="143"/>
      <c r="AW30" s="148"/>
      <c r="AX30" s="143"/>
      <c r="AY30" s="147"/>
      <c r="AZ30" s="189"/>
      <c r="BA30" s="189"/>
      <c r="BB30" s="188"/>
      <c r="BC30" s="191"/>
      <c r="BD30" s="191"/>
      <c r="BE30" s="189"/>
      <c r="BF30" s="189"/>
      <c r="BG30" s="188"/>
      <c r="BH30" s="191"/>
      <c r="BI30" s="191"/>
      <c r="BJ30" s="143"/>
      <c r="BK30" s="143"/>
      <c r="BL30" s="147"/>
      <c r="BM30" s="148"/>
      <c r="BN30" s="148"/>
      <c r="BO30" s="143"/>
      <c r="BP30" s="143"/>
      <c r="BQ30" s="147"/>
      <c r="BR30" s="148"/>
      <c r="BS30" s="148"/>
      <c r="BT30" s="148"/>
      <c r="BU30" s="143"/>
      <c r="BV30" s="143"/>
      <c r="BW30" s="143"/>
      <c r="BX30" s="148"/>
      <c r="BY30" s="143"/>
      <c r="BZ30" s="143"/>
      <c r="CA30" s="399"/>
      <c r="CB30" s="401"/>
      <c r="CC30" s="402"/>
      <c r="CD30" s="401"/>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row>
    <row r="31" spans="1:108" ht="21" customHeight="1" thickTop="1" thickBot="1" x14ac:dyDescent="0.25">
      <c r="A31" s="463"/>
      <c r="B31" s="464"/>
      <c r="C31" s="464"/>
      <c r="D31" s="464"/>
      <c r="E31" s="492"/>
      <c r="F31" s="464"/>
      <c r="G31" s="464"/>
      <c r="H31" s="464"/>
      <c r="I31" s="464"/>
      <c r="J31" s="463"/>
      <c r="K31" s="463"/>
      <c r="L31" s="525"/>
      <c r="M31" s="523"/>
      <c r="N31" s="188">
        <v>3</v>
      </c>
      <c r="O31" s="218"/>
      <c r="P31" s="189"/>
      <c r="Q31" s="189"/>
      <c r="R31" s="189"/>
      <c r="S31" s="189"/>
      <c r="T31" s="189"/>
      <c r="U31" s="189"/>
      <c r="V31" s="189"/>
      <c r="W31" s="113">
        <f t="shared" si="1"/>
        <v>0</v>
      </c>
      <c r="X31" s="114" t="str">
        <f t="shared" si="0"/>
        <v>DEBIL</v>
      </c>
      <c r="Y31" s="216"/>
      <c r="Z31" s="115" t="str">
        <f t="shared" si="2"/>
        <v/>
      </c>
      <c r="AA31" s="113" t="str">
        <f t="shared" si="3"/>
        <v>SI</v>
      </c>
      <c r="AB31" s="189"/>
      <c r="AC31" s="526"/>
      <c r="AD31" s="526"/>
      <c r="AE31" s="527"/>
      <c r="AF31" s="527"/>
      <c r="AG31" s="528"/>
      <c r="AH31" s="528"/>
      <c r="AI31" s="521"/>
      <c r="AJ31" s="521"/>
      <c r="AK31" s="525"/>
      <c r="AL31" s="523"/>
      <c r="AM31" s="530"/>
      <c r="AN31" s="189"/>
      <c r="AO31" s="188"/>
      <c r="AP31" s="191"/>
      <c r="AQ31" s="191"/>
      <c r="AR31" s="189"/>
      <c r="AS31" s="191"/>
      <c r="AT31" s="189"/>
      <c r="AU31" s="148"/>
      <c r="AV31" s="143"/>
      <c r="AW31" s="148"/>
      <c r="AX31" s="143"/>
      <c r="AY31" s="147"/>
      <c r="AZ31" s="189"/>
      <c r="BA31" s="189"/>
      <c r="BB31" s="188"/>
      <c r="BC31" s="191"/>
      <c r="BD31" s="191"/>
      <c r="BE31" s="189"/>
      <c r="BF31" s="189"/>
      <c r="BG31" s="188"/>
      <c r="BH31" s="191"/>
      <c r="BI31" s="191"/>
      <c r="BJ31" s="143"/>
      <c r="BK31" s="143"/>
      <c r="BL31" s="147"/>
      <c r="BM31" s="148"/>
      <c r="BN31" s="148"/>
      <c r="BO31" s="143"/>
      <c r="BP31" s="143"/>
      <c r="BQ31" s="147"/>
      <c r="BR31" s="148"/>
      <c r="BS31" s="148"/>
      <c r="BT31" s="148"/>
      <c r="BU31" s="143"/>
      <c r="BV31" s="143"/>
      <c r="BW31" s="143"/>
      <c r="BX31" s="148"/>
      <c r="BY31" s="143"/>
      <c r="BZ31" s="143"/>
      <c r="CA31" s="399"/>
      <c r="CB31" s="401"/>
      <c r="CC31" s="402"/>
      <c r="CD31" s="401"/>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row>
    <row r="32" spans="1:108" ht="21" customHeight="1" thickTop="1" thickBot="1" x14ac:dyDescent="0.25">
      <c r="A32" s="463"/>
      <c r="B32" s="464"/>
      <c r="C32" s="464"/>
      <c r="D32" s="464"/>
      <c r="E32" s="492"/>
      <c r="F32" s="464"/>
      <c r="G32" s="464"/>
      <c r="H32" s="464"/>
      <c r="I32" s="464"/>
      <c r="J32" s="463"/>
      <c r="K32" s="463"/>
      <c r="L32" s="525"/>
      <c r="M32" s="523"/>
      <c r="N32" s="188">
        <v>4</v>
      </c>
      <c r="O32" s="217"/>
      <c r="P32" s="189"/>
      <c r="Q32" s="189"/>
      <c r="R32" s="189"/>
      <c r="S32" s="189"/>
      <c r="T32" s="189"/>
      <c r="U32" s="189"/>
      <c r="V32" s="189"/>
      <c r="W32" s="113">
        <f t="shared" si="1"/>
        <v>0</v>
      </c>
      <c r="X32" s="114" t="str">
        <f t="shared" si="0"/>
        <v>DEBIL</v>
      </c>
      <c r="Y32" s="216"/>
      <c r="Z32" s="115" t="str">
        <f t="shared" si="2"/>
        <v/>
      </c>
      <c r="AA32" s="113" t="str">
        <f t="shared" si="3"/>
        <v>SI</v>
      </c>
      <c r="AB32" s="189"/>
      <c r="AC32" s="526"/>
      <c r="AD32" s="526"/>
      <c r="AE32" s="527"/>
      <c r="AF32" s="527"/>
      <c r="AG32" s="528"/>
      <c r="AH32" s="528"/>
      <c r="AI32" s="521"/>
      <c r="AJ32" s="521"/>
      <c r="AK32" s="525"/>
      <c r="AL32" s="523"/>
      <c r="AM32" s="530"/>
      <c r="AN32" s="189"/>
      <c r="AO32" s="188"/>
      <c r="AP32" s="191"/>
      <c r="AQ32" s="191"/>
      <c r="AR32" s="189"/>
      <c r="AS32" s="191"/>
      <c r="AT32" s="189"/>
      <c r="AU32" s="148"/>
      <c r="AV32" s="143"/>
      <c r="AW32" s="148"/>
      <c r="AX32" s="143"/>
      <c r="AY32" s="147"/>
      <c r="AZ32" s="189"/>
      <c r="BA32" s="189"/>
      <c r="BB32" s="188"/>
      <c r="BC32" s="191"/>
      <c r="BD32" s="191"/>
      <c r="BE32" s="189"/>
      <c r="BF32" s="189"/>
      <c r="BG32" s="188"/>
      <c r="BH32" s="191"/>
      <c r="BI32" s="191"/>
      <c r="BJ32" s="143"/>
      <c r="BK32" s="143"/>
      <c r="BL32" s="147"/>
      <c r="BM32" s="148"/>
      <c r="BN32" s="148"/>
      <c r="BO32" s="143"/>
      <c r="BP32" s="143"/>
      <c r="BQ32" s="147"/>
      <c r="BR32" s="148"/>
      <c r="BS32" s="148"/>
      <c r="BT32" s="148"/>
      <c r="BU32" s="143"/>
      <c r="BV32" s="143"/>
      <c r="BW32" s="143"/>
      <c r="BX32" s="148"/>
      <c r="BY32" s="143"/>
      <c r="BZ32" s="143"/>
      <c r="CA32" s="399"/>
      <c r="CB32" s="401"/>
      <c r="CC32" s="402"/>
      <c r="CD32" s="401"/>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row>
    <row r="33" spans="1:108" ht="21" customHeight="1" thickTop="1" thickBot="1" x14ac:dyDescent="0.25">
      <c r="A33" s="463"/>
      <c r="B33" s="464"/>
      <c r="C33" s="464"/>
      <c r="D33" s="464"/>
      <c r="E33" s="492"/>
      <c r="F33" s="464"/>
      <c r="G33" s="464"/>
      <c r="H33" s="464"/>
      <c r="I33" s="464"/>
      <c r="J33" s="463"/>
      <c r="K33" s="463"/>
      <c r="L33" s="525"/>
      <c r="M33" s="523"/>
      <c r="N33" s="188">
        <v>5</v>
      </c>
      <c r="O33" s="217"/>
      <c r="P33" s="189"/>
      <c r="Q33" s="189"/>
      <c r="R33" s="189"/>
      <c r="S33" s="189"/>
      <c r="T33" s="189"/>
      <c r="U33" s="189"/>
      <c r="V33" s="189"/>
      <c r="W33" s="113">
        <f t="shared" si="1"/>
        <v>0</v>
      </c>
      <c r="X33" s="114" t="str">
        <f t="shared" si="0"/>
        <v>DEBIL</v>
      </c>
      <c r="Y33" s="216"/>
      <c r="Z33" s="115" t="str">
        <f t="shared" si="2"/>
        <v/>
      </c>
      <c r="AA33" s="113" t="str">
        <f t="shared" si="3"/>
        <v>SI</v>
      </c>
      <c r="AB33" s="189"/>
      <c r="AC33" s="526"/>
      <c r="AD33" s="526"/>
      <c r="AE33" s="527"/>
      <c r="AF33" s="527"/>
      <c r="AG33" s="528"/>
      <c r="AH33" s="528"/>
      <c r="AI33" s="521"/>
      <c r="AJ33" s="521"/>
      <c r="AK33" s="525"/>
      <c r="AL33" s="523"/>
      <c r="AM33" s="530"/>
      <c r="AN33" s="189"/>
      <c r="AO33" s="188"/>
      <c r="AP33" s="191"/>
      <c r="AQ33" s="148"/>
      <c r="AR33" s="143"/>
      <c r="AS33" s="191"/>
      <c r="AT33" s="189"/>
      <c r="AU33" s="148"/>
      <c r="AV33" s="143"/>
      <c r="AW33" s="148"/>
      <c r="AX33" s="143"/>
      <c r="AY33" s="147"/>
      <c r="AZ33" s="189"/>
      <c r="BA33" s="189"/>
      <c r="BB33" s="188"/>
      <c r="BC33" s="191"/>
      <c r="BD33" s="191"/>
      <c r="BE33" s="189"/>
      <c r="BF33" s="189"/>
      <c r="BG33" s="188"/>
      <c r="BH33" s="191"/>
      <c r="BI33" s="191"/>
      <c r="BJ33" s="143"/>
      <c r="BK33" s="143"/>
      <c r="BL33" s="147"/>
      <c r="BM33" s="148"/>
      <c r="BN33" s="148"/>
      <c r="BO33" s="143"/>
      <c r="BP33" s="143"/>
      <c r="BQ33" s="147"/>
      <c r="BR33" s="148"/>
      <c r="BS33" s="148"/>
      <c r="BT33" s="148"/>
      <c r="BU33" s="143"/>
      <c r="BV33" s="143"/>
      <c r="BW33" s="143"/>
      <c r="BX33" s="148"/>
      <c r="BY33" s="143"/>
      <c r="BZ33" s="143"/>
      <c r="CA33" s="399"/>
      <c r="CB33" s="401"/>
      <c r="CC33" s="402"/>
      <c r="CD33" s="401"/>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row>
    <row r="34" spans="1:108" ht="21" customHeight="1" thickTop="1" thickBot="1" x14ac:dyDescent="0.25">
      <c r="A34" s="463"/>
      <c r="B34" s="464"/>
      <c r="C34" s="464"/>
      <c r="D34" s="464"/>
      <c r="E34" s="492"/>
      <c r="F34" s="464"/>
      <c r="G34" s="464"/>
      <c r="H34" s="464"/>
      <c r="I34" s="464"/>
      <c r="J34" s="463"/>
      <c r="K34" s="463"/>
      <c r="L34" s="525"/>
      <c r="M34" s="524"/>
      <c r="N34" s="188">
        <v>6</v>
      </c>
      <c r="O34" s="217"/>
      <c r="P34" s="189"/>
      <c r="Q34" s="189"/>
      <c r="R34" s="189"/>
      <c r="S34" s="189"/>
      <c r="T34" s="189"/>
      <c r="U34" s="189"/>
      <c r="V34" s="189"/>
      <c r="W34" s="113">
        <f t="shared" si="1"/>
        <v>0</v>
      </c>
      <c r="X34" s="114" t="str">
        <f t="shared" si="0"/>
        <v>DEBIL</v>
      </c>
      <c r="Y34" s="216"/>
      <c r="Z34" s="115" t="str">
        <f t="shared" si="2"/>
        <v/>
      </c>
      <c r="AA34" s="113" t="str">
        <f t="shared" si="3"/>
        <v>SI</v>
      </c>
      <c r="AB34" s="189"/>
      <c r="AC34" s="526"/>
      <c r="AD34" s="526"/>
      <c r="AE34" s="527"/>
      <c r="AF34" s="527"/>
      <c r="AG34" s="528"/>
      <c r="AH34" s="528"/>
      <c r="AI34" s="521"/>
      <c r="AJ34" s="521"/>
      <c r="AK34" s="525"/>
      <c r="AL34" s="524"/>
      <c r="AM34" s="531"/>
      <c r="AN34" s="189"/>
      <c r="AO34" s="188"/>
      <c r="AP34" s="191"/>
      <c r="AQ34" s="148"/>
      <c r="AR34" s="143"/>
      <c r="AS34" s="191"/>
      <c r="AT34" s="189"/>
      <c r="AU34" s="148"/>
      <c r="AV34" s="143"/>
      <c r="AW34" s="148"/>
      <c r="AX34" s="143"/>
      <c r="AY34" s="147"/>
      <c r="AZ34" s="189"/>
      <c r="BA34" s="189"/>
      <c r="BB34" s="188"/>
      <c r="BC34" s="191"/>
      <c r="BD34" s="191"/>
      <c r="BE34" s="189"/>
      <c r="BF34" s="189"/>
      <c r="BG34" s="188"/>
      <c r="BH34" s="191"/>
      <c r="BI34" s="191"/>
      <c r="BJ34" s="143"/>
      <c r="BK34" s="143"/>
      <c r="BL34" s="147"/>
      <c r="BM34" s="148"/>
      <c r="BN34" s="148"/>
      <c r="BO34" s="143"/>
      <c r="BP34" s="143"/>
      <c r="BQ34" s="147"/>
      <c r="BR34" s="148"/>
      <c r="BS34" s="148"/>
      <c r="BT34" s="148"/>
      <c r="BU34" s="143"/>
      <c r="BV34" s="143"/>
      <c r="BW34" s="143"/>
      <c r="BX34" s="148"/>
      <c r="BY34" s="143"/>
      <c r="BZ34" s="143"/>
      <c r="CA34" s="399"/>
      <c r="CB34" s="401"/>
      <c r="CC34" s="402"/>
      <c r="CD34" s="401"/>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row>
    <row r="35" spans="1:108" ht="21" customHeight="1" thickTop="1" thickBot="1" x14ac:dyDescent="0.25">
      <c r="A35" s="463"/>
      <c r="B35" s="464"/>
      <c r="C35" s="464"/>
      <c r="D35" s="464"/>
      <c r="E35" s="492"/>
      <c r="F35" s="464"/>
      <c r="G35" s="464"/>
      <c r="H35" s="464"/>
      <c r="I35" s="464"/>
      <c r="J35" s="463"/>
      <c r="K35" s="463"/>
      <c r="L35" s="525">
        <f>+(J35*K35)*4</f>
        <v>0</v>
      </c>
      <c r="M35" s="522" t="b">
        <f>IF(OR(AND(J35=3,K35=4),AND(J35=2,K35=5),AND(J35=2,K35=5),AND(L35=20),AND(L35&gt;=52,L35&lt;=100)),"ZONA RIESGO EXTREMA",IF(OR(AND(J35=5,K35=2),AND(J35=4,K35=3),AND(J35=1,K35=4),AND(L35=16),AND(L35&gt;=28,L35&lt;=48)),"ZONA RIESGO ALTA",IF(OR(AND(J35=1,K35=3),AND(J35=4,K35=1),AND(L35=24)),"ZONA RIESGO MODERADA",IF(AND(L35&gt;=4,L35&lt;=16),"ZONA RIESGO BAJA"))))</f>
        <v>0</v>
      </c>
      <c r="N35" s="188">
        <v>1</v>
      </c>
      <c r="O35" s="217"/>
      <c r="P35" s="189"/>
      <c r="Q35" s="189"/>
      <c r="R35" s="189"/>
      <c r="S35" s="189"/>
      <c r="T35" s="189"/>
      <c r="U35" s="189"/>
      <c r="V35" s="189"/>
      <c r="W35" s="113">
        <f t="shared" si="1"/>
        <v>0</v>
      </c>
      <c r="X35" s="114" t="str">
        <f t="shared" si="0"/>
        <v>DEBIL</v>
      </c>
      <c r="Y35" s="216"/>
      <c r="Z35" s="115" t="str">
        <f t="shared" si="2"/>
        <v/>
      </c>
      <c r="AA35" s="113" t="str">
        <f t="shared" si="3"/>
        <v>SI</v>
      </c>
      <c r="AB35" s="189"/>
      <c r="AC35" s="526">
        <f>IF(AND(W35&gt;0,SUM(W36:W40)=0),W35,IF(AND(SUM(W35:W36)&gt;0,SUM(W37:W40)=0),AVERAGE(W35:W36),IF(AND(SUM(W35:W37)&gt;0,SUM(W38:W40)=0),AVERAGE(W35:W37),IF(AND(SUM(W35:W38)&gt;0,SUM(W39:W40)=0),AVERAGE(W35:W38),IF(AND(SUM(W35:W39)&gt;0,W40=0),AVERAGE(W35:W39),AVERAGE(W35:W40))))))</f>
        <v>0</v>
      </c>
      <c r="AD35" s="526" t="str">
        <f>IF(AND(AC35&gt;=50,AC35&lt;=99),"MODERADO",IF(AND(AC35=100), "FUERTE",IF(AND(AC35&lt;50), "DEBIL")))</f>
        <v>DEBIL</v>
      </c>
      <c r="AE35" s="527"/>
      <c r="AF35" s="527"/>
      <c r="AG35" s="528" t="str">
        <f>IFERROR(_xlfn.IFS(AND(AD35="MODERADO",AE35="Directamente"),1,AND(AD35="FUERTE",AE35="Directamente"),2),"0")</f>
        <v>0</v>
      </c>
      <c r="AH35" s="528" t="str">
        <f>IFERROR(_xlfn.IFS(AND(AD35="MODERADO",AF35="Directamente"),1,AND(AD35="FUERTE",AF35="Directamente"),2,AND(AD35="FUERTE",AF35="Indirectamente"),1),"0")</f>
        <v>0</v>
      </c>
      <c r="AI35" s="521"/>
      <c r="AJ35" s="521"/>
      <c r="AK35" s="525">
        <f>+(AI35*AJ35)*4</f>
        <v>0</v>
      </c>
      <c r="AL35" s="52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529"/>
      <c r="AN35" s="189"/>
      <c r="AO35" s="188"/>
      <c r="AP35" s="191"/>
      <c r="AQ35" s="148"/>
      <c r="AR35" s="143"/>
      <c r="AS35" s="191"/>
      <c r="AT35" s="189"/>
      <c r="AU35" s="148"/>
      <c r="AV35" s="143"/>
      <c r="AW35" s="148"/>
      <c r="AX35" s="143"/>
      <c r="AY35" s="147"/>
      <c r="AZ35" s="189"/>
      <c r="BA35" s="189"/>
      <c r="BB35" s="188"/>
      <c r="BC35" s="191"/>
      <c r="BD35" s="191"/>
      <c r="BE35" s="189"/>
      <c r="BF35" s="189"/>
      <c r="BG35" s="188"/>
      <c r="BH35" s="191"/>
      <c r="BI35" s="191"/>
      <c r="BJ35" s="143"/>
      <c r="BK35" s="143"/>
      <c r="BL35" s="147"/>
      <c r="BM35" s="148"/>
      <c r="BN35" s="148"/>
      <c r="BO35" s="143"/>
      <c r="BP35" s="143"/>
      <c r="BQ35" s="147"/>
      <c r="BR35" s="148"/>
      <c r="BS35" s="148"/>
      <c r="BT35" s="148"/>
      <c r="BU35" s="143"/>
      <c r="BV35" s="143"/>
      <c r="BW35" s="143"/>
      <c r="BX35" s="148"/>
      <c r="BY35" s="143"/>
      <c r="BZ35" s="143"/>
      <c r="CA35" s="399"/>
      <c r="CB35" s="401"/>
      <c r="CC35" s="402"/>
      <c r="CD35" s="401"/>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row>
    <row r="36" spans="1:108" ht="21" customHeight="1" thickTop="1" thickBot="1" x14ac:dyDescent="0.25">
      <c r="A36" s="463"/>
      <c r="B36" s="464"/>
      <c r="C36" s="464"/>
      <c r="D36" s="464"/>
      <c r="E36" s="492"/>
      <c r="F36" s="464"/>
      <c r="G36" s="464"/>
      <c r="H36" s="464"/>
      <c r="I36" s="464"/>
      <c r="J36" s="463"/>
      <c r="K36" s="463"/>
      <c r="L36" s="525"/>
      <c r="M36" s="523"/>
      <c r="N36" s="188">
        <v>2</v>
      </c>
      <c r="O36" s="217"/>
      <c r="P36" s="189"/>
      <c r="Q36" s="189"/>
      <c r="R36" s="189"/>
      <c r="S36" s="189"/>
      <c r="T36" s="189"/>
      <c r="U36" s="189"/>
      <c r="V36" s="189"/>
      <c r="W36" s="113">
        <f t="shared" si="1"/>
        <v>0</v>
      </c>
      <c r="X36" s="114" t="str">
        <f t="shared" si="0"/>
        <v>DEBIL</v>
      </c>
      <c r="Y36" s="216"/>
      <c r="Z36" s="115" t="str">
        <f t="shared" si="2"/>
        <v/>
      </c>
      <c r="AA36" s="113" t="str">
        <f t="shared" si="3"/>
        <v>SI</v>
      </c>
      <c r="AB36" s="189"/>
      <c r="AC36" s="526"/>
      <c r="AD36" s="526"/>
      <c r="AE36" s="527"/>
      <c r="AF36" s="527"/>
      <c r="AG36" s="528"/>
      <c r="AH36" s="528"/>
      <c r="AI36" s="521"/>
      <c r="AJ36" s="521"/>
      <c r="AK36" s="525"/>
      <c r="AL36" s="523"/>
      <c r="AM36" s="530"/>
      <c r="AN36" s="189"/>
      <c r="AO36" s="188"/>
      <c r="AP36" s="191"/>
      <c r="AQ36" s="148"/>
      <c r="AR36" s="143"/>
      <c r="AS36" s="191"/>
      <c r="AT36" s="189"/>
      <c r="AU36" s="148"/>
      <c r="AV36" s="143"/>
      <c r="AW36" s="148"/>
      <c r="AX36" s="143"/>
      <c r="AY36" s="147"/>
      <c r="AZ36" s="189"/>
      <c r="BA36" s="189"/>
      <c r="BB36" s="188"/>
      <c r="BC36" s="191"/>
      <c r="BD36" s="191"/>
      <c r="BE36" s="189"/>
      <c r="BF36" s="189"/>
      <c r="BG36" s="188"/>
      <c r="BH36" s="191"/>
      <c r="BI36" s="191"/>
      <c r="BJ36" s="143"/>
      <c r="BK36" s="143"/>
      <c r="BL36" s="147"/>
      <c r="BM36" s="148"/>
      <c r="BN36" s="148"/>
      <c r="BO36" s="143"/>
      <c r="BP36" s="143"/>
      <c r="BQ36" s="147"/>
      <c r="BR36" s="148"/>
      <c r="BS36" s="148"/>
      <c r="BT36" s="148"/>
      <c r="BU36" s="143"/>
      <c r="BV36" s="143"/>
      <c r="BW36" s="143"/>
      <c r="BX36" s="148"/>
      <c r="BY36" s="143"/>
      <c r="BZ36" s="143"/>
      <c r="CA36" s="399"/>
      <c r="CB36" s="401"/>
      <c r="CC36" s="402"/>
      <c r="CD36" s="401"/>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row>
    <row r="37" spans="1:108" ht="21" customHeight="1" thickTop="1" thickBot="1" x14ac:dyDescent="0.25">
      <c r="A37" s="463"/>
      <c r="B37" s="464"/>
      <c r="C37" s="464"/>
      <c r="D37" s="464"/>
      <c r="E37" s="492"/>
      <c r="F37" s="464"/>
      <c r="G37" s="464"/>
      <c r="H37" s="464"/>
      <c r="I37" s="464"/>
      <c r="J37" s="463"/>
      <c r="K37" s="463"/>
      <c r="L37" s="525"/>
      <c r="M37" s="523"/>
      <c r="N37" s="188">
        <v>3</v>
      </c>
      <c r="O37" s="218"/>
      <c r="P37" s="189"/>
      <c r="Q37" s="189"/>
      <c r="R37" s="189"/>
      <c r="S37" s="189"/>
      <c r="T37" s="189"/>
      <c r="U37" s="189"/>
      <c r="V37" s="189"/>
      <c r="W37" s="113">
        <f t="shared" si="1"/>
        <v>0</v>
      </c>
      <c r="X37" s="114" t="str">
        <f t="shared" si="0"/>
        <v>DEBIL</v>
      </c>
      <c r="Y37" s="216"/>
      <c r="Z37" s="115" t="str">
        <f t="shared" si="2"/>
        <v/>
      </c>
      <c r="AA37" s="113" t="str">
        <f t="shared" si="3"/>
        <v>SI</v>
      </c>
      <c r="AB37" s="189"/>
      <c r="AC37" s="526"/>
      <c r="AD37" s="526"/>
      <c r="AE37" s="527"/>
      <c r="AF37" s="527"/>
      <c r="AG37" s="528"/>
      <c r="AH37" s="528"/>
      <c r="AI37" s="521"/>
      <c r="AJ37" s="521"/>
      <c r="AK37" s="525"/>
      <c r="AL37" s="523"/>
      <c r="AM37" s="530"/>
      <c r="AN37" s="189"/>
      <c r="AO37" s="188"/>
      <c r="AP37" s="191"/>
      <c r="AQ37" s="148"/>
      <c r="AR37" s="143"/>
      <c r="AS37" s="191"/>
      <c r="AT37" s="189"/>
      <c r="AU37" s="148"/>
      <c r="AV37" s="143"/>
      <c r="AW37" s="148"/>
      <c r="AX37" s="143"/>
      <c r="AY37" s="147"/>
      <c r="AZ37" s="189"/>
      <c r="BA37" s="189"/>
      <c r="BB37" s="188"/>
      <c r="BC37" s="191"/>
      <c r="BD37" s="191"/>
      <c r="BE37" s="189"/>
      <c r="BF37" s="189"/>
      <c r="BG37" s="188"/>
      <c r="BH37" s="191"/>
      <c r="BI37" s="191"/>
      <c r="BJ37" s="143"/>
      <c r="BK37" s="143"/>
      <c r="BL37" s="147"/>
      <c r="BM37" s="148"/>
      <c r="BN37" s="148"/>
      <c r="BO37" s="143"/>
      <c r="BP37" s="143"/>
      <c r="BQ37" s="147"/>
      <c r="BR37" s="148"/>
      <c r="BS37" s="148"/>
      <c r="BT37" s="148"/>
      <c r="BU37" s="143"/>
      <c r="BV37" s="143"/>
      <c r="BW37" s="143"/>
      <c r="BX37" s="148"/>
      <c r="BY37" s="143"/>
      <c r="BZ37" s="143"/>
      <c r="CA37" s="399"/>
      <c r="CB37" s="401"/>
      <c r="CC37" s="402"/>
      <c r="CD37" s="401"/>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row>
    <row r="38" spans="1:108" ht="21" customHeight="1" thickTop="1" thickBot="1" x14ac:dyDescent="0.25">
      <c r="A38" s="463"/>
      <c r="B38" s="464"/>
      <c r="C38" s="464"/>
      <c r="D38" s="464"/>
      <c r="E38" s="492"/>
      <c r="F38" s="464"/>
      <c r="G38" s="464"/>
      <c r="H38" s="464"/>
      <c r="I38" s="464"/>
      <c r="J38" s="463"/>
      <c r="K38" s="463"/>
      <c r="L38" s="525"/>
      <c r="M38" s="523"/>
      <c r="N38" s="188">
        <v>4</v>
      </c>
      <c r="O38" s="217"/>
      <c r="P38" s="189"/>
      <c r="Q38" s="189"/>
      <c r="R38" s="189"/>
      <c r="S38" s="189"/>
      <c r="T38" s="189"/>
      <c r="U38" s="189"/>
      <c r="V38" s="189"/>
      <c r="W38" s="113">
        <f t="shared" si="1"/>
        <v>0</v>
      </c>
      <c r="X38" s="114" t="str">
        <f t="shared" si="0"/>
        <v>DEBIL</v>
      </c>
      <c r="Y38" s="216"/>
      <c r="Z38" s="115" t="str">
        <f t="shared" si="2"/>
        <v/>
      </c>
      <c r="AA38" s="113" t="str">
        <f t="shared" si="3"/>
        <v>SI</v>
      </c>
      <c r="AB38" s="189"/>
      <c r="AC38" s="526"/>
      <c r="AD38" s="526"/>
      <c r="AE38" s="527"/>
      <c r="AF38" s="527"/>
      <c r="AG38" s="528"/>
      <c r="AH38" s="528"/>
      <c r="AI38" s="521"/>
      <c r="AJ38" s="521"/>
      <c r="AK38" s="525"/>
      <c r="AL38" s="523"/>
      <c r="AM38" s="530"/>
      <c r="AN38" s="189"/>
      <c r="AO38" s="188"/>
      <c r="AP38" s="191"/>
      <c r="AQ38" s="148"/>
      <c r="AR38" s="143"/>
      <c r="AS38" s="191"/>
      <c r="AT38" s="189"/>
      <c r="AU38" s="148"/>
      <c r="AV38" s="143"/>
      <c r="AW38" s="148"/>
      <c r="AX38" s="143"/>
      <c r="AY38" s="147"/>
      <c r="AZ38" s="189"/>
      <c r="BA38" s="189"/>
      <c r="BB38" s="188"/>
      <c r="BC38" s="191"/>
      <c r="BD38" s="191"/>
      <c r="BE38" s="189"/>
      <c r="BF38" s="189"/>
      <c r="BG38" s="188"/>
      <c r="BH38" s="191"/>
      <c r="BI38" s="191"/>
      <c r="BJ38" s="143"/>
      <c r="BK38" s="143"/>
      <c r="BL38" s="147"/>
      <c r="BM38" s="148"/>
      <c r="BN38" s="148"/>
      <c r="BO38" s="143"/>
      <c r="BP38" s="143"/>
      <c r="BQ38" s="147"/>
      <c r="BR38" s="148"/>
      <c r="BS38" s="148"/>
      <c r="BT38" s="148"/>
      <c r="BU38" s="143"/>
      <c r="BV38" s="143"/>
      <c r="BW38" s="143"/>
      <c r="BX38" s="148"/>
      <c r="BY38" s="143"/>
      <c r="BZ38" s="143"/>
      <c r="CA38" s="148"/>
      <c r="CB38" s="143"/>
      <c r="CC38" s="147"/>
      <c r="CD38" s="143"/>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row>
    <row r="39" spans="1:108" ht="21" customHeight="1" thickTop="1" thickBot="1" x14ac:dyDescent="0.25">
      <c r="A39" s="463"/>
      <c r="B39" s="464"/>
      <c r="C39" s="464"/>
      <c r="D39" s="464"/>
      <c r="E39" s="492"/>
      <c r="F39" s="464"/>
      <c r="G39" s="464"/>
      <c r="H39" s="464"/>
      <c r="I39" s="464"/>
      <c r="J39" s="463"/>
      <c r="K39" s="463"/>
      <c r="L39" s="525"/>
      <c r="M39" s="523"/>
      <c r="N39" s="188">
        <v>5</v>
      </c>
      <c r="O39" s="217"/>
      <c r="P39" s="189"/>
      <c r="Q39" s="189"/>
      <c r="R39" s="189"/>
      <c r="S39" s="189"/>
      <c r="T39" s="189"/>
      <c r="U39" s="189"/>
      <c r="V39" s="189"/>
      <c r="W39" s="113">
        <f t="shared" si="1"/>
        <v>0</v>
      </c>
      <c r="X39" s="114" t="str">
        <f t="shared" si="0"/>
        <v>DEBIL</v>
      </c>
      <c r="Y39" s="216"/>
      <c r="Z39" s="115" t="str">
        <f t="shared" si="2"/>
        <v/>
      </c>
      <c r="AA39" s="113" t="str">
        <f t="shared" si="3"/>
        <v>SI</v>
      </c>
      <c r="AB39" s="189"/>
      <c r="AC39" s="526"/>
      <c r="AD39" s="526"/>
      <c r="AE39" s="527"/>
      <c r="AF39" s="527"/>
      <c r="AG39" s="528"/>
      <c r="AH39" s="528"/>
      <c r="AI39" s="521"/>
      <c r="AJ39" s="521"/>
      <c r="AK39" s="525"/>
      <c r="AL39" s="523"/>
      <c r="AM39" s="530"/>
      <c r="AN39" s="189"/>
      <c r="AO39" s="188"/>
      <c r="AP39" s="191"/>
      <c r="AQ39" s="148"/>
      <c r="AR39" s="143"/>
      <c r="AS39" s="191"/>
      <c r="AT39" s="189"/>
      <c r="AU39" s="148"/>
      <c r="AV39" s="143"/>
      <c r="AW39" s="148"/>
      <c r="AX39" s="143"/>
      <c r="AY39" s="147"/>
      <c r="AZ39" s="189"/>
      <c r="BA39" s="189"/>
      <c r="BB39" s="188"/>
      <c r="BC39" s="191"/>
      <c r="BD39" s="191"/>
      <c r="BE39" s="189"/>
      <c r="BF39" s="189"/>
      <c r="BG39" s="188"/>
      <c r="BH39" s="191"/>
      <c r="BI39" s="191"/>
      <c r="BJ39" s="143"/>
      <c r="BK39" s="143"/>
      <c r="BL39" s="147"/>
      <c r="BM39" s="148"/>
      <c r="BN39" s="148"/>
      <c r="BO39" s="143"/>
      <c r="BP39" s="143"/>
      <c r="BQ39" s="147"/>
      <c r="BR39" s="148"/>
      <c r="BS39" s="148"/>
      <c r="BT39" s="148"/>
      <c r="BU39" s="143"/>
      <c r="BV39" s="143"/>
      <c r="BW39" s="143"/>
      <c r="BX39" s="148"/>
      <c r="BY39" s="143"/>
      <c r="BZ39" s="143"/>
      <c r="CA39" s="148"/>
      <c r="CB39" s="143"/>
      <c r="CC39" s="147"/>
      <c r="CD39" s="143"/>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row>
    <row r="40" spans="1:108" ht="21" customHeight="1" thickTop="1" thickBot="1" x14ac:dyDescent="0.25">
      <c r="A40" s="463"/>
      <c r="B40" s="464"/>
      <c r="C40" s="464"/>
      <c r="D40" s="464"/>
      <c r="E40" s="492"/>
      <c r="F40" s="464"/>
      <c r="G40" s="464"/>
      <c r="H40" s="464"/>
      <c r="I40" s="464"/>
      <c r="J40" s="463"/>
      <c r="K40" s="463"/>
      <c r="L40" s="525"/>
      <c r="M40" s="524"/>
      <c r="N40" s="188">
        <v>6</v>
      </c>
      <c r="O40" s="217"/>
      <c r="P40" s="189"/>
      <c r="Q40" s="189"/>
      <c r="R40" s="189"/>
      <c r="S40" s="189"/>
      <c r="T40" s="189"/>
      <c r="U40" s="189"/>
      <c r="V40" s="189"/>
      <c r="W40" s="113">
        <f t="shared" si="1"/>
        <v>0</v>
      </c>
      <c r="X40" s="114" t="str">
        <f t="shared" si="0"/>
        <v>DEBIL</v>
      </c>
      <c r="Y40" s="216"/>
      <c r="Z40" s="115" t="str">
        <f t="shared" si="2"/>
        <v/>
      </c>
      <c r="AA40" s="113" t="str">
        <f t="shared" si="3"/>
        <v>SI</v>
      </c>
      <c r="AB40" s="189"/>
      <c r="AC40" s="526"/>
      <c r="AD40" s="526"/>
      <c r="AE40" s="527"/>
      <c r="AF40" s="527"/>
      <c r="AG40" s="528"/>
      <c r="AH40" s="528"/>
      <c r="AI40" s="521"/>
      <c r="AJ40" s="521"/>
      <c r="AK40" s="525"/>
      <c r="AL40" s="524"/>
      <c r="AM40" s="531"/>
      <c r="AN40" s="189"/>
      <c r="AO40" s="188"/>
      <c r="AP40" s="191"/>
      <c r="AQ40" s="148"/>
      <c r="AR40" s="143"/>
      <c r="AS40" s="191"/>
      <c r="AT40" s="189"/>
      <c r="AU40" s="148"/>
      <c r="AV40" s="143"/>
      <c r="AW40" s="148"/>
      <c r="AX40" s="143"/>
      <c r="AY40" s="147"/>
      <c r="AZ40" s="189"/>
      <c r="BA40" s="189"/>
      <c r="BB40" s="188"/>
      <c r="BC40" s="191"/>
      <c r="BD40" s="191"/>
      <c r="BE40" s="189"/>
      <c r="BF40" s="189"/>
      <c r="BG40" s="188"/>
      <c r="BH40" s="191"/>
      <c r="BI40" s="191"/>
      <c r="BJ40" s="143"/>
      <c r="BK40" s="143"/>
      <c r="BL40" s="147"/>
      <c r="BM40" s="148"/>
      <c r="BN40" s="148"/>
      <c r="BO40" s="143"/>
      <c r="BP40" s="143"/>
      <c r="BQ40" s="147"/>
      <c r="BR40" s="148"/>
      <c r="BS40" s="148"/>
      <c r="BT40" s="148"/>
      <c r="BU40" s="143"/>
      <c r="BV40" s="143"/>
      <c r="BW40" s="143"/>
      <c r="BX40" s="148"/>
      <c r="BY40" s="143"/>
      <c r="BZ40" s="143"/>
      <c r="CA40" s="148"/>
      <c r="CB40" s="143"/>
      <c r="CC40" s="147"/>
      <c r="CD40" s="143"/>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row>
    <row r="41" spans="1:108" ht="21" customHeight="1" thickTop="1" thickBot="1" x14ac:dyDescent="0.25">
      <c r="A41" s="463"/>
      <c r="B41" s="464"/>
      <c r="C41" s="464"/>
      <c r="D41" s="464"/>
      <c r="E41" s="492"/>
      <c r="F41" s="464"/>
      <c r="G41" s="464"/>
      <c r="H41" s="464"/>
      <c r="I41" s="464"/>
      <c r="J41" s="463"/>
      <c r="K41" s="463"/>
      <c r="L41" s="525">
        <f>+(J41*K41)*4</f>
        <v>0</v>
      </c>
      <c r="M41" s="522" t="b">
        <f>IF(OR(AND(J41=3,K41=4),AND(J41=2,K41=5),AND(J41=2,K41=5),AND(L41=20),AND(L41&gt;=52,L41&lt;=100)),"ZONA RIESGO EXTREMA",IF(OR(AND(J41=5,K41=2),AND(J41=4,K41=3),AND(J41=1,K41=4),AND(L41=16),AND(L41&gt;=28,L41&lt;=48)),"ZONA RIESGO ALTA",IF(OR(AND(J41=1,K41=3),AND(J41=4,K41=1),AND(L41=24)),"ZONA RIESGO MODERADA",IF(AND(L41&gt;=4,L41&lt;=16),"ZONA RIESGO BAJA"))))</f>
        <v>0</v>
      </c>
      <c r="N41" s="188">
        <v>1</v>
      </c>
      <c r="O41" s="217"/>
      <c r="P41" s="189"/>
      <c r="Q41" s="189"/>
      <c r="R41" s="189"/>
      <c r="S41" s="189"/>
      <c r="T41" s="189"/>
      <c r="U41" s="189"/>
      <c r="V41" s="189"/>
      <c r="W41" s="113">
        <f t="shared" si="1"/>
        <v>0</v>
      </c>
      <c r="X41" s="114" t="str">
        <f t="shared" si="0"/>
        <v>DEBIL</v>
      </c>
      <c r="Y41" s="216"/>
      <c r="Z41" s="115" t="str">
        <f t="shared" si="2"/>
        <v/>
      </c>
      <c r="AA41" s="113" t="str">
        <f t="shared" si="3"/>
        <v>SI</v>
      </c>
      <c r="AB41" s="189"/>
      <c r="AC41" s="526">
        <f>IF(AND(W41&gt;0,SUM(W42:W46)=0),W41,IF(AND(SUM(W41:W42)&gt;0,SUM(W43:W46)=0),AVERAGE(W41:W42),IF(AND(SUM(W41:W43)&gt;0,SUM(W44:W46)=0),AVERAGE(W41:W43),IF(AND(SUM(W41:W44)&gt;0,SUM(W45:W46)=0),AVERAGE(W41:W44),IF(AND(SUM(W41:W45)&gt;0,W46=0),AVERAGE(W41:W45),AVERAGE(W41:W46))))))</f>
        <v>0</v>
      </c>
      <c r="AD41" s="526" t="str">
        <f>IF(AND(AC41&gt;=50,AC41&lt;=99),"MODERADO",IF(AND(AC41=100), "FUERTE",IF(AND(AC41&lt;50), "DEBIL")))</f>
        <v>DEBIL</v>
      </c>
      <c r="AE41" s="527"/>
      <c r="AF41" s="527"/>
      <c r="AG41" s="528" t="str">
        <f>IFERROR(_xlfn.IFS(AND(AD41="MODERADO",AE41="Directamente"),1,AND(AD41="FUERTE",AE41="Directamente"),2),"0")</f>
        <v>0</v>
      </c>
      <c r="AH41" s="528" t="str">
        <f>IFERROR(_xlfn.IFS(AND(AD41="MODERADO",AF41="Directamente"),1,AND(AD41="FUERTE",AF41="Directamente"),2,AND(AD41="FUERTE",AF41="Indirectamente"),1),"0")</f>
        <v>0</v>
      </c>
      <c r="AI41" s="521"/>
      <c r="AJ41" s="521"/>
      <c r="AK41" s="525">
        <f>+(AI41*AJ41)*4</f>
        <v>0</v>
      </c>
      <c r="AL41" s="52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529"/>
      <c r="AN41" s="189"/>
      <c r="AO41" s="188"/>
      <c r="AP41" s="191"/>
      <c r="AQ41" s="148"/>
      <c r="AR41" s="143"/>
      <c r="AS41" s="191"/>
      <c r="AT41" s="189"/>
      <c r="AU41" s="148"/>
      <c r="AV41" s="143"/>
      <c r="AW41" s="148"/>
      <c r="AX41" s="143"/>
      <c r="AY41" s="147"/>
      <c r="AZ41" s="189"/>
      <c r="BA41" s="189"/>
      <c r="BB41" s="188"/>
      <c r="BC41" s="191"/>
      <c r="BD41" s="191"/>
      <c r="BE41" s="189"/>
      <c r="BF41" s="189"/>
      <c r="BG41" s="188"/>
      <c r="BH41" s="191"/>
      <c r="BI41" s="191"/>
      <c r="BJ41" s="143"/>
      <c r="BK41" s="143"/>
      <c r="BL41" s="147"/>
      <c r="BM41" s="148"/>
      <c r="BN41" s="148"/>
      <c r="BO41" s="143"/>
      <c r="BP41" s="143"/>
      <c r="BQ41" s="147"/>
      <c r="BR41" s="148"/>
      <c r="BS41" s="148"/>
      <c r="BT41" s="148"/>
      <c r="BU41" s="143"/>
      <c r="BV41" s="143"/>
      <c r="BW41" s="143"/>
      <c r="BX41" s="148"/>
      <c r="BY41" s="143"/>
      <c r="BZ41" s="143"/>
      <c r="CA41" s="148"/>
      <c r="CB41" s="143"/>
      <c r="CC41" s="147"/>
      <c r="CD41" s="143"/>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row>
    <row r="42" spans="1:108" ht="21" customHeight="1" thickTop="1" thickBot="1" x14ac:dyDescent="0.25">
      <c r="A42" s="463"/>
      <c r="B42" s="464"/>
      <c r="C42" s="464"/>
      <c r="D42" s="464"/>
      <c r="E42" s="492"/>
      <c r="F42" s="464"/>
      <c r="G42" s="464"/>
      <c r="H42" s="464"/>
      <c r="I42" s="464"/>
      <c r="J42" s="463"/>
      <c r="K42" s="463"/>
      <c r="L42" s="525"/>
      <c r="M42" s="523"/>
      <c r="N42" s="188">
        <v>2</v>
      </c>
      <c r="O42" s="217"/>
      <c r="P42" s="189"/>
      <c r="Q42" s="189"/>
      <c r="R42" s="189"/>
      <c r="S42" s="189"/>
      <c r="T42" s="189"/>
      <c r="U42" s="189"/>
      <c r="V42" s="189"/>
      <c r="W42" s="113">
        <f t="shared" si="1"/>
        <v>0</v>
      </c>
      <c r="X42" s="114" t="str">
        <f t="shared" si="0"/>
        <v>DEBIL</v>
      </c>
      <c r="Y42" s="216"/>
      <c r="Z42" s="115" t="str">
        <f t="shared" si="2"/>
        <v/>
      </c>
      <c r="AA42" s="113" t="str">
        <f t="shared" si="3"/>
        <v>SI</v>
      </c>
      <c r="AB42" s="189"/>
      <c r="AC42" s="526"/>
      <c r="AD42" s="526"/>
      <c r="AE42" s="527"/>
      <c r="AF42" s="527"/>
      <c r="AG42" s="528"/>
      <c r="AH42" s="528"/>
      <c r="AI42" s="521"/>
      <c r="AJ42" s="521"/>
      <c r="AK42" s="525"/>
      <c r="AL42" s="523"/>
      <c r="AM42" s="530"/>
      <c r="AN42" s="189"/>
      <c r="AO42" s="188"/>
      <c r="AP42" s="191"/>
      <c r="AQ42" s="148"/>
      <c r="AR42" s="143"/>
      <c r="AS42" s="191"/>
      <c r="AT42" s="189"/>
      <c r="AU42" s="148"/>
      <c r="AV42" s="143"/>
      <c r="AW42" s="148"/>
      <c r="AX42" s="143"/>
      <c r="AY42" s="147"/>
      <c r="AZ42" s="189"/>
      <c r="BA42" s="189"/>
      <c r="BB42" s="188"/>
      <c r="BC42" s="191"/>
      <c r="BD42" s="191"/>
      <c r="BE42" s="189"/>
      <c r="BF42" s="189"/>
      <c r="BG42" s="188"/>
      <c r="BH42" s="191"/>
      <c r="BI42" s="191"/>
      <c r="BJ42" s="143"/>
      <c r="BK42" s="143"/>
      <c r="BL42" s="147"/>
      <c r="BM42" s="148"/>
      <c r="BN42" s="148"/>
      <c r="BO42" s="143"/>
      <c r="BP42" s="143"/>
      <c r="BQ42" s="147"/>
      <c r="BR42" s="148"/>
      <c r="BS42" s="148"/>
      <c r="BT42" s="148"/>
      <c r="BU42" s="143"/>
      <c r="BV42" s="143"/>
      <c r="BW42" s="143"/>
      <c r="BX42" s="148"/>
      <c r="BY42" s="143"/>
      <c r="BZ42" s="143"/>
      <c r="CA42" s="148"/>
      <c r="CB42" s="143"/>
      <c r="CC42" s="147"/>
      <c r="CD42" s="143"/>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row>
    <row r="43" spans="1:108" ht="21" customHeight="1" thickTop="1" thickBot="1" x14ac:dyDescent="0.25">
      <c r="A43" s="463"/>
      <c r="B43" s="464"/>
      <c r="C43" s="464"/>
      <c r="D43" s="464"/>
      <c r="E43" s="492"/>
      <c r="F43" s="464"/>
      <c r="G43" s="464"/>
      <c r="H43" s="464"/>
      <c r="I43" s="464"/>
      <c r="J43" s="463"/>
      <c r="K43" s="463"/>
      <c r="L43" s="525"/>
      <c r="M43" s="523"/>
      <c r="N43" s="188">
        <v>3</v>
      </c>
      <c r="O43" s="218"/>
      <c r="P43" s="189"/>
      <c r="Q43" s="189"/>
      <c r="R43" s="189"/>
      <c r="S43" s="189"/>
      <c r="T43" s="189"/>
      <c r="U43" s="189"/>
      <c r="V43" s="189"/>
      <c r="W43" s="113">
        <f t="shared" si="1"/>
        <v>0</v>
      </c>
      <c r="X43" s="114" t="str">
        <f t="shared" si="0"/>
        <v>DEBIL</v>
      </c>
      <c r="Y43" s="216"/>
      <c r="Z43" s="115" t="str">
        <f t="shared" si="2"/>
        <v/>
      </c>
      <c r="AA43" s="113" t="str">
        <f t="shared" si="3"/>
        <v>SI</v>
      </c>
      <c r="AB43" s="189"/>
      <c r="AC43" s="526"/>
      <c r="AD43" s="526"/>
      <c r="AE43" s="527"/>
      <c r="AF43" s="527"/>
      <c r="AG43" s="528"/>
      <c r="AH43" s="528"/>
      <c r="AI43" s="521"/>
      <c r="AJ43" s="521"/>
      <c r="AK43" s="525"/>
      <c r="AL43" s="523"/>
      <c r="AM43" s="530"/>
      <c r="AN43" s="189"/>
      <c r="AO43" s="188"/>
      <c r="AP43" s="191"/>
      <c r="AQ43" s="148"/>
      <c r="AR43" s="143"/>
      <c r="AS43" s="191"/>
      <c r="AT43" s="189"/>
      <c r="AU43" s="148"/>
      <c r="AV43" s="143"/>
      <c r="AW43" s="148"/>
      <c r="AX43" s="143"/>
      <c r="AY43" s="147"/>
      <c r="AZ43" s="189"/>
      <c r="BA43" s="189"/>
      <c r="BB43" s="188"/>
      <c r="BC43" s="191"/>
      <c r="BD43" s="191"/>
      <c r="BE43" s="189"/>
      <c r="BF43" s="189"/>
      <c r="BG43" s="188"/>
      <c r="BH43" s="191"/>
      <c r="BI43" s="191"/>
      <c r="BJ43" s="143"/>
      <c r="BK43" s="143"/>
      <c r="BL43" s="147"/>
      <c r="BM43" s="148"/>
      <c r="BN43" s="148"/>
      <c r="BO43" s="143"/>
      <c r="BP43" s="143"/>
      <c r="BQ43" s="147"/>
      <c r="BR43" s="148"/>
      <c r="BS43" s="148"/>
      <c r="BT43" s="148"/>
      <c r="BU43" s="143"/>
      <c r="BV43" s="143"/>
      <c r="BW43" s="143"/>
      <c r="BX43" s="148"/>
      <c r="BY43" s="143"/>
      <c r="BZ43" s="143"/>
      <c r="CA43" s="148"/>
      <c r="CB43" s="143"/>
      <c r="CC43" s="147"/>
      <c r="CD43" s="143"/>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row>
    <row r="44" spans="1:108" ht="21" customHeight="1" thickTop="1" thickBot="1" x14ac:dyDescent="0.25">
      <c r="A44" s="463"/>
      <c r="B44" s="464"/>
      <c r="C44" s="464"/>
      <c r="D44" s="464"/>
      <c r="E44" s="492"/>
      <c r="F44" s="464"/>
      <c r="G44" s="464"/>
      <c r="H44" s="464"/>
      <c r="I44" s="464"/>
      <c r="J44" s="463"/>
      <c r="K44" s="463"/>
      <c r="L44" s="525"/>
      <c r="M44" s="523"/>
      <c r="N44" s="188">
        <v>4</v>
      </c>
      <c r="O44" s="217"/>
      <c r="P44" s="189"/>
      <c r="Q44" s="189"/>
      <c r="R44" s="189"/>
      <c r="S44" s="189"/>
      <c r="T44" s="189"/>
      <c r="U44" s="189"/>
      <c r="V44" s="189"/>
      <c r="W44" s="113">
        <f t="shared" si="1"/>
        <v>0</v>
      </c>
      <c r="X44" s="114" t="str">
        <f t="shared" si="0"/>
        <v>DEBIL</v>
      </c>
      <c r="Y44" s="216"/>
      <c r="Z44" s="115" t="str">
        <f t="shared" si="2"/>
        <v/>
      </c>
      <c r="AA44" s="113" t="str">
        <f t="shared" si="3"/>
        <v>SI</v>
      </c>
      <c r="AB44" s="189"/>
      <c r="AC44" s="526"/>
      <c r="AD44" s="526"/>
      <c r="AE44" s="527"/>
      <c r="AF44" s="527"/>
      <c r="AG44" s="528"/>
      <c r="AH44" s="528"/>
      <c r="AI44" s="521"/>
      <c r="AJ44" s="521"/>
      <c r="AK44" s="525"/>
      <c r="AL44" s="523"/>
      <c r="AM44" s="530"/>
      <c r="AN44" s="189"/>
      <c r="AO44" s="188"/>
      <c r="AP44" s="191"/>
      <c r="AQ44" s="148"/>
      <c r="AR44" s="143"/>
      <c r="AS44" s="191"/>
      <c r="AT44" s="189"/>
      <c r="AU44" s="148"/>
      <c r="AV44" s="143"/>
      <c r="AW44" s="148"/>
      <c r="AX44" s="143"/>
      <c r="AY44" s="147"/>
      <c r="AZ44" s="189"/>
      <c r="BA44" s="189"/>
      <c r="BB44" s="188"/>
      <c r="BC44" s="191"/>
      <c r="BD44" s="191"/>
      <c r="BE44" s="189"/>
      <c r="BF44" s="189"/>
      <c r="BG44" s="188"/>
      <c r="BH44" s="191"/>
      <c r="BI44" s="191"/>
      <c r="BJ44" s="143"/>
      <c r="BK44" s="143"/>
      <c r="BL44" s="147"/>
      <c r="BM44" s="148"/>
      <c r="BN44" s="148"/>
      <c r="BO44" s="143"/>
      <c r="BP44" s="143"/>
      <c r="BQ44" s="147"/>
      <c r="BR44" s="148"/>
      <c r="BS44" s="148"/>
      <c r="BT44" s="148"/>
      <c r="BU44" s="143"/>
      <c r="BV44" s="143"/>
      <c r="BW44" s="143"/>
      <c r="BX44" s="148"/>
      <c r="BY44" s="143"/>
      <c r="BZ44" s="143"/>
      <c r="CA44" s="148"/>
      <c r="CB44" s="143"/>
      <c r="CC44" s="147"/>
      <c r="CD44" s="143"/>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row>
    <row r="45" spans="1:108" ht="21" customHeight="1" thickTop="1" thickBot="1" x14ac:dyDescent="0.25">
      <c r="A45" s="463"/>
      <c r="B45" s="464"/>
      <c r="C45" s="464"/>
      <c r="D45" s="464"/>
      <c r="E45" s="492"/>
      <c r="F45" s="464"/>
      <c r="G45" s="464"/>
      <c r="H45" s="464"/>
      <c r="I45" s="464"/>
      <c r="J45" s="463"/>
      <c r="K45" s="463"/>
      <c r="L45" s="525"/>
      <c r="M45" s="523"/>
      <c r="N45" s="188">
        <v>5</v>
      </c>
      <c r="O45" s="217"/>
      <c r="P45" s="189"/>
      <c r="Q45" s="189"/>
      <c r="R45" s="189"/>
      <c r="S45" s="189"/>
      <c r="T45" s="189"/>
      <c r="U45" s="189"/>
      <c r="V45" s="189"/>
      <c r="W45" s="113">
        <f t="shared" si="1"/>
        <v>0</v>
      </c>
      <c r="X45" s="114" t="str">
        <f t="shared" si="0"/>
        <v>DEBIL</v>
      </c>
      <c r="Y45" s="216"/>
      <c r="Z45" s="115" t="str">
        <f t="shared" si="2"/>
        <v/>
      </c>
      <c r="AA45" s="113" t="str">
        <f t="shared" si="3"/>
        <v>SI</v>
      </c>
      <c r="AB45" s="189"/>
      <c r="AC45" s="526"/>
      <c r="AD45" s="526"/>
      <c r="AE45" s="527"/>
      <c r="AF45" s="527"/>
      <c r="AG45" s="528"/>
      <c r="AH45" s="528"/>
      <c r="AI45" s="521"/>
      <c r="AJ45" s="521"/>
      <c r="AK45" s="525"/>
      <c r="AL45" s="523"/>
      <c r="AM45" s="530"/>
      <c r="AN45" s="189"/>
      <c r="AO45" s="188"/>
      <c r="AP45" s="191"/>
      <c r="AQ45" s="148"/>
      <c r="AR45" s="143"/>
      <c r="AS45" s="191"/>
      <c r="AT45" s="189"/>
      <c r="AU45" s="148"/>
      <c r="AV45" s="143"/>
      <c r="AW45" s="148"/>
      <c r="AX45" s="143"/>
      <c r="AY45" s="147"/>
      <c r="AZ45" s="189"/>
      <c r="BA45" s="189"/>
      <c r="BB45" s="188"/>
      <c r="BC45" s="191"/>
      <c r="BD45" s="191"/>
      <c r="BE45" s="189"/>
      <c r="BF45" s="189"/>
      <c r="BG45" s="188"/>
      <c r="BH45" s="191"/>
      <c r="BI45" s="191"/>
      <c r="BJ45" s="143"/>
      <c r="BK45" s="143"/>
      <c r="BL45" s="147"/>
      <c r="BM45" s="148"/>
      <c r="BN45" s="148"/>
      <c r="BO45" s="143"/>
      <c r="BP45" s="143"/>
      <c r="BQ45" s="147"/>
      <c r="BR45" s="148"/>
      <c r="BS45" s="148"/>
      <c r="BT45" s="148"/>
      <c r="BU45" s="143"/>
      <c r="BV45" s="143"/>
      <c r="BW45" s="143"/>
      <c r="BX45" s="148"/>
      <c r="BY45" s="143"/>
      <c r="BZ45" s="143"/>
      <c r="CA45" s="148"/>
      <c r="CB45" s="143"/>
      <c r="CC45" s="147"/>
      <c r="CD45" s="143"/>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row>
    <row r="46" spans="1:108" ht="21" customHeight="1" thickTop="1" thickBot="1" x14ac:dyDescent="0.25">
      <c r="A46" s="463"/>
      <c r="B46" s="464"/>
      <c r="C46" s="464"/>
      <c r="D46" s="464"/>
      <c r="E46" s="492"/>
      <c r="F46" s="464"/>
      <c r="G46" s="464"/>
      <c r="H46" s="464"/>
      <c r="I46" s="464"/>
      <c r="J46" s="463"/>
      <c r="K46" s="463"/>
      <c r="L46" s="525"/>
      <c r="M46" s="524"/>
      <c r="N46" s="188">
        <v>6</v>
      </c>
      <c r="O46" s="217"/>
      <c r="P46" s="189"/>
      <c r="Q46" s="189"/>
      <c r="R46" s="189"/>
      <c r="S46" s="189"/>
      <c r="T46" s="189"/>
      <c r="U46" s="189"/>
      <c r="V46" s="189"/>
      <c r="W46" s="113">
        <f t="shared" si="1"/>
        <v>0</v>
      </c>
      <c r="X46" s="114" t="str">
        <f t="shared" si="0"/>
        <v>DEBIL</v>
      </c>
      <c r="Y46" s="216"/>
      <c r="Z46" s="115" t="str">
        <f t="shared" si="2"/>
        <v/>
      </c>
      <c r="AA46" s="113" t="str">
        <f t="shared" si="3"/>
        <v>SI</v>
      </c>
      <c r="AB46" s="189"/>
      <c r="AC46" s="526"/>
      <c r="AD46" s="526"/>
      <c r="AE46" s="527"/>
      <c r="AF46" s="527"/>
      <c r="AG46" s="528"/>
      <c r="AH46" s="528"/>
      <c r="AI46" s="521"/>
      <c r="AJ46" s="521"/>
      <c r="AK46" s="525"/>
      <c r="AL46" s="524"/>
      <c r="AM46" s="531"/>
      <c r="AN46" s="189"/>
      <c r="AO46" s="188"/>
      <c r="AP46" s="191"/>
      <c r="AQ46" s="148"/>
      <c r="AR46" s="143"/>
      <c r="AS46" s="191"/>
      <c r="AT46" s="189"/>
      <c r="AU46" s="148"/>
      <c r="AV46" s="143"/>
      <c r="AW46" s="148"/>
      <c r="AX46" s="143"/>
      <c r="AY46" s="147"/>
      <c r="AZ46" s="189"/>
      <c r="BA46" s="189"/>
      <c r="BB46" s="188"/>
      <c r="BC46" s="191"/>
      <c r="BD46" s="191"/>
      <c r="BE46" s="189"/>
      <c r="BF46" s="189"/>
      <c r="BG46" s="188"/>
      <c r="BH46" s="191"/>
      <c r="BI46" s="191"/>
      <c r="BJ46" s="143"/>
      <c r="BK46" s="143"/>
      <c r="BL46" s="147"/>
      <c r="BM46" s="148"/>
      <c r="BN46" s="148"/>
      <c r="BO46" s="143"/>
      <c r="BP46" s="143"/>
      <c r="BQ46" s="147"/>
      <c r="BR46" s="148"/>
      <c r="BS46" s="148"/>
      <c r="BT46" s="148"/>
      <c r="BU46" s="143"/>
      <c r="BV46" s="143"/>
      <c r="BW46" s="143"/>
      <c r="BX46" s="148"/>
      <c r="BY46" s="143"/>
      <c r="BZ46" s="143"/>
      <c r="CA46" s="148"/>
      <c r="CB46" s="143"/>
      <c r="CC46" s="147"/>
      <c r="CD46" s="143"/>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row>
    <row r="47" spans="1:108" ht="21" customHeight="1" thickTop="1" thickBot="1" x14ac:dyDescent="0.25">
      <c r="A47" s="463"/>
      <c r="B47" s="464"/>
      <c r="C47" s="464"/>
      <c r="D47" s="464"/>
      <c r="E47" s="492"/>
      <c r="F47" s="464"/>
      <c r="G47" s="464"/>
      <c r="H47" s="464"/>
      <c r="I47" s="464"/>
      <c r="J47" s="463"/>
      <c r="K47" s="463"/>
      <c r="L47" s="525">
        <f>+(J47*K47)*4</f>
        <v>0</v>
      </c>
      <c r="M47" s="522" t="b">
        <f>IF(OR(AND(J47=3,K47=4),AND(J47=2,K47=5),AND(J47=2,K47=5),AND(L47=20),AND(L47&gt;=52,L47&lt;=100)),"ZONA RIESGO EXTREMA",IF(OR(AND(J47=5,K47=2),AND(J47=4,K47=3),AND(J47=1,K47=4),AND(L47=16),AND(L47&gt;=28,L47&lt;=48)),"ZONA RIESGO ALTA",IF(OR(AND(J47=1,K47=3),AND(J47=4,K47=1),AND(L47=24)),"ZONA RIESGO MODERADA",IF(AND(L47&gt;=4,L47&lt;=16),"ZONA RIESGO BAJA"))))</f>
        <v>0</v>
      </c>
      <c r="N47" s="188">
        <v>1</v>
      </c>
      <c r="O47" s="217"/>
      <c r="P47" s="189"/>
      <c r="Q47" s="189"/>
      <c r="R47" s="189"/>
      <c r="S47" s="189"/>
      <c r="T47" s="189"/>
      <c r="U47" s="189"/>
      <c r="V47" s="189"/>
      <c r="W47" s="113">
        <f t="shared" si="1"/>
        <v>0</v>
      </c>
      <c r="X47" s="114" t="str">
        <f t="shared" si="0"/>
        <v>DEBIL</v>
      </c>
      <c r="Y47" s="216"/>
      <c r="Z47" s="115" t="str">
        <f t="shared" si="2"/>
        <v/>
      </c>
      <c r="AA47" s="113" t="str">
        <f t="shared" si="3"/>
        <v>SI</v>
      </c>
      <c r="AB47" s="189"/>
      <c r="AC47" s="526">
        <f>IF(AND(W47&gt;0,SUM(W48:W52)=0),W47,IF(AND(SUM(W47:W48)&gt;0,SUM(W49:W52)=0),AVERAGE(W47:W48),IF(AND(SUM(W47:W49)&gt;0,SUM(W50:W52)=0),AVERAGE(W47:W49),IF(AND(SUM(W47:W50)&gt;0,SUM(W51:W52)=0),AVERAGE(W47:W50),IF(AND(SUM(W47:W51)&gt;0,W52=0),AVERAGE(W47:W51),AVERAGE(W47:W52))))))</f>
        <v>0</v>
      </c>
      <c r="AD47" s="526" t="str">
        <f>IF(AND(AC47&gt;=50,AC47&lt;=99),"MODERADO",IF(AND(AC47=100), "FUERTE",IF(AND(AC47&lt;50), "DEBIL")))</f>
        <v>DEBIL</v>
      </c>
      <c r="AE47" s="527"/>
      <c r="AF47" s="527"/>
      <c r="AG47" s="528" t="str">
        <f>IFERROR(_xlfn.IFS(AND(AD47="MODERADO",AE47="Directamente"),1,AND(AD47="FUERTE",AE47="Directamente"),2),"0")</f>
        <v>0</v>
      </c>
      <c r="AH47" s="528" t="str">
        <f>IFERROR(_xlfn.IFS(AND(AD47="MODERADO",AF47="Directamente"),1,AND(AD47="FUERTE",AF47="Directamente"),2,AND(AD47="FUERTE",AF47="Indirectamente"),1),"0")</f>
        <v>0</v>
      </c>
      <c r="AI47" s="521"/>
      <c r="AJ47" s="521"/>
      <c r="AK47" s="525">
        <f>+(AI47*AJ47)*4</f>
        <v>0</v>
      </c>
      <c r="AL47" s="52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529"/>
      <c r="AN47" s="189"/>
      <c r="AO47" s="188"/>
      <c r="AP47" s="191"/>
      <c r="AQ47" s="148"/>
      <c r="AR47" s="143"/>
      <c r="AS47" s="191"/>
      <c r="AT47" s="189"/>
      <c r="AU47" s="148"/>
      <c r="AV47" s="143"/>
      <c r="AW47" s="148"/>
      <c r="AX47" s="143"/>
      <c r="AY47" s="147"/>
      <c r="AZ47" s="189"/>
      <c r="BA47" s="189"/>
      <c r="BB47" s="188"/>
      <c r="BC47" s="191"/>
      <c r="BD47" s="191"/>
      <c r="BE47" s="189"/>
      <c r="BF47" s="189"/>
      <c r="BG47" s="188"/>
      <c r="BH47" s="191"/>
      <c r="BI47" s="191"/>
      <c r="BJ47" s="143"/>
      <c r="BK47" s="143"/>
      <c r="BL47" s="147"/>
      <c r="BM47" s="148"/>
      <c r="BN47" s="148"/>
      <c r="BO47" s="143"/>
      <c r="BP47" s="143"/>
      <c r="BQ47" s="147"/>
      <c r="BR47" s="148"/>
      <c r="BS47" s="148"/>
      <c r="BT47" s="148"/>
      <c r="BU47" s="143"/>
      <c r="BV47" s="143"/>
      <c r="BW47" s="143"/>
      <c r="BX47" s="148"/>
      <c r="BY47" s="143"/>
      <c r="BZ47" s="143"/>
      <c r="CA47" s="148"/>
      <c r="CB47" s="143"/>
      <c r="CC47" s="147"/>
      <c r="CD47" s="143"/>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row>
    <row r="48" spans="1:108" ht="21" customHeight="1" thickTop="1" thickBot="1" x14ac:dyDescent="0.25">
      <c r="A48" s="463"/>
      <c r="B48" s="464"/>
      <c r="C48" s="464"/>
      <c r="D48" s="464"/>
      <c r="E48" s="492"/>
      <c r="F48" s="464"/>
      <c r="G48" s="464"/>
      <c r="H48" s="464"/>
      <c r="I48" s="464"/>
      <c r="J48" s="463"/>
      <c r="K48" s="463"/>
      <c r="L48" s="525"/>
      <c r="M48" s="523"/>
      <c r="N48" s="188">
        <v>2</v>
      </c>
      <c r="O48" s="217"/>
      <c r="P48" s="189"/>
      <c r="Q48" s="189"/>
      <c r="R48" s="189"/>
      <c r="S48" s="189"/>
      <c r="T48" s="189"/>
      <c r="U48" s="189"/>
      <c r="V48" s="189"/>
      <c r="W48" s="113">
        <f t="shared" si="1"/>
        <v>0</v>
      </c>
      <c r="X48" s="114" t="str">
        <f t="shared" si="0"/>
        <v>DEBIL</v>
      </c>
      <c r="Y48" s="216"/>
      <c r="Z48" s="115" t="str">
        <f t="shared" si="2"/>
        <v/>
      </c>
      <c r="AA48" s="113" t="str">
        <f t="shared" si="3"/>
        <v>SI</v>
      </c>
      <c r="AB48" s="189"/>
      <c r="AC48" s="526"/>
      <c r="AD48" s="526"/>
      <c r="AE48" s="527"/>
      <c r="AF48" s="527"/>
      <c r="AG48" s="528"/>
      <c r="AH48" s="528"/>
      <c r="AI48" s="521"/>
      <c r="AJ48" s="521"/>
      <c r="AK48" s="525"/>
      <c r="AL48" s="523"/>
      <c r="AM48" s="530"/>
      <c r="AN48" s="189"/>
      <c r="AO48" s="188"/>
      <c r="AP48" s="191"/>
      <c r="AQ48" s="148"/>
      <c r="AR48" s="143"/>
      <c r="AS48" s="191"/>
      <c r="AT48" s="189"/>
      <c r="AU48" s="148"/>
      <c r="AV48" s="143"/>
      <c r="AW48" s="148"/>
      <c r="AX48" s="143"/>
      <c r="AY48" s="147"/>
      <c r="AZ48" s="189"/>
      <c r="BA48" s="189"/>
      <c r="BB48" s="188"/>
      <c r="BC48" s="191"/>
      <c r="BD48" s="191"/>
      <c r="BE48" s="189"/>
      <c r="BF48" s="189"/>
      <c r="BG48" s="188"/>
      <c r="BH48" s="191"/>
      <c r="BI48" s="191"/>
      <c r="BJ48" s="143"/>
      <c r="BK48" s="143"/>
      <c r="BL48" s="147"/>
      <c r="BM48" s="148"/>
      <c r="BN48" s="148"/>
      <c r="BO48" s="143"/>
      <c r="BP48" s="143"/>
      <c r="BQ48" s="147"/>
      <c r="BR48" s="148"/>
      <c r="BS48" s="148"/>
      <c r="BT48" s="148"/>
      <c r="BU48" s="143"/>
      <c r="BV48" s="143"/>
      <c r="BW48" s="143"/>
      <c r="BX48" s="148"/>
      <c r="BY48" s="143"/>
      <c r="BZ48" s="143"/>
      <c r="CA48" s="148"/>
      <c r="CB48" s="143"/>
      <c r="CC48" s="147"/>
      <c r="CD48" s="143"/>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row>
    <row r="49" spans="1:108" ht="21" customHeight="1" thickTop="1" thickBot="1" x14ac:dyDescent="0.25">
      <c r="A49" s="463"/>
      <c r="B49" s="464"/>
      <c r="C49" s="464"/>
      <c r="D49" s="464"/>
      <c r="E49" s="492"/>
      <c r="F49" s="464"/>
      <c r="G49" s="464"/>
      <c r="H49" s="464"/>
      <c r="I49" s="464"/>
      <c r="J49" s="463"/>
      <c r="K49" s="463"/>
      <c r="L49" s="525"/>
      <c r="M49" s="523"/>
      <c r="N49" s="188">
        <v>3</v>
      </c>
      <c r="O49" s="218"/>
      <c r="P49" s="189"/>
      <c r="Q49" s="189"/>
      <c r="R49" s="189"/>
      <c r="S49" s="189"/>
      <c r="T49" s="189"/>
      <c r="U49" s="189"/>
      <c r="V49" s="189"/>
      <c r="W49" s="113">
        <f t="shared" si="1"/>
        <v>0</v>
      </c>
      <c r="X49" s="114" t="str">
        <f t="shared" si="0"/>
        <v>DEBIL</v>
      </c>
      <c r="Y49" s="216"/>
      <c r="Z49" s="115" t="str">
        <f t="shared" si="2"/>
        <v/>
      </c>
      <c r="AA49" s="113" t="str">
        <f t="shared" si="3"/>
        <v>SI</v>
      </c>
      <c r="AB49" s="189"/>
      <c r="AC49" s="526"/>
      <c r="AD49" s="526"/>
      <c r="AE49" s="527"/>
      <c r="AF49" s="527"/>
      <c r="AG49" s="528"/>
      <c r="AH49" s="528"/>
      <c r="AI49" s="521"/>
      <c r="AJ49" s="521"/>
      <c r="AK49" s="525"/>
      <c r="AL49" s="523"/>
      <c r="AM49" s="530"/>
      <c r="AN49" s="189"/>
      <c r="AO49" s="188"/>
      <c r="AP49" s="191"/>
      <c r="AQ49" s="148"/>
      <c r="AR49" s="143"/>
      <c r="AS49" s="191"/>
      <c r="AT49" s="189"/>
      <c r="AU49" s="148"/>
      <c r="AV49" s="143"/>
      <c r="AW49" s="148"/>
      <c r="AX49" s="143"/>
      <c r="AY49" s="147"/>
      <c r="AZ49" s="189"/>
      <c r="BA49" s="189"/>
      <c r="BB49" s="188"/>
      <c r="BC49" s="191"/>
      <c r="BD49" s="191"/>
      <c r="BE49" s="189"/>
      <c r="BF49" s="189"/>
      <c r="BG49" s="188"/>
      <c r="BH49" s="191"/>
      <c r="BI49" s="191"/>
      <c r="BJ49" s="143"/>
      <c r="BK49" s="143"/>
      <c r="BL49" s="147"/>
      <c r="BM49" s="148"/>
      <c r="BN49" s="148"/>
      <c r="BO49" s="143"/>
      <c r="BP49" s="143"/>
      <c r="BQ49" s="147"/>
      <c r="BR49" s="148"/>
      <c r="BS49" s="148"/>
      <c r="BT49" s="148"/>
      <c r="BU49" s="143"/>
      <c r="BV49" s="143"/>
      <c r="BW49" s="143"/>
      <c r="BX49" s="148"/>
      <c r="BY49" s="143"/>
      <c r="BZ49" s="143"/>
      <c r="CA49" s="148"/>
      <c r="CB49" s="143"/>
      <c r="CC49" s="147"/>
      <c r="CD49" s="143"/>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row>
    <row r="50" spans="1:108" ht="21" customHeight="1" thickTop="1" thickBot="1" x14ac:dyDescent="0.25">
      <c r="A50" s="463"/>
      <c r="B50" s="464"/>
      <c r="C50" s="464"/>
      <c r="D50" s="464"/>
      <c r="E50" s="492"/>
      <c r="F50" s="464"/>
      <c r="G50" s="464"/>
      <c r="H50" s="464"/>
      <c r="I50" s="464"/>
      <c r="J50" s="463"/>
      <c r="K50" s="463"/>
      <c r="L50" s="525"/>
      <c r="M50" s="523"/>
      <c r="N50" s="188">
        <v>4</v>
      </c>
      <c r="O50" s="217"/>
      <c r="P50" s="189"/>
      <c r="Q50" s="189"/>
      <c r="R50" s="189"/>
      <c r="S50" s="189"/>
      <c r="T50" s="189"/>
      <c r="U50" s="189"/>
      <c r="V50" s="189"/>
      <c r="W50" s="113">
        <f t="shared" si="1"/>
        <v>0</v>
      </c>
      <c r="X50" s="114" t="str">
        <f t="shared" si="0"/>
        <v>DEBIL</v>
      </c>
      <c r="Y50" s="216"/>
      <c r="Z50" s="115" t="str">
        <f t="shared" si="2"/>
        <v/>
      </c>
      <c r="AA50" s="113" t="str">
        <f t="shared" si="3"/>
        <v>SI</v>
      </c>
      <c r="AB50" s="189"/>
      <c r="AC50" s="526"/>
      <c r="AD50" s="526"/>
      <c r="AE50" s="527"/>
      <c r="AF50" s="527"/>
      <c r="AG50" s="528"/>
      <c r="AH50" s="528"/>
      <c r="AI50" s="521"/>
      <c r="AJ50" s="521"/>
      <c r="AK50" s="525"/>
      <c r="AL50" s="523"/>
      <c r="AM50" s="530"/>
      <c r="AN50" s="189"/>
      <c r="AO50" s="188"/>
      <c r="AP50" s="191"/>
      <c r="AQ50" s="148"/>
      <c r="AR50" s="143"/>
      <c r="AS50" s="191"/>
      <c r="AT50" s="189"/>
      <c r="AU50" s="148"/>
      <c r="AV50" s="143"/>
      <c r="AW50" s="148"/>
      <c r="AX50" s="143"/>
      <c r="AY50" s="147"/>
      <c r="AZ50" s="189"/>
      <c r="BA50" s="189"/>
      <c r="BB50" s="188"/>
      <c r="BC50" s="191"/>
      <c r="BD50" s="191"/>
      <c r="BE50" s="189"/>
      <c r="BF50" s="189"/>
      <c r="BG50" s="188"/>
      <c r="BH50" s="191"/>
      <c r="BI50" s="191"/>
      <c r="BJ50" s="143"/>
      <c r="BK50" s="143"/>
      <c r="BL50" s="147"/>
      <c r="BM50" s="148"/>
      <c r="BN50" s="148"/>
      <c r="BO50" s="143"/>
      <c r="BP50" s="143"/>
      <c r="BQ50" s="147"/>
      <c r="BR50" s="148"/>
      <c r="BS50" s="148"/>
      <c r="BT50" s="148"/>
      <c r="BU50" s="143"/>
      <c r="BV50" s="143"/>
      <c r="BW50" s="143"/>
      <c r="BX50" s="148"/>
      <c r="BY50" s="143"/>
      <c r="BZ50" s="143"/>
      <c r="CA50" s="148"/>
      <c r="CB50" s="143"/>
      <c r="CC50" s="147"/>
      <c r="CD50" s="143"/>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row>
    <row r="51" spans="1:108" ht="21" customHeight="1" thickTop="1" thickBot="1" x14ac:dyDescent="0.25">
      <c r="A51" s="463"/>
      <c r="B51" s="464"/>
      <c r="C51" s="464"/>
      <c r="D51" s="464"/>
      <c r="E51" s="492"/>
      <c r="F51" s="464"/>
      <c r="G51" s="464"/>
      <c r="H51" s="464"/>
      <c r="I51" s="464"/>
      <c r="J51" s="463"/>
      <c r="K51" s="463"/>
      <c r="L51" s="525"/>
      <c r="M51" s="523"/>
      <c r="N51" s="188">
        <v>5</v>
      </c>
      <c r="O51" s="217"/>
      <c r="P51" s="189"/>
      <c r="Q51" s="189"/>
      <c r="R51" s="189"/>
      <c r="S51" s="189"/>
      <c r="T51" s="189"/>
      <c r="U51" s="189"/>
      <c r="V51" s="189"/>
      <c r="W51" s="113">
        <f t="shared" si="1"/>
        <v>0</v>
      </c>
      <c r="X51" s="114" t="str">
        <f t="shared" si="0"/>
        <v>DEBIL</v>
      </c>
      <c r="Y51" s="216"/>
      <c r="Z51" s="115" t="str">
        <f t="shared" si="2"/>
        <v/>
      </c>
      <c r="AA51" s="113" t="str">
        <f t="shared" si="3"/>
        <v>SI</v>
      </c>
      <c r="AB51" s="189"/>
      <c r="AC51" s="526"/>
      <c r="AD51" s="526"/>
      <c r="AE51" s="527"/>
      <c r="AF51" s="527"/>
      <c r="AG51" s="528"/>
      <c r="AH51" s="528"/>
      <c r="AI51" s="521"/>
      <c r="AJ51" s="521"/>
      <c r="AK51" s="525"/>
      <c r="AL51" s="523"/>
      <c r="AM51" s="530"/>
      <c r="AN51" s="189"/>
      <c r="AO51" s="188"/>
      <c r="AP51" s="191"/>
      <c r="AQ51" s="148"/>
      <c r="AR51" s="143"/>
      <c r="AS51" s="191"/>
      <c r="AT51" s="189"/>
      <c r="AU51" s="148"/>
      <c r="AV51" s="143"/>
      <c r="AW51" s="148"/>
      <c r="AX51" s="143"/>
      <c r="AY51" s="147"/>
      <c r="AZ51" s="189"/>
      <c r="BA51" s="189"/>
      <c r="BB51" s="188"/>
      <c r="BC51" s="191"/>
      <c r="BD51" s="191"/>
      <c r="BE51" s="189"/>
      <c r="BF51" s="189"/>
      <c r="BG51" s="188"/>
      <c r="BH51" s="191"/>
      <c r="BI51" s="191"/>
      <c r="BJ51" s="143"/>
      <c r="BK51" s="143"/>
      <c r="BL51" s="147"/>
      <c r="BM51" s="148"/>
      <c r="BN51" s="148"/>
      <c r="BO51" s="143"/>
      <c r="BP51" s="143"/>
      <c r="BQ51" s="147"/>
      <c r="BR51" s="148"/>
      <c r="BS51" s="148"/>
      <c r="BT51" s="148"/>
      <c r="BU51" s="143"/>
      <c r="BV51" s="143"/>
      <c r="BW51" s="143"/>
      <c r="BX51" s="148"/>
      <c r="BY51" s="143"/>
      <c r="BZ51" s="143"/>
      <c r="CA51" s="148"/>
      <c r="CB51" s="143"/>
      <c r="CC51" s="147"/>
      <c r="CD51" s="143"/>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row>
    <row r="52" spans="1:108" ht="21" customHeight="1" thickTop="1" thickBot="1" x14ac:dyDescent="0.25">
      <c r="A52" s="463"/>
      <c r="B52" s="464"/>
      <c r="C52" s="464"/>
      <c r="D52" s="464"/>
      <c r="E52" s="492"/>
      <c r="F52" s="464"/>
      <c r="G52" s="464"/>
      <c r="H52" s="464"/>
      <c r="I52" s="464"/>
      <c r="J52" s="463"/>
      <c r="K52" s="463"/>
      <c r="L52" s="525"/>
      <c r="M52" s="524"/>
      <c r="N52" s="188">
        <v>6</v>
      </c>
      <c r="O52" s="217"/>
      <c r="P52" s="189"/>
      <c r="Q52" s="189"/>
      <c r="R52" s="189"/>
      <c r="S52" s="189"/>
      <c r="T52" s="189"/>
      <c r="U52" s="189"/>
      <c r="V52" s="189"/>
      <c r="W52" s="113">
        <f t="shared" si="1"/>
        <v>0</v>
      </c>
      <c r="X52" s="114" t="str">
        <f t="shared" si="0"/>
        <v>DEBIL</v>
      </c>
      <c r="Y52" s="216"/>
      <c r="Z52" s="115" t="str">
        <f t="shared" si="2"/>
        <v/>
      </c>
      <c r="AA52" s="113" t="str">
        <f t="shared" si="3"/>
        <v>SI</v>
      </c>
      <c r="AB52" s="189"/>
      <c r="AC52" s="526"/>
      <c r="AD52" s="526"/>
      <c r="AE52" s="527"/>
      <c r="AF52" s="527"/>
      <c r="AG52" s="528"/>
      <c r="AH52" s="528"/>
      <c r="AI52" s="521"/>
      <c r="AJ52" s="521"/>
      <c r="AK52" s="525"/>
      <c r="AL52" s="524"/>
      <c r="AM52" s="531"/>
      <c r="AN52" s="189"/>
      <c r="AO52" s="188"/>
      <c r="AP52" s="191"/>
      <c r="AQ52" s="148"/>
      <c r="AR52" s="143"/>
      <c r="AS52" s="191"/>
      <c r="AT52" s="189"/>
      <c r="AU52" s="148"/>
      <c r="AV52" s="143"/>
      <c r="AW52" s="148"/>
      <c r="AX52" s="143"/>
      <c r="AY52" s="147"/>
      <c r="AZ52" s="189"/>
      <c r="BA52" s="189"/>
      <c r="BB52" s="188"/>
      <c r="BC52" s="191"/>
      <c r="BD52" s="191"/>
      <c r="BE52" s="189"/>
      <c r="BF52" s="189"/>
      <c r="BG52" s="188"/>
      <c r="BH52" s="191"/>
      <c r="BI52" s="191"/>
      <c r="BJ52" s="143"/>
      <c r="BK52" s="143"/>
      <c r="BL52" s="147"/>
      <c r="BM52" s="148"/>
      <c r="BN52" s="148"/>
      <c r="BO52" s="143"/>
      <c r="BP52" s="143"/>
      <c r="BQ52" s="147"/>
      <c r="BR52" s="148"/>
      <c r="BS52" s="148"/>
      <c r="BT52" s="148"/>
      <c r="BU52" s="143"/>
      <c r="BV52" s="143"/>
      <c r="BW52" s="143"/>
      <c r="BX52" s="148"/>
      <c r="BY52" s="143"/>
      <c r="BZ52" s="143"/>
      <c r="CA52" s="148"/>
      <c r="CB52" s="143"/>
      <c r="CC52" s="147"/>
      <c r="CD52" s="143"/>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row>
    <row r="53" spans="1:108" ht="21" customHeight="1" thickTop="1" thickBot="1" x14ac:dyDescent="0.25">
      <c r="A53" s="463"/>
      <c r="B53" s="464"/>
      <c r="C53" s="464"/>
      <c r="D53" s="464"/>
      <c r="E53" s="492"/>
      <c r="F53" s="464"/>
      <c r="G53" s="464"/>
      <c r="H53" s="464"/>
      <c r="I53" s="464"/>
      <c r="J53" s="463"/>
      <c r="K53" s="463"/>
      <c r="L53" s="525">
        <f>+(J53*K53)*4</f>
        <v>0</v>
      </c>
      <c r="M53" s="522" t="b">
        <f>IF(OR(AND(J53=3,K53=4),AND(J53=2,K53=5),AND(J53=2,K53=5),AND(L53=20),AND(L53&gt;=52,L53&lt;=100)),"ZONA RIESGO EXTREMA",IF(OR(AND(J53=5,K53=2),AND(J53=4,K53=3),AND(J53=1,K53=4),AND(L53=16),AND(L53&gt;=28,L53&lt;=48)),"ZONA RIESGO ALTA",IF(OR(AND(J53=1,K53=3),AND(J53=4,K53=1),AND(L53=24)),"ZONA RIESGO MODERADA",IF(AND(L53&gt;=4,L53&lt;=16),"ZONA RIESGO BAJA"))))</f>
        <v>0</v>
      </c>
      <c r="N53" s="188">
        <v>1</v>
      </c>
      <c r="O53" s="217"/>
      <c r="P53" s="189"/>
      <c r="Q53" s="189"/>
      <c r="R53" s="189"/>
      <c r="S53" s="189"/>
      <c r="T53" s="189"/>
      <c r="U53" s="189"/>
      <c r="V53" s="189"/>
      <c r="W53" s="113">
        <f t="shared" si="1"/>
        <v>0</v>
      </c>
      <c r="X53" s="114" t="str">
        <f t="shared" si="0"/>
        <v>DEBIL</v>
      </c>
      <c r="Y53" s="216"/>
      <c r="Z53" s="115" t="str">
        <f t="shared" si="2"/>
        <v/>
      </c>
      <c r="AA53" s="113" t="str">
        <f t="shared" si="3"/>
        <v>SI</v>
      </c>
      <c r="AB53" s="189"/>
      <c r="AC53" s="526">
        <f>IF(AND(W53&gt;0,SUM(W54:W58)=0),W53,IF(AND(SUM(W53:W54)&gt;0,SUM(W55:W58)=0),AVERAGE(W53:W54),IF(AND(SUM(W53:W55)&gt;0,SUM(W56:W58)=0),AVERAGE(W53:W55),IF(AND(SUM(W53:W56)&gt;0,SUM(W57:W58)=0),AVERAGE(W53:W56),IF(AND(SUM(W53:W57)&gt;0,W58=0),AVERAGE(W53:W57),AVERAGE(W53:W58))))))</f>
        <v>0</v>
      </c>
      <c r="AD53" s="526" t="str">
        <f>IF(AND(AC53&gt;=50,AC53&lt;=99),"MODERADO",IF(AND(AC53=100), "FUERTE",IF(AND(AC53&lt;50), "DEBIL")))</f>
        <v>DEBIL</v>
      </c>
      <c r="AE53" s="527"/>
      <c r="AF53" s="527"/>
      <c r="AG53" s="528" t="str">
        <f>IFERROR(_xlfn.IFS(AND(AD53="MODERADO",AE53="Directamente"),1,AND(AD53="FUERTE",AE53="Directamente"),2),"0")</f>
        <v>0</v>
      </c>
      <c r="AH53" s="528" t="str">
        <f>IFERROR(_xlfn.IFS(AND(AD53="MODERADO",AF53="Directamente"),1,AND(AD53="FUERTE",AF53="Directamente"),2,AND(AD53="FUERTE",AF53="Indirectamente"),1),"0")</f>
        <v>0</v>
      </c>
      <c r="AI53" s="521"/>
      <c r="AJ53" s="521"/>
      <c r="AK53" s="525">
        <f>+(AI53*AJ53)*4</f>
        <v>0</v>
      </c>
      <c r="AL53" s="52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529"/>
      <c r="AN53" s="189"/>
      <c r="AO53" s="188"/>
      <c r="AP53" s="191"/>
      <c r="AQ53" s="148"/>
      <c r="AR53" s="143"/>
      <c r="AS53" s="191"/>
      <c r="AT53" s="189"/>
      <c r="AU53" s="148"/>
      <c r="AV53" s="143"/>
      <c r="AW53" s="148"/>
      <c r="AX53" s="143"/>
      <c r="AY53" s="147"/>
      <c r="AZ53" s="189"/>
      <c r="BA53" s="189"/>
      <c r="BB53" s="188"/>
      <c r="BC53" s="191"/>
      <c r="BD53" s="191"/>
      <c r="BE53" s="189"/>
      <c r="BF53" s="189"/>
      <c r="BG53" s="188"/>
      <c r="BH53" s="191"/>
      <c r="BI53" s="191"/>
      <c r="BJ53" s="143"/>
      <c r="BK53" s="143"/>
      <c r="BL53" s="147"/>
      <c r="BM53" s="148"/>
      <c r="BN53" s="148"/>
      <c r="BO53" s="143"/>
      <c r="BP53" s="143"/>
      <c r="BQ53" s="147"/>
      <c r="BR53" s="148"/>
      <c r="BS53" s="148"/>
      <c r="BT53" s="148"/>
      <c r="BU53" s="143"/>
      <c r="BV53" s="143"/>
      <c r="BW53" s="143"/>
      <c r="BX53" s="148"/>
      <c r="BY53" s="143"/>
      <c r="BZ53" s="143"/>
      <c r="CA53" s="148"/>
      <c r="CB53" s="143"/>
      <c r="CC53" s="147"/>
      <c r="CD53" s="143"/>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row>
    <row r="54" spans="1:108" ht="21" customHeight="1" thickTop="1" thickBot="1" x14ac:dyDescent="0.25">
      <c r="A54" s="463"/>
      <c r="B54" s="464"/>
      <c r="C54" s="464"/>
      <c r="D54" s="464"/>
      <c r="E54" s="492"/>
      <c r="F54" s="464"/>
      <c r="G54" s="464"/>
      <c r="H54" s="464"/>
      <c r="I54" s="464"/>
      <c r="J54" s="463"/>
      <c r="K54" s="463"/>
      <c r="L54" s="525"/>
      <c r="M54" s="523"/>
      <c r="N54" s="188">
        <v>2</v>
      </c>
      <c r="O54" s="217"/>
      <c r="P54" s="189"/>
      <c r="Q54" s="189"/>
      <c r="R54" s="189"/>
      <c r="S54" s="189"/>
      <c r="T54" s="189"/>
      <c r="U54" s="189"/>
      <c r="V54" s="189"/>
      <c r="W54" s="113">
        <f t="shared" si="1"/>
        <v>0</v>
      </c>
      <c r="X54" s="114" t="str">
        <f t="shared" si="0"/>
        <v>DEBIL</v>
      </c>
      <c r="Y54" s="216"/>
      <c r="Z54" s="115" t="str">
        <f t="shared" si="2"/>
        <v/>
      </c>
      <c r="AA54" s="113" t="str">
        <f t="shared" si="3"/>
        <v>SI</v>
      </c>
      <c r="AB54" s="189"/>
      <c r="AC54" s="526"/>
      <c r="AD54" s="526"/>
      <c r="AE54" s="527"/>
      <c r="AF54" s="527"/>
      <c r="AG54" s="528"/>
      <c r="AH54" s="528"/>
      <c r="AI54" s="521"/>
      <c r="AJ54" s="521"/>
      <c r="AK54" s="525"/>
      <c r="AL54" s="523"/>
      <c r="AM54" s="530"/>
      <c r="AN54" s="189"/>
      <c r="AO54" s="188"/>
      <c r="AP54" s="191"/>
      <c r="AQ54" s="148"/>
      <c r="AR54" s="143"/>
      <c r="AS54" s="148"/>
      <c r="AT54" s="143"/>
      <c r="AU54" s="148"/>
      <c r="AV54" s="143"/>
      <c r="AW54" s="148"/>
      <c r="AX54" s="143"/>
      <c r="AY54" s="147"/>
      <c r="AZ54" s="189"/>
      <c r="BA54" s="189"/>
      <c r="BB54" s="188"/>
      <c r="BC54" s="191"/>
      <c r="BD54" s="191"/>
      <c r="BE54" s="189"/>
      <c r="BF54" s="189"/>
      <c r="BG54" s="188"/>
      <c r="BH54" s="191"/>
      <c r="BI54" s="191"/>
      <c r="BJ54" s="143"/>
      <c r="BK54" s="143"/>
      <c r="BL54" s="147"/>
      <c r="BM54" s="148"/>
      <c r="BN54" s="148"/>
      <c r="BO54" s="143"/>
      <c r="BP54" s="143"/>
      <c r="BQ54" s="147"/>
      <c r="BR54" s="148"/>
      <c r="BS54" s="148"/>
      <c r="BT54" s="148"/>
      <c r="BU54" s="143"/>
      <c r="BV54" s="143"/>
      <c r="BW54" s="143"/>
      <c r="BX54" s="148"/>
      <c r="BY54" s="143"/>
      <c r="BZ54" s="143"/>
      <c r="CA54" s="148"/>
      <c r="CB54" s="143"/>
      <c r="CC54" s="147"/>
      <c r="CD54" s="143"/>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row>
    <row r="55" spans="1:108" ht="21" customHeight="1" thickTop="1" thickBot="1" x14ac:dyDescent="0.25">
      <c r="A55" s="463"/>
      <c r="B55" s="464"/>
      <c r="C55" s="464"/>
      <c r="D55" s="464"/>
      <c r="E55" s="492"/>
      <c r="F55" s="464"/>
      <c r="G55" s="464"/>
      <c r="H55" s="464"/>
      <c r="I55" s="464"/>
      <c r="J55" s="463"/>
      <c r="K55" s="463"/>
      <c r="L55" s="525"/>
      <c r="M55" s="523"/>
      <c r="N55" s="188">
        <v>3</v>
      </c>
      <c r="O55" s="218"/>
      <c r="P55" s="189"/>
      <c r="Q55" s="189"/>
      <c r="R55" s="189"/>
      <c r="S55" s="189"/>
      <c r="T55" s="189"/>
      <c r="U55" s="189"/>
      <c r="V55" s="189"/>
      <c r="W55" s="113">
        <f t="shared" si="1"/>
        <v>0</v>
      </c>
      <c r="X55" s="114" t="str">
        <f t="shared" si="0"/>
        <v>DEBIL</v>
      </c>
      <c r="Y55" s="216"/>
      <c r="Z55" s="115" t="str">
        <f t="shared" si="2"/>
        <v/>
      </c>
      <c r="AA55" s="113" t="str">
        <f t="shared" si="3"/>
        <v>SI</v>
      </c>
      <c r="AB55" s="189"/>
      <c r="AC55" s="526"/>
      <c r="AD55" s="526"/>
      <c r="AE55" s="527"/>
      <c r="AF55" s="527"/>
      <c r="AG55" s="528"/>
      <c r="AH55" s="528"/>
      <c r="AI55" s="521"/>
      <c r="AJ55" s="521"/>
      <c r="AK55" s="525"/>
      <c r="AL55" s="523"/>
      <c r="AM55" s="530"/>
      <c r="AN55" s="189"/>
      <c r="AO55" s="188"/>
      <c r="AP55" s="191"/>
      <c r="AQ55" s="148"/>
      <c r="AR55" s="143"/>
      <c r="AS55" s="148"/>
      <c r="AT55" s="143"/>
      <c r="AU55" s="148"/>
      <c r="AV55" s="143"/>
      <c r="AW55" s="148"/>
      <c r="AX55" s="143"/>
      <c r="AY55" s="147"/>
      <c r="AZ55" s="189"/>
      <c r="BA55" s="189"/>
      <c r="BB55" s="188"/>
      <c r="BC55" s="191"/>
      <c r="BD55" s="191"/>
      <c r="BE55" s="189"/>
      <c r="BF55" s="189"/>
      <c r="BG55" s="188"/>
      <c r="BH55" s="191"/>
      <c r="BI55" s="191"/>
      <c r="BJ55" s="143"/>
      <c r="BK55" s="143"/>
      <c r="BL55" s="147"/>
      <c r="BM55" s="148"/>
      <c r="BN55" s="148"/>
      <c r="BO55" s="143"/>
      <c r="BP55" s="143"/>
      <c r="BQ55" s="147"/>
      <c r="BR55" s="148"/>
      <c r="BS55" s="148"/>
      <c r="BT55" s="148"/>
      <c r="BU55" s="143"/>
      <c r="BV55" s="143"/>
      <c r="BW55" s="143"/>
      <c r="BX55" s="148"/>
      <c r="BY55" s="143"/>
      <c r="BZ55" s="143"/>
      <c r="CA55" s="148"/>
      <c r="CB55" s="143"/>
      <c r="CC55" s="147"/>
      <c r="CD55" s="143"/>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row>
    <row r="56" spans="1:108" ht="21" customHeight="1" thickTop="1" thickBot="1" x14ac:dyDescent="0.25">
      <c r="A56" s="463"/>
      <c r="B56" s="464"/>
      <c r="C56" s="464"/>
      <c r="D56" s="464"/>
      <c r="E56" s="492"/>
      <c r="F56" s="464"/>
      <c r="G56" s="464"/>
      <c r="H56" s="464"/>
      <c r="I56" s="464"/>
      <c r="J56" s="463"/>
      <c r="K56" s="463"/>
      <c r="L56" s="525"/>
      <c r="M56" s="523"/>
      <c r="N56" s="188">
        <v>4</v>
      </c>
      <c r="O56" s="217"/>
      <c r="P56" s="189"/>
      <c r="Q56" s="189"/>
      <c r="R56" s="189"/>
      <c r="S56" s="189"/>
      <c r="T56" s="189"/>
      <c r="U56" s="189"/>
      <c r="V56" s="189"/>
      <c r="W56" s="113">
        <f t="shared" si="1"/>
        <v>0</v>
      </c>
      <c r="X56" s="114" t="str">
        <f t="shared" si="0"/>
        <v>DEBIL</v>
      </c>
      <c r="Y56" s="216"/>
      <c r="Z56" s="115" t="str">
        <f t="shared" si="2"/>
        <v/>
      </c>
      <c r="AA56" s="113" t="str">
        <f t="shared" si="3"/>
        <v>SI</v>
      </c>
      <c r="AB56" s="189"/>
      <c r="AC56" s="526"/>
      <c r="AD56" s="526"/>
      <c r="AE56" s="527"/>
      <c r="AF56" s="527"/>
      <c r="AG56" s="528"/>
      <c r="AH56" s="528"/>
      <c r="AI56" s="521"/>
      <c r="AJ56" s="521"/>
      <c r="AK56" s="525"/>
      <c r="AL56" s="523"/>
      <c r="AM56" s="530"/>
      <c r="AN56" s="189"/>
      <c r="AO56" s="188"/>
      <c r="AP56" s="191"/>
      <c r="AQ56" s="148"/>
      <c r="AR56" s="143"/>
      <c r="AS56" s="148"/>
      <c r="AT56" s="143"/>
      <c r="AU56" s="148"/>
      <c r="AV56" s="143"/>
      <c r="AW56" s="148"/>
      <c r="AX56" s="143"/>
      <c r="AY56" s="147"/>
      <c r="AZ56" s="189"/>
      <c r="BA56" s="189"/>
      <c r="BB56" s="188"/>
      <c r="BC56" s="191"/>
      <c r="BD56" s="191"/>
      <c r="BE56" s="189"/>
      <c r="BF56" s="189"/>
      <c r="BG56" s="188"/>
      <c r="BH56" s="191"/>
      <c r="BI56" s="191"/>
      <c r="BJ56" s="143"/>
      <c r="BK56" s="143"/>
      <c r="BL56" s="147"/>
      <c r="BM56" s="148"/>
      <c r="BN56" s="148"/>
      <c r="BO56" s="143"/>
      <c r="BP56" s="143"/>
      <c r="BQ56" s="147"/>
      <c r="BR56" s="148"/>
      <c r="BS56" s="148"/>
      <c r="BT56" s="148"/>
      <c r="BU56" s="143"/>
      <c r="BV56" s="143"/>
      <c r="BW56" s="143"/>
      <c r="BX56" s="148"/>
      <c r="BY56" s="143"/>
      <c r="BZ56" s="143"/>
      <c r="CA56" s="148"/>
      <c r="CB56" s="143"/>
      <c r="CC56" s="147"/>
      <c r="CD56" s="143"/>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row>
    <row r="57" spans="1:108" ht="21" customHeight="1" thickTop="1" thickBot="1" x14ac:dyDescent="0.25">
      <c r="A57" s="463"/>
      <c r="B57" s="464"/>
      <c r="C57" s="464"/>
      <c r="D57" s="464"/>
      <c r="E57" s="492"/>
      <c r="F57" s="464"/>
      <c r="G57" s="464"/>
      <c r="H57" s="464"/>
      <c r="I57" s="464"/>
      <c r="J57" s="463"/>
      <c r="K57" s="463"/>
      <c r="L57" s="525"/>
      <c r="M57" s="523"/>
      <c r="N57" s="188">
        <v>5</v>
      </c>
      <c r="O57" s="217"/>
      <c r="P57" s="189"/>
      <c r="Q57" s="189"/>
      <c r="R57" s="189"/>
      <c r="S57" s="189"/>
      <c r="T57" s="189"/>
      <c r="U57" s="189"/>
      <c r="V57" s="189"/>
      <c r="W57" s="113">
        <f t="shared" si="1"/>
        <v>0</v>
      </c>
      <c r="X57" s="114" t="str">
        <f t="shared" si="0"/>
        <v>DEBIL</v>
      </c>
      <c r="Y57" s="216"/>
      <c r="Z57" s="115" t="str">
        <f t="shared" si="2"/>
        <v/>
      </c>
      <c r="AA57" s="113" t="str">
        <f t="shared" si="3"/>
        <v>SI</v>
      </c>
      <c r="AB57" s="189"/>
      <c r="AC57" s="526"/>
      <c r="AD57" s="526"/>
      <c r="AE57" s="527"/>
      <c r="AF57" s="527"/>
      <c r="AG57" s="528"/>
      <c r="AH57" s="528"/>
      <c r="AI57" s="521"/>
      <c r="AJ57" s="521"/>
      <c r="AK57" s="525"/>
      <c r="AL57" s="523"/>
      <c r="AM57" s="530"/>
      <c r="AN57" s="189"/>
      <c r="AO57" s="188"/>
      <c r="AP57" s="191"/>
      <c r="AQ57" s="148"/>
      <c r="AR57" s="143"/>
      <c r="AS57" s="148"/>
      <c r="AT57" s="143"/>
      <c r="AU57" s="148"/>
      <c r="AV57" s="143"/>
      <c r="AW57" s="148"/>
      <c r="AX57" s="143"/>
      <c r="AY57" s="147"/>
      <c r="AZ57" s="189"/>
      <c r="BA57" s="189"/>
      <c r="BB57" s="188"/>
      <c r="BC57" s="191"/>
      <c r="BD57" s="191"/>
      <c r="BE57" s="189"/>
      <c r="BF57" s="189"/>
      <c r="BG57" s="188"/>
      <c r="BH57" s="191"/>
      <c r="BI57" s="191"/>
      <c r="BJ57" s="143"/>
      <c r="BK57" s="143"/>
      <c r="BL57" s="147"/>
      <c r="BM57" s="148"/>
      <c r="BN57" s="148"/>
      <c r="BO57" s="143"/>
      <c r="BP57" s="143"/>
      <c r="BQ57" s="147"/>
      <c r="BR57" s="148"/>
      <c r="BS57" s="148"/>
      <c r="BT57" s="148"/>
      <c r="BU57" s="143"/>
      <c r="BV57" s="143"/>
      <c r="BW57" s="143"/>
      <c r="BX57" s="148"/>
      <c r="BY57" s="143"/>
      <c r="BZ57" s="143"/>
      <c r="CA57" s="148"/>
      <c r="CB57" s="143"/>
      <c r="CC57" s="147"/>
      <c r="CD57" s="143"/>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row>
    <row r="58" spans="1:108" ht="21" customHeight="1" thickTop="1" thickBot="1" x14ac:dyDescent="0.25">
      <c r="A58" s="463"/>
      <c r="B58" s="464"/>
      <c r="C58" s="464"/>
      <c r="D58" s="464"/>
      <c r="E58" s="492"/>
      <c r="F58" s="464"/>
      <c r="G58" s="464"/>
      <c r="H58" s="464"/>
      <c r="I58" s="464"/>
      <c r="J58" s="463"/>
      <c r="K58" s="463"/>
      <c r="L58" s="525"/>
      <c r="M58" s="524"/>
      <c r="N58" s="188">
        <v>6</v>
      </c>
      <c r="O58" s="217"/>
      <c r="P58" s="189"/>
      <c r="Q58" s="189"/>
      <c r="R58" s="189"/>
      <c r="S58" s="189"/>
      <c r="T58" s="189"/>
      <c r="U58" s="189"/>
      <c r="V58" s="189"/>
      <c r="W58" s="113">
        <f t="shared" si="1"/>
        <v>0</v>
      </c>
      <c r="X58" s="114" t="str">
        <f t="shared" si="0"/>
        <v>DEBIL</v>
      </c>
      <c r="Y58" s="216"/>
      <c r="Z58" s="115" t="str">
        <f t="shared" si="2"/>
        <v/>
      </c>
      <c r="AA58" s="113" t="str">
        <f t="shared" si="3"/>
        <v>SI</v>
      </c>
      <c r="AB58" s="189"/>
      <c r="AC58" s="526"/>
      <c r="AD58" s="526"/>
      <c r="AE58" s="527"/>
      <c r="AF58" s="527"/>
      <c r="AG58" s="528"/>
      <c r="AH58" s="528"/>
      <c r="AI58" s="521"/>
      <c r="AJ58" s="521"/>
      <c r="AK58" s="525"/>
      <c r="AL58" s="524"/>
      <c r="AM58" s="531"/>
      <c r="AN58" s="189"/>
      <c r="AO58" s="188"/>
      <c r="AP58" s="191"/>
      <c r="AQ58" s="148"/>
      <c r="AR58" s="143"/>
      <c r="AS58" s="148"/>
      <c r="AT58" s="143"/>
      <c r="AU58" s="148"/>
      <c r="AV58" s="143"/>
      <c r="AW58" s="148"/>
      <c r="AX58" s="143"/>
      <c r="AY58" s="147"/>
      <c r="AZ58" s="189"/>
      <c r="BA58" s="189"/>
      <c r="BB58" s="188"/>
      <c r="BC58" s="191"/>
      <c r="BD58" s="191"/>
      <c r="BE58" s="189"/>
      <c r="BF58" s="189"/>
      <c r="BG58" s="188"/>
      <c r="BH58" s="191"/>
      <c r="BI58" s="191"/>
      <c r="BJ58" s="143"/>
      <c r="BK58" s="143"/>
      <c r="BL58" s="147"/>
      <c r="BM58" s="148"/>
      <c r="BN58" s="148"/>
      <c r="BO58" s="143"/>
      <c r="BP58" s="143"/>
      <c r="BQ58" s="147"/>
      <c r="BR58" s="148"/>
      <c r="BS58" s="148"/>
      <c r="BT58" s="148"/>
      <c r="BU58" s="143"/>
      <c r="BV58" s="143"/>
      <c r="BW58" s="143"/>
      <c r="BX58" s="148"/>
      <c r="BY58" s="143"/>
      <c r="BZ58" s="143"/>
      <c r="CA58" s="148"/>
      <c r="CB58" s="143"/>
      <c r="CC58" s="147"/>
      <c r="CD58" s="143"/>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row>
    <row r="59" spans="1:108" ht="21" customHeight="1" thickTop="1" thickBot="1" x14ac:dyDescent="0.25">
      <c r="A59" s="463"/>
      <c r="B59" s="464"/>
      <c r="C59" s="464"/>
      <c r="D59" s="464"/>
      <c r="E59" s="492"/>
      <c r="F59" s="464"/>
      <c r="G59" s="464"/>
      <c r="H59" s="464"/>
      <c r="I59" s="464"/>
      <c r="J59" s="463"/>
      <c r="K59" s="463"/>
      <c r="L59" s="525">
        <f>+(J59*K59)*4</f>
        <v>0</v>
      </c>
      <c r="M59" s="522" t="b">
        <f>IF(OR(AND(J59=3,K59=4),AND(J59=2,K59=5),AND(J59=2,K59=5),AND(L59=20),AND(L59&gt;=52,L59&lt;=100)),"ZONA RIESGO EXTREMA",IF(OR(AND(J59=5,K59=2),AND(J59=4,K59=3),AND(J59=1,K59=4),AND(L59=16),AND(L59&gt;=28,L59&lt;=48)),"ZONA RIESGO ALTA",IF(OR(AND(J59=1,K59=3),AND(J59=4,K59=1),AND(L59=24)),"ZONA RIESGO MODERADA",IF(AND(L59&gt;=4,L59&lt;=16),"ZONA RIESGO BAJA"))))</f>
        <v>0</v>
      </c>
      <c r="N59" s="188">
        <v>1</v>
      </c>
      <c r="O59" s="217"/>
      <c r="P59" s="189"/>
      <c r="Q59" s="189"/>
      <c r="R59" s="189"/>
      <c r="S59" s="189"/>
      <c r="T59" s="189"/>
      <c r="U59" s="189"/>
      <c r="V59" s="189"/>
      <c r="W59" s="113">
        <f t="shared" si="1"/>
        <v>0</v>
      </c>
      <c r="X59" s="114" t="str">
        <f t="shared" si="0"/>
        <v>DEBIL</v>
      </c>
      <c r="Y59" s="216"/>
      <c r="Z59" s="115" t="str">
        <f t="shared" si="2"/>
        <v/>
      </c>
      <c r="AA59" s="113" t="str">
        <f t="shared" si="3"/>
        <v>SI</v>
      </c>
      <c r="AB59" s="189"/>
      <c r="AC59" s="526">
        <f>IF(AND(W59&gt;0,SUM(W60:W64)=0),W59,IF(AND(SUM(W59:W60)&gt;0,SUM(W61:W64)=0),AVERAGE(W59:W60),IF(AND(SUM(W59:W61)&gt;0,SUM(W62:W64)=0),AVERAGE(W59:W61),IF(AND(SUM(W59:W62)&gt;0,SUM(W63:W64)=0),AVERAGE(W59:W62),IF(AND(SUM(W59:W63)&gt;0,W64=0),AVERAGE(W59:W63),AVERAGE(W59:W64))))))</f>
        <v>0</v>
      </c>
      <c r="AD59" s="526" t="str">
        <f>IF(AND(AC59&gt;=50,AC59&lt;=99),"MODERADO",IF(AND(AC59=100), "FUERTE",IF(AND(AC59&lt;50), "DEBIL")))</f>
        <v>DEBIL</v>
      </c>
      <c r="AE59" s="527"/>
      <c r="AF59" s="527"/>
      <c r="AG59" s="528" t="str">
        <f>IFERROR(_xlfn.IFS(AND(AD59="MODERADO",AE59="Directamente"),1,AND(AD59="FUERTE",AE59="Directamente"),2),"0")</f>
        <v>0</v>
      </c>
      <c r="AH59" s="528" t="str">
        <f>IFERROR(_xlfn.IFS(AND(AD59="MODERADO",AF59="Directamente"),1,AND(AD59="FUERTE",AF59="Directamente"),2,AND(AD59="FUERTE",AF59="Indirectamente"),1),"0")</f>
        <v>0</v>
      </c>
      <c r="AI59" s="521"/>
      <c r="AJ59" s="521"/>
      <c r="AK59" s="525">
        <f>+(AI59*AJ59)*4</f>
        <v>0</v>
      </c>
      <c r="AL59" s="52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529"/>
      <c r="AN59" s="189"/>
      <c r="AO59" s="188"/>
      <c r="AP59" s="191"/>
      <c r="AQ59" s="148"/>
      <c r="AR59" s="143"/>
      <c r="AS59" s="148"/>
      <c r="AT59" s="143"/>
      <c r="AU59" s="148"/>
      <c r="AV59" s="143"/>
      <c r="AW59" s="148"/>
      <c r="AX59" s="143"/>
      <c r="AY59" s="147"/>
      <c r="AZ59" s="143"/>
      <c r="BA59" s="143"/>
      <c r="BB59" s="147"/>
      <c r="BC59" s="148"/>
      <c r="BD59" s="148"/>
      <c r="BE59" s="189"/>
      <c r="BF59" s="189"/>
      <c r="BG59" s="188"/>
      <c r="BH59" s="191"/>
      <c r="BI59" s="191"/>
      <c r="BJ59" s="143"/>
      <c r="BK59" s="143"/>
      <c r="BL59" s="147"/>
      <c r="BM59" s="148"/>
      <c r="BN59" s="148"/>
      <c r="BO59" s="143"/>
      <c r="BP59" s="143"/>
      <c r="BQ59" s="147"/>
      <c r="BR59" s="148"/>
      <c r="BS59" s="148"/>
      <c r="BT59" s="148"/>
      <c r="BU59" s="143"/>
      <c r="BV59" s="143"/>
      <c r="BW59" s="143"/>
      <c r="BX59" s="148"/>
      <c r="BY59" s="143"/>
      <c r="BZ59" s="143"/>
      <c r="CA59" s="148"/>
      <c r="CB59" s="143"/>
      <c r="CC59" s="147"/>
      <c r="CD59" s="143"/>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row>
    <row r="60" spans="1:108" ht="21" customHeight="1" thickTop="1" thickBot="1" x14ac:dyDescent="0.25">
      <c r="A60" s="463"/>
      <c r="B60" s="464"/>
      <c r="C60" s="464"/>
      <c r="D60" s="464"/>
      <c r="E60" s="492"/>
      <c r="F60" s="464"/>
      <c r="G60" s="464"/>
      <c r="H60" s="464"/>
      <c r="I60" s="464"/>
      <c r="J60" s="463"/>
      <c r="K60" s="463"/>
      <c r="L60" s="525"/>
      <c r="M60" s="523"/>
      <c r="N60" s="188">
        <v>2</v>
      </c>
      <c r="O60" s="217"/>
      <c r="P60" s="189"/>
      <c r="Q60" s="189"/>
      <c r="R60" s="189"/>
      <c r="S60" s="189"/>
      <c r="T60" s="189"/>
      <c r="U60" s="189"/>
      <c r="V60" s="189"/>
      <c r="W60" s="113">
        <f t="shared" si="1"/>
        <v>0</v>
      </c>
      <c r="X60" s="114" t="str">
        <f t="shared" si="0"/>
        <v>DEBIL</v>
      </c>
      <c r="Y60" s="216"/>
      <c r="Z60" s="115" t="str">
        <f t="shared" si="2"/>
        <v/>
      </c>
      <c r="AA60" s="113" t="str">
        <f t="shared" si="3"/>
        <v>SI</v>
      </c>
      <c r="AB60" s="189"/>
      <c r="AC60" s="526"/>
      <c r="AD60" s="526"/>
      <c r="AE60" s="527"/>
      <c r="AF60" s="527"/>
      <c r="AG60" s="528"/>
      <c r="AH60" s="528"/>
      <c r="AI60" s="521"/>
      <c r="AJ60" s="521"/>
      <c r="AK60" s="525"/>
      <c r="AL60" s="523"/>
      <c r="AM60" s="530"/>
      <c r="AN60" s="189"/>
      <c r="AO60" s="188"/>
      <c r="AP60" s="191"/>
      <c r="AQ60" s="148"/>
      <c r="AR60" s="143"/>
      <c r="AS60" s="148"/>
      <c r="AT60" s="143"/>
      <c r="AU60" s="148"/>
      <c r="AV60" s="143"/>
      <c r="AW60" s="148"/>
      <c r="AX60" s="143"/>
      <c r="AY60" s="147"/>
      <c r="AZ60" s="143"/>
      <c r="BA60" s="143"/>
      <c r="BB60" s="147"/>
      <c r="BC60" s="148"/>
      <c r="BD60" s="148"/>
      <c r="BE60" s="189"/>
      <c r="BF60" s="189"/>
      <c r="BG60" s="188"/>
      <c r="BH60" s="191"/>
      <c r="BI60" s="191"/>
      <c r="BJ60" s="143"/>
      <c r="BK60" s="143"/>
      <c r="BL60" s="147"/>
      <c r="BM60" s="148"/>
      <c r="BN60" s="148"/>
      <c r="BO60" s="143"/>
      <c r="BP60" s="143"/>
      <c r="BQ60" s="147"/>
      <c r="BR60" s="148"/>
      <c r="BS60" s="148"/>
      <c r="BT60" s="148"/>
      <c r="BU60" s="143"/>
      <c r="BV60" s="143"/>
      <c r="BW60" s="143"/>
      <c r="BX60" s="148"/>
      <c r="BY60" s="143"/>
      <c r="BZ60" s="143"/>
      <c r="CA60" s="148"/>
      <c r="CB60" s="143"/>
      <c r="CC60" s="147"/>
      <c r="CD60" s="143"/>
    </row>
    <row r="61" spans="1:108" ht="21" customHeight="1" thickTop="1" thickBot="1" x14ac:dyDescent="0.25">
      <c r="A61" s="463"/>
      <c r="B61" s="464"/>
      <c r="C61" s="464"/>
      <c r="D61" s="464"/>
      <c r="E61" s="492"/>
      <c r="F61" s="464"/>
      <c r="G61" s="464"/>
      <c r="H61" s="464"/>
      <c r="I61" s="464"/>
      <c r="J61" s="463"/>
      <c r="K61" s="463"/>
      <c r="L61" s="525"/>
      <c r="M61" s="523"/>
      <c r="N61" s="188">
        <v>3</v>
      </c>
      <c r="O61" s="218"/>
      <c r="P61" s="189"/>
      <c r="Q61" s="189"/>
      <c r="R61" s="189"/>
      <c r="S61" s="189"/>
      <c r="T61" s="189"/>
      <c r="U61" s="189"/>
      <c r="V61" s="189"/>
      <c r="W61" s="113">
        <f t="shared" si="1"/>
        <v>0</v>
      </c>
      <c r="X61" s="114" t="str">
        <f t="shared" si="0"/>
        <v>DEBIL</v>
      </c>
      <c r="Y61" s="216"/>
      <c r="Z61" s="115" t="str">
        <f t="shared" si="2"/>
        <v/>
      </c>
      <c r="AA61" s="113" t="str">
        <f t="shared" si="3"/>
        <v>SI</v>
      </c>
      <c r="AB61" s="189"/>
      <c r="AC61" s="526"/>
      <c r="AD61" s="526"/>
      <c r="AE61" s="527"/>
      <c r="AF61" s="527"/>
      <c r="AG61" s="528"/>
      <c r="AH61" s="528"/>
      <c r="AI61" s="521"/>
      <c r="AJ61" s="521"/>
      <c r="AK61" s="525"/>
      <c r="AL61" s="523"/>
      <c r="AM61" s="530"/>
      <c r="AN61" s="189"/>
      <c r="AO61" s="188"/>
      <c r="AP61" s="191"/>
      <c r="AQ61" s="148"/>
      <c r="AR61" s="143"/>
      <c r="AS61" s="148"/>
      <c r="AT61" s="143"/>
      <c r="AU61" s="148"/>
      <c r="AV61" s="143"/>
      <c r="AW61" s="148"/>
      <c r="AX61" s="143"/>
      <c r="AY61" s="147"/>
      <c r="AZ61" s="143"/>
      <c r="BA61" s="143"/>
      <c r="BB61" s="147"/>
      <c r="BC61" s="148"/>
      <c r="BD61" s="148"/>
      <c r="BE61" s="189"/>
      <c r="BF61" s="189"/>
      <c r="BG61" s="188"/>
      <c r="BH61" s="191"/>
      <c r="BI61" s="191"/>
      <c r="BJ61" s="143"/>
      <c r="BK61" s="143"/>
      <c r="BL61" s="147"/>
      <c r="BM61" s="148"/>
      <c r="BN61" s="148"/>
      <c r="BO61" s="143"/>
      <c r="BP61" s="143"/>
      <c r="BQ61" s="147"/>
      <c r="BR61" s="148"/>
      <c r="BS61" s="148"/>
      <c r="BT61" s="148"/>
      <c r="BU61" s="143"/>
      <c r="BV61" s="143"/>
      <c r="BW61" s="143"/>
      <c r="BX61" s="148"/>
      <c r="BY61" s="143"/>
      <c r="BZ61" s="143"/>
      <c r="CA61" s="148"/>
      <c r="CB61" s="143"/>
      <c r="CC61" s="147"/>
      <c r="CD61" s="143"/>
    </row>
    <row r="62" spans="1:108" ht="21" customHeight="1" thickTop="1" thickBot="1" x14ac:dyDescent="0.25">
      <c r="A62" s="463"/>
      <c r="B62" s="464"/>
      <c r="C62" s="464"/>
      <c r="D62" s="464"/>
      <c r="E62" s="492"/>
      <c r="F62" s="464"/>
      <c r="G62" s="464"/>
      <c r="H62" s="464"/>
      <c r="I62" s="464"/>
      <c r="J62" s="463"/>
      <c r="K62" s="463"/>
      <c r="L62" s="525"/>
      <c r="M62" s="523"/>
      <c r="N62" s="188">
        <v>4</v>
      </c>
      <c r="O62" s="217"/>
      <c r="P62" s="189"/>
      <c r="Q62" s="189"/>
      <c r="R62" s="189"/>
      <c r="S62" s="189"/>
      <c r="T62" s="189"/>
      <c r="U62" s="189"/>
      <c r="V62" s="189"/>
      <c r="W62" s="113">
        <f t="shared" si="1"/>
        <v>0</v>
      </c>
      <c r="X62" s="114" t="str">
        <f t="shared" si="0"/>
        <v>DEBIL</v>
      </c>
      <c r="Y62" s="216"/>
      <c r="Z62" s="115" t="str">
        <f t="shared" si="2"/>
        <v/>
      </c>
      <c r="AA62" s="113" t="str">
        <f t="shared" si="3"/>
        <v>SI</v>
      </c>
      <c r="AB62" s="189"/>
      <c r="AC62" s="526"/>
      <c r="AD62" s="526"/>
      <c r="AE62" s="527"/>
      <c r="AF62" s="527"/>
      <c r="AG62" s="528"/>
      <c r="AH62" s="528"/>
      <c r="AI62" s="521"/>
      <c r="AJ62" s="521"/>
      <c r="AK62" s="525"/>
      <c r="AL62" s="523"/>
      <c r="AM62" s="530"/>
      <c r="AN62" s="189"/>
      <c r="AO62" s="188"/>
      <c r="AP62" s="191"/>
      <c r="AQ62" s="148"/>
      <c r="AR62" s="143"/>
      <c r="AS62" s="148"/>
      <c r="AT62" s="143"/>
      <c r="AU62" s="148"/>
      <c r="AV62" s="143"/>
      <c r="AW62" s="148"/>
      <c r="AX62" s="143"/>
      <c r="AY62" s="147"/>
      <c r="AZ62" s="143"/>
      <c r="BA62" s="143"/>
      <c r="BB62" s="147"/>
      <c r="BC62" s="148"/>
      <c r="BD62" s="148"/>
      <c r="BE62" s="189"/>
      <c r="BF62" s="189"/>
      <c r="BG62" s="188"/>
      <c r="BH62" s="191"/>
      <c r="BI62" s="191"/>
      <c r="BJ62" s="143"/>
      <c r="BK62" s="143"/>
      <c r="BL62" s="147"/>
      <c r="BM62" s="148"/>
      <c r="BN62" s="148"/>
      <c r="BO62" s="143"/>
      <c r="BP62" s="143"/>
      <c r="BQ62" s="147"/>
      <c r="BR62" s="148"/>
      <c r="BS62" s="148"/>
      <c r="BT62" s="148"/>
      <c r="BU62" s="143"/>
      <c r="BV62" s="143"/>
      <c r="BW62" s="143"/>
      <c r="BX62" s="148"/>
      <c r="BY62" s="143"/>
      <c r="BZ62" s="143"/>
      <c r="CA62" s="148"/>
      <c r="CB62" s="143"/>
      <c r="CC62" s="147"/>
      <c r="CD62" s="143"/>
    </row>
    <row r="63" spans="1:108" ht="21" customHeight="1" thickTop="1" thickBot="1" x14ac:dyDescent="0.25">
      <c r="A63" s="463"/>
      <c r="B63" s="464"/>
      <c r="C63" s="464"/>
      <c r="D63" s="464"/>
      <c r="E63" s="492"/>
      <c r="F63" s="464"/>
      <c r="G63" s="464"/>
      <c r="H63" s="464"/>
      <c r="I63" s="464"/>
      <c r="J63" s="463"/>
      <c r="K63" s="463"/>
      <c r="L63" s="525"/>
      <c r="M63" s="523"/>
      <c r="N63" s="188">
        <v>5</v>
      </c>
      <c r="O63" s="217"/>
      <c r="P63" s="189"/>
      <c r="Q63" s="189"/>
      <c r="R63" s="189"/>
      <c r="S63" s="189"/>
      <c r="T63" s="189"/>
      <c r="U63" s="189"/>
      <c r="V63" s="189"/>
      <c r="W63" s="113">
        <f t="shared" si="1"/>
        <v>0</v>
      </c>
      <c r="X63" s="114" t="str">
        <f t="shared" si="0"/>
        <v>DEBIL</v>
      </c>
      <c r="Y63" s="216"/>
      <c r="Z63" s="115" t="str">
        <f t="shared" si="2"/>
        <v/>
      </c>
      <c r="AA63" s="113" t="str">
        <f t="shared" si="3"/>
        <v>SI</v>
      </c>
      <c r="AB63" s="189"/>
      <c r="AC63" s="526"/>
      <c r="AD63" s="526"/>
      <c r="AE63" s="527"/>
      <c r="AF63" s="527"/>
      <c r="AG63" s="528"/>
      <c r="AH63" s="528"/>
      <c r="AI63" s="521"/>
      <c r="AJ63" s="521"/>
      <c r="AK63" s="525"/>
      <c r="AL63" s="523"/>
      <c r="AM63" s="530"/>
      <c r="AN63" s="189"/>
      <c r="AO63" s="188"/>
      <c r="AP63" s="191"/>
      <c r="AQ63" s="148"/>
      <c r="AR63" s="143"/>
      <c r="AS63" s="148"/>
      <c r="AT63" s="143"/>
      <c r="AU63" s="148"/>
      <c r="AV63" s="143"/>
      <c r="AW63" s="148"/>
      <c r="AX63" s="143"/>
      <c r="AY63" s="147"/>
      <c r="AZ63" s="143"/>
      <c r="BA63" s="143"/>
      <c r="BB63" s="147"/>
      <c r="BC63" s="148"/>
      <c r="BD63" s="148"/>
      <c r="BE63" s="189"/>
      <c r="BF63" s="189"/>
      <c r="BG63" s="188"/>
      <c r="BH63" s="191"/>
      <c r="BI63" s="191"/>
      <c r="BJ63" s="143"/>
      <c r="BK63" s="143"/>
      <c r="BL63" s="147"/>
      <c r="BM63" s="148"/>
      <c r="BN63" s="148"/>
      <c r="BO63" s="143"/>
      <c r="BP63" s="143"/>
      <c r="BQ63" s="147"/>
      <c r="BR63" s="148"/>
      <c r="BS63" s="148"/>
      <c r="BT63" s="148"/>
      <c r="BU63" s="143"/>
      <c r="BV63" s="143"/>
      <c r="BW63" s="143"/>
      <c r="BX63" s="148"/>
      <c r="BY63" s="143"/>
      <c r="BZ63" s="143"/>
      <c r="CA63" s="148"/>
      <c r="CB63" s="143"/>
      <c r="CC63" s="147"/>
      <c r="CD63" s="143"/>
    </row>
    <row r="64" spans="1:108" ht="21" customHeight="1" thickTop="1" thickBot="1" x14ac:dyDescent="0.25">
      <c r="A64" s="463"/>
      <c r="B64" s="464"/>
      <c r="C64" s="464"/>
      <c r="D64" s="464"/>
      <c r="E64" s="492"/>
      <c r="F64" s="464"/>
      <c r="G64" s="464"/>
      <c r="H64" s="464"/>
      <c r="I64" s="464"/>
      <c r="J64" s="463"/>
      <c r="K64" s="463"/>
      <c r="L64" s="525"/>
      <c r="M64" s="524"/>
      <c r="N64" s="188">
        <v>6</v>
      </c>
      <c r="O64" s="217"/>
      <c r="P64" s="189"/>
      <c r="Q64" s="189"/>
      <c r="R64" s="189"/>
      <c r="S64" s="189"/>
      <c r="T64" s="189"/>
      <c r="U64" s="189"/>
      <c r="V64" s="189"/>
      <c r="W64" s="113">
        <f t="shared" si="1"/>
        <v>0</v>
      </c>
      <c r="X64" s="114" t="str">
        <f t="shared" si="0"/>
        <v>DEBIL</v>
      </c>
      <c r="Y64" s="216"/>
      <c r="Z64" s="115" t="str">
        <f t="shared" si="2"/>
        <v/>
      </c>
      <c r="AA64" s="113" t="str">
        <f t="shared" si="3"/>
        <v>SI</v>
      </c>
      <c r="AB64" s="189"/>
      <c r="AC64" s="526"/>
      <c r="AD64" s="526"/>
      <c r="AE64" s="527"/>
      <c r="AF64" s="527"/>
      <c r="AG64" s="528"/>
      <c r="AH64" s="528"/>
      <c r="AI64" s="521"/>
      <c r="AJ64" s="521"/>
      <c r="AK64" s="525"/>
      <c r="AL64" s="524"/>
      <c r="AM64" s="531"/>
      <c r="AN64" s="189"/>
      <c r="AO64" s="188"/>
      <c r="AP64" s="191"/>
      <c r="AQ64" s="148"/>
      <c r="AR64" s="143"/>
      <c r="AS64" s="148"/>
      <c r="AT64" s="143"/>
      <c r="AU64" s="148"/>
      <c r="AV64" s="143"/>
      <c r="AW64" s="148"/>
      <c r="AX64" s="143"/>
      <c r="AY64" s="147"/>
      <c r="AZ64" s="143"/>
      <c r="BA64" s="143"/>
      <c r="BB64" s="147"/>
      <c r="BC64" s="148"/>
      <c r="BD64" s="148"/>
      <c r="BE64" s="143"/>
      <c r="BF64" s="143"/>
      <c r="BG64" s="147"/>
      <c r="BH64" s="148"/>
      <c r="BI64" s="148"/>
      <c r="BJ64" s="143"/>
      <c r="BK64" s="143"/>
      <c r="BL64" s="147"/>
      <c r="BM64" s="148"/>
      <c r="BN64" s="148"/>
      <c r="BO64" s="143"/>
      <c r="BP64" s="143"/>
      <c r="BQ64" s="147"/>
      <c r="BR64" s="148"/>
      <c r="BS64" s="148"/>
      <c r="BT64" s="148"/>
      <c r="BU64" s="143"/>
      <c r="BV64" s="143"/>
      <c r="BW64" s="143"/>
      <c r="BX64" s="148"/>
      <c r="BY64" s="143"/>
      <c r="BZ64" s="143"/>
      <c r="CA64" s="148"/>
      <c r="CB64" s="143"/>
      <c r="CC64" s="147"/>
      <c r="CD64" s="143"/>
    </row>
    <row r="65" ht="21" customHeight="1" thickTop="1" x14ac:dyDescent="0.2"/>
  </sheetData>
  <sheetProtection algorithmName="SHA-512" hashValue="Oby2kSeMr7928TsS2CvH3qQz8bmOd/taEVQcudSHkFD7eo3yGXryvAQ26jGj2MZWcveFOWyUg9qPDY0aIP2Uqw==" saltValue="xkvhdhcoPjZFlzeWi58pgQ=="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AY5:AY8 AY10:AY64</xm:sqref>
        </x14:dataValidation>
        <x14:dataValidation type="list" allowBlank="1" showInputMessage="1" showErrorMessage="1" xr:uid="{839850E5-79EC-4688-B708-D770704F85D2}">
          <x14:formula1>
            <xm:f>Hoja1!$A$23:$A$24</xm:f>
          </x14:formula1>
          <xm:sqref>BS5:BS64 BI5:BI64 BN5:BN64 BD13:BD64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abSelected="1" topLeftCell="BU1" zoomScale="80" zoomScaleNormal="80" zoomScaleSheetLayoutView="10" zoomScalePageLayoutView="55" workbookViewId="0">
      <selection activeCell="CD7" sqref="CD7"/>
    </sheetView>
  </sheetViews>
  <sheetFormatPr baseColWidth="10" defaultColWidth="11.42578125" defaultRowHeight="33" customHeight="1" x14ac:dyDescent="0.25"/>
  <cols>
    <col min="1" max="1" width="4" style="205" bestFit="1" customWidth="1"/>
    <col min="2" max="4" width="18.7109375" style="206" customWidth="1"/>
    <col min="5" max="5" width="32.42578125" style="207" customWidth="1"/>
    <col min="6" max="7" width="18.7109375" style="206" customWidth="1"/>
    <col min="8" max="8" width="14.140625" style="205" customWidth="1"/>
    <col min="9" max="9" width="23.140625" style="205" customWidth="1"/>
    <col min="10" max="10" width="18.85546875" style="205" customWidth="1"/>
    <col min="11" max="11" width="19" style="208" customWidth="1"/>
    <col min="12" max="12" width="32.42578125" style="207" customWidth="1"/>
    <col min="13" max="13" width="17.85546875" style="207" customWidth="1"/>
    <col min="14" max="14" width="18.85546875" style="207" customWidth="1"/>
    <col min="15" max="15" width="6.28515625" style="207" bestFit="1" customWidth="1"/>
    <col min="16" max="16" width="38.85546875" style="207" customWidth="1"/>
    <col min="17" max="17" width="19.85546875" style="207" customWidth="1"/>
    <col min="18" max="18" width="17.5703125" style="207" customWidth="1"/>
    <col min="19" max="19" width="6.28515625" style="207" bestFit="1" customWidth="1"/>
    <col min="20" max="20" width="16" style="207" customWidth="1"/>
    <col min="21" max="21" width="5.85546875" style="207" customWidth="1"/>
    <col min="22" max="22" width="31" style="207" customWidth="1"/>
    <col min="23" max="24" width="15.140625" style="207" hidden="1" customWidth="1"/>
    <col min="25" max="25" width="21" style="207" hidden="1" customWidth="1"/>
    <col min="26" max="26" width="19.28515625" style="207" hidden="1" customWidth="1"/>
    <col min="27" max="27" width="28.42578125" style="207" hidden="1" customWidth="1"/>
    <col min="28" max="28" width="6.85546875" style="207" hidden="1" customWidth="1"/>
    <col min="29" max="29" width="5" style="207" hidden="1" customWidth="1"/>
    <col min="30" max="30" width="5.5703125" style="207" hidden="1" customWidth="1"/>
    <col min="31" max="31" width="7.140625" style="207" hidden="1" customWidth="1"/>
    <col min="32" max="32" width="6.7109375" style="207" hidden="1" customWidth="1"/>
    <col min="33" max="33" width="7.5703125" style="207" hidden="1" customWidth="1"/>
    <col min="34" max="34" width="8.140625" style="207" hidden="1" customWidth="1"/>
    <col min="35" max="35" width="8.7109375" style="207" hidden="1" customWidth="1"/>
    <col min="36" max="36" width="10.42578125" style="207" hidden="1" customWidth="1"/>
    <col min="37" max="37" width="9.28515625" style="207" hidden="1" customWidth="1"/>
    <col min="38" max="38" width="9.140625" style="207" hidden="1" customWidth="1"/>
    <col min="39" max="39" width="8.42578125" style="207" hidden="1" customWidth="1"/>
    <col min="40" max="40" width="7.28515625" style="207" hidden="1" customWidth="1"/>
    <col min="41" max="41" width="23" style="207" customWidth="1"/>
    <col min="42" max="42" width="18.85546875" style="207" customWidth="1"/>
    <col min="43" max="43" width="22.140625" style="207" customWidth="1"/>
    <col min="44" max="44" width="20.5703125" style="150" hidden="1" customWidth="1"/>
    <col min="45" max="45" width="18.5703125" style="150" hidden="1" customWidth="1"/>
    <col min="46" max="46" width="20.5703125" style="150" customWidth="1"/>
    <col min="47" max="47" width="18.5703125" style="150" customWidth="1"/>
    <col min="48" max="48" width="20.5703125" style="150" customWidth="1"/>
    <col min="49" max="49" width="18.5703125" style="150" customWidth="1"/>
    <col min="50" max="50" width="20.5703125" style="150" hidden="1" customWidth="1"/>
    <col min="51" max="51" width="18.5703125" style="150" hidden="1" customWidth="1"/>
    <col min="52" max="52" width="21" style="150" hidden="1" customWidth="1"/>
    <col min="53" max="54" width="23" style="150" hidden="1" customWidth="1"/>
    <col min="55" max="55" width="18.85546875" style="150" hidden="1" customWidth="1"/>
    <col min="56" max="56" width="16.85546875" style="150" hidden="1" customWidth="1"/>
    <col min="57" max="57" width="19.5703125" style="150" hidden="1" customWidth="1"/>
    <col min="58" max="59" width="23" style="150" customWidth="1"/>
    <col min="60" max="60" width="18.85546875" style="150" customWidth="1"/>
    <col min="61" max="61" width="16.85546875" style="150" customWidth="1"/>
    <col min="62" max="62" width="19.5703125" style="150" customWidth="1"/>
    <col min="63" max="64" width="23" style="150" customWidth="1"/>
    <col min="65" max="65" width="18.85546875" style="150" customWidth="1"/>
    <col min="66" max="66" width="16.85546875" style="150" customWidth="1"/>
    <col min="67" max="67" width="19.5703125" style="150" customWidth="1"/>
    <col min="68" max="69" width="23" style="150" hidden="1" customWidth="1"/>
    <col min="70" max="70" width="18.85546875" style="150" hidden="1" customWidth="1"/>
    <col min="71" max="71" width="16.85546875" style="150" hidden="1" customWidth="1"/>
    <col min="72" max="72" width="19.5703125" style="150" hidden="1" customWidth="1"/>
    <col min="73" max="73" width="20.5703125" style="150" customWidth="1"/>
    <col min="74" max="75" width="23" style="150" customWidth="1"/>
    <col min="76" max="76" width="18.5703125" style="150" customWidth="1"/>
    <col min="77" max="77" width="20.5703125" style="150" customWidth="1"/>
    <col min="78" max="78" width="23" style="150" customWidth="1"/>
    <col min="79" max="79" width="18.5703125" style="150" customWidth="1"/>
    <col min="80" max="80" width="20.5703125" style="750" customWidth="1"/>
    <col min="81" max="81" width="63.5703125" style="150" customWidth="1"/>
    <col min="82" max="82" width="40" style="150" customWidth="1"/>
    <col min="83" max="83" width="38.7109375" style="150" customWidth="1"/>
    <col min="84" max="16384" width="11.42578125" style="150"/>
  </cols>
  <sheetData>
    <row r="1" spans="1:109" ht="33" customHeight="1" x14ac:dyDescent="0.25">
      <c r="A1" s="192"/>
      <c r="B1" s="193"/>
      <c r="C1" s="193"/>
      <c r="D1" s="193"/>
      <c r="E1" s="194"/>
      <c r="F1" s="193"/>
      <c r="G1" s="193"/>
      <c r="H1" s="195"/>
      <c r="I1" s="195"/>
      <c r="J1" s="195"/>
      <c r="K1" s="196"/>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748"/>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row>
    <row r="2" spans="1:109" ht="33" customHeight="1" x14ac:dyDescent="0.25">
      <c r="A2" s="557" t="s">
        <v>145</v>
      </c>
      <c r="B2" s="558"/>
      <c r="C2" s="558"/>
      <c r="D2" s="558"/>
      <c r="E2" s="558"/>
      <c r="F2" s="558"/>
      <c r="G2" s="558"/>
      <c r="H2" s="558"/>
      <c r="I2" s="558"/>
      <c r="J2" s="558"/>
      <c r="K2" s="558"/>
      <c r="L2" s="559"/>
      <c r="M2" s="557" t="s">
        <v>146</v>
      </c>
      <c r="N2" s="558"/>
      <c r="O2" s="558"/>
      <c r="P2" s="558"/>
      <c r="Q2" s="558"/>
      <c r="R2" s="558"/>
      <c r="S2" s="558"/>
      <c r="T2" s="559"/>
      <c r="U2" s="564" t="s">
        <v>147</v>
      </c>
      <c r="V2" s="564"/>
      <c r="W2" s="564"/>
      <c r="X2" s="564"/>
      <c r="Y2" s="564"/>
      <c r="Z2" s="564"/>
      <c r="AA2" s="564"/>
      <c r="AB2" s="564"/>
      <c r="AC2" s="564"/>
      <c r="AD2" s="564"/>
      <c r="AE2" s="564"/>
      <c r="AF2" s="564"/>
      <c r="AG2" s="564"/>
      <c r="AH2" s="564" t="s">
        <v>148</v>
      </c>
      <c r="AI2" s="564"/>
      <c r="AJ2" s="564"/>
      <c r="AK2" s="564"/>
      <c r="AL2" s="564"/>
      <c r="AM2" s="564"/>
      <c r="AN2" s="564"/>
      <c r="AO2" s="548" t="s">
        <v>149</v>
      </c>
      <c r="AP2" s="548"/>
      <c r="AQ2" s="548"/>
      <c r="AR2" s="548"/>
      <c r="AS2" s="548"/>
      <c r="AT2" s="548"/>
      <c r="AU2" s="548"/>
      <c r="AV2" s="548"/>
      <c r="AW2" s="548"/>
      <c r="AX2" s="548"/>
      <c r="AY2" s="548"/>
      <c r="AZ2" s="548"/>
      <c r="BA2" s="549" t="s">
        <v>150</v>
      </c>
      <c r="BB2" s="549"/>
      <c r="BC2" s="549"/>
      <c r="BD2" s="549"/>
      <c r="BE2" s="549"/>
      <c r="BF2" s="549" t="s">
        <v>151</v>
      </c>
      <c r="BG2" s="549"/>
      <c r="BH2" s="549"/>
      <c r="BI2" s="549"/>
      <c r="BJ2" s="549"/>
      <c r="BK2" s="549" t="s">
        <v>152</v>
      </c>
      <c r="BL2" s="549"/>
      <c r="BM2" s="549"/>
      <c r="BN2" s="549"/>
      <c r="BO2" s="549"/>
      <c r="BP2" s="549" t="s">
        <v>153</v>
      </c>
      <c r="BQ2" s="549"/>
      <c r="BR2" s="549"/>
      <c r="BS2" s="549"/>
      <c r="BT2" s="549"/>
      <c r="BU2" s="560" t="s">
        <v>154</v>
      </c>
      <c r="BV2" s="560"/>
      <c r="BW2" s="560"/>
      <c r="BX2" s="560"/>
      <c r="BY2" s="561" t="s">
        <v>155</v>
      </c>
      <c r="BZ2" s="561"/>
      <c r="CA2" s="561"/>
      <c r="CB2" s="554" t="s">
        <v>156</v>
      </c>
      <c r="CC2" s="555"/>
      <c r="CD2" s="555"/>
      <c r="CE2" s="556"/>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row>
    <row r="3" spans="1:109" ht="33" customHeight="1" x14ac:dyDescent="0.25">
      <c r="A3" s="562" t="s">
        <v>157</v>
      </c>
      <c r="B3" s="563" t="s">
        <v>7</v>
      </c>
      <c r="C3" s="563" t="s">
        <v>9</v>
      </c>
      <c r="D3" s="563" t="s">
        <v>11</v>
      </c>
      <c r="E3" s="564" t="s">
        <v>21</v>
      </c>
      <c r="F3" s="563" t="s">
        <v>367</v>
      </c>
      <c r="G3" s="563" t="s">
        <v>368</v>
      </c>
      <c r="H3" s="564" t="s">
        <v>15</v>
      </c>
      <c r="I3" s="564" t="s">
        <v>369</v>
      </c>
      <c r="J3" s="564" t="s">
        <v>370</v>
      </c>
      <c r="K3" s="563" t="s">
        <v>23</v>
      </c>
      <c r="L3" s="564" t="s">
        <v>371</v>
      </c>
      <c r="M3" s="563" t="s">
        <v>160</v>
      </c>
      <c r="N3" s="563" t="s">
        <v>161</v>
      </c>
      <c r="O3" s="564" t="s">
        <v>162</v>
      </c>
      <c r="P3" s="563" t="s">
        <v>163</v>
      </c>
      <c r="Q3" s="563" t="s">
        <v>164</v>
      </c>
      <c r="R3" s="563" t="s">
        <v>165</v>
      </c>
      <c r="S3" s="564" t="s">
        <v>162</v>
      </c>
      <c r="T3" s="563" t="s">
        <v>29</v>
      </c>
      <c r="U3" s="565" t="s">
        <v>166</v>
      </c>
      <c r="V3" s="563" t="s">
        <v>31</v>
      </c>
      <c r="W3" s="563" t="s">
        <v>33</v>
      </c>
      <c r="X3" s="566" t="s">
        <v>167</v>
      </c>
      <c r="Y3" s="567"/>
      <c r="Z3" s="567"/>
      <c r="AA3" s="568"/>
      <c r="AB3" s="563" t="s">
        <v>168</v>
      </c>
      <c r="AC3" s="563"/>
      <c r="AD3" s="563"/>
      <c r="AE3" s="563"/>
      <c r="AF3" s="563"/>
      <c r="AG3" s="563"/>
      <c r="AH3" s="565" t="s">
        <v>169</v>
      </c>
      <c r="AI3" s="565" t="s">
        <v>170</v>
      </c>
      <c r="AJ3" s="565" t="s">
        <v>162</v>
      </c>
      <c r="AK3" s="565" t="s">
        <v>171</v>
      </c>
      <c r="AL3" s="565" t="s">
        <v>162</v>
      </c>
      <c r="AM3" s="565" t="s">
        <v>172</v>
      </c>
      <c r="AN3" s="565" t="s">
        <v>49</v>
      </c>
      <c r="AO3" s="550" t="s">
        <v>173</v>
      </c>
      <c r="AP3" s="550" t="s">
        <v>174</v>
      </c>
      <c r="AQ3" s="550" t="s">
        <v>175</v>
      </c>
      <c r="AR3" s="550" t="s">
        <v>176</v>
      </c>
      <c r="AS3" s="550" t="s">
        <v>177</v>
      </c>
      <c r="AT3" s="550" t="s">
        <v>176</v>
      </c>
      <c r="AU3" s="551" t="s">
        <v>178</v>
      </c>
      <c r="AV3" s="550" t="s">
        <v>176</v>
      </c>
      <c r="AW3" s="550" t="s">
        <v>179</v>
      </c>
      <c r="AX3" s="550" t="s">
        <v>176</v>
      </c>
      <c r="AY3" s="551" t="s">
        <v>180</v>
      </c>
      <c r="AZ3" s="550" t="s">
        <v>53</v>
      </c>
      <c r="BA3" s="553" t="s">
        <v>181</v>
      </c>
      <c r="BB3" s="553" t="s">
        <v>182</v>
      </c>
      <c r="BC3" s="553" t="s">
        <v>174</v>
      </c>
      <c r="BD3" s="553" t="s">
        <v>183</v>
      </c>
      <c r="BE3" s="553" t="s">
        <v>184</v>
      </c>
      <c r="BF3" s="553" t="s">
        <v>181</v>
      </c>
      <c r="BG3" s="553" t="s">
        <v>182</v>
      </c>
      <c r="BH3" s="553" t="s">
        <v>174</v>
      </c>
      <c r="BI3" s="553" t="s">
        <v>183</v>
      </c>
      <c r="BJ3" s="553" t="s">
        <v>184</v>
      </c>
      <c r="BK3" s="553" t="s">
        <v>181</v>
      </c>
      <c r="BL3" s="553" t="s">
        <v>182</v>
      </c>
      <c r="BM3" s="553" t="s">
        <v>174</v>
      </c>
      <c r="BN3" s="553" t="s">
        <v>183</v>
      </c>
      <c r="BO3" s="553" t="s">
        <v>184</v>
      </c>
      <c r="BP3" s="553" t="s">
        <v>181</v>
      </c>
      <c r="BQ3" s="553" t="s">
        <v>182</v>
      </c>
      <c r="BR3" s="553" t="s">
        <v>174</v>
      </c>
      <c r="BS3" s="553" t="s">
        <v>183</v>
      </c>
      <c r="BT3" s="553" t="s">
        <v>184</v>
      </c>
      <c r="BU3" s="573" t="s">
        <v>186</v>
      </c>
      <c r="BV3" s="573" t="s">
        <v>284</v>
      </c>
      <c r="BW3" s="573" t="s">
        <v>187</v>
      </c>
      <c r="BX3" s="573" t="s">
        <v>182</v>
      </c>
      <c r="BY3" s="574" t="s">
        <v>176</v>
      </c>
      <c r="BZ3" s="574" t="s">
        <v>188</v>
      </c>
      <c r="CA3" s="574" t="s">
        <v>189</v>
      </c>
      <c r="CB3" s="569" t="s">
        <v>190</v>
      </c>
      <c r="CC3" s="569" t="s">
        <v>191</v>
      </c>
      <c r="CD3" s="569" t="s">
        <v>192</v>
      </c>
      <c r="CE3" s="569" t="s">
        <v>193</v>
      </c>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row>
    <row r="4" spans="1:109" s="152" customFormat="1" ht="99.75" customHeight="1" x14ac:dyDescent="0.25">
      <c r="A4" s="562"/>
      <c r="B4" s="563"/>
      <c r="C4" s="563"/>
      <c r="D4" s="563"/>
      <c r="E4" s="564"/>
      <c r="F4" s="563"/>
      <c r="G4" s="563"/>
      <c r="H4" s="564"/>
      <c r="I4" s="564"/>
      <c r="J4" s="564"/>
      <c r="K4" s="563"/>
      <c r="L4" s="564"/>
      <c r="M4" s="563"/>
      <c r="N4" s="563"/>
      <c r="O4" s="564"/>
      <c r="P4" s="563"/>
      <c r="Q4" s="563"/>
      <c r="R4" s="564"/>
      <c r="S4" s="564"/>
      <c r="T4" s="563"/>
      <c r="U4" s="565"/>
      <c r="V4" s="563"/>
      <c r="W4" s="563"/>
      <c r="X4" s="198" t="s">
        <v>372</v>
      </c>
      <c r="Y4" s="198" t="s">
        <v>195</v>
      </c>
      <c r="Z4" s="198" t="s">
        <v>196</v>
      </c>
      <c r="AA4" s="198" t="s">
        <v>197</v>
      </c>
      <c r="AB4" s="197" t="s">
        <v>70</v>
      </c>
      <c r="AC4" s="197" t="s">
        <v>198</v>
      </c>
      <c r="AD4" s="197" t="s">
        <v>199</v>
      </c>
      <c r="AE4" s="197" t="s">
        <v>200</v>
      </c>
      <c r="AF4" s="197" t="s">
        <v>201</v>
      </c>
      <c r="AG4" s="197" t="s">
        <v>183</v>
      </c>
      <c r="AH4" s="565"/>
      <c r="AI4" s="565"/>
      <c r="AJ4" s="565"/>
      <c r="AK4" s="565"/>
      <c r="AL4" s="565"/>
      <c r="AM4" s="565"/>
      <c r="AN4" s="565"/>
      <c r="AO4" s="550"/>
      <c r="AP4" s="550"/>
      <c r="AQ4" s="550"/>
      <c r="AR4" s="550"/>
      <c r="AS4" s="550"/>
      <c r="AT4" s="550"/>
      <c r="AU4" s="552"/>
      <c r="AV4" s="550"/>
      <c r="AW4" s="550"/>
      <c r="AX4" s="550"/>
      <c r="AY4" s="552"/>
      <c r="AZ4" s="550"/>
      <c r="BA4" s="553"/>
      <c r="BB4" s="553"/>
      <c r="BC4" s="553"/>
      <c r="BD4" s="553"/>
      <c r="BE4" s="553"/>
      <c r="BF4" s="553"/>
      <c r="BG4" s="553"/>
      <c r="BH4" s="553"/>
      <c r="BI4" s="553"/>
      <c r="BJ4" s="553"/>
      <c r="BK4" s="553"/>
      <c r="BL4" s="553"/>
      <c r="BM4" s="553"/>
      <c r="BN4" s="553"/>
      <c r="BO4" s="553"/>
      <c r="BP4" s="553"/>
      <c r="BQ4" s="553"/>
      <c r="BR4" s="553"/>
      <c r="BS4" s="553"/>
      <c r="BT4" s="553"/>
      <c r="BU4" s="573"/>
      <c r="BV4" s="573"/>
      <c r="BW4" s="573"/>
      <c r="BX4" s="573"/>
      <c r="BY4" s="574"/>
      <c r="BZ4" s="574"/>
      <c r="CA4" s="574"/>
      <c r="CB4" s="569"/>
      <c r="CC4" s="569"/>
      <c r="CD4" s="569"/>
      <c r="CE4" s="569"/>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row>
    <row r="5" spans="1:109" s="161" customFormat="1" ht="288" customHeight="1" x14ac:dyDescent="0.25">
      <c r="A5" s="570">
        <v>1</v>
      </c>
      <c r="B5" s="571" t="s">
        <v>73</v>
      </c>
      <c r="C5" s="571" t="s">
        <v>202</v>
      </c>
      <c r="D5" s="572" t="s">
        <v>344</v>
      </c>
      <c r="E5" s="572" t="s">
        <v>373</v>
      </c>
      <c r="F5" s="571" t="s">
        <v>374</v>
      </c>
      <c r="G5" s="571" t="s">
        <v>375</v>
      </c>
      <c r="H5" s="571" t="s">
        <v>376</v>
      </c>
      <c r="I5" s="200" t="s">
        <v>377</v>
      </c>
      <c r="J5" s="200" t="s">
        <v>378</v>
      </c>
      <c r="K5" s="571" t="s">
        <v>379</v>
      </c>
      <c r="L5" s="572" t="s">
        <v>380</v>
      </c>
      <c r="M5" s="570">
        <v>1825</v>
      </c>
      <c r="N5" s="576" t="str">
        <f>IF(M5&lt;=0,"",IF(M5&lt;=2,"Muy Baja",IF(M5&lt;=24,"Baja",IF(M5&lt;=500,"Media",IF(M5&lt;=5000,"Alta","Muy Alta")))))</f>
        <v>Alta</v>
      </c>
      <c r="O5" s="575">
        <f>IF(N5="","",IF(N5="Muy Baja",0.2,IF(N5="Baja",0.4,IF(N5="Media",0.6,IF(N5="Alta",0.8,IF(N5="Muy Alta",1,))))))</f>
        <v>0.8</v>
      </c>
      <c r="P5" s="581" t="s">
        <v>209</v>
      </c>
      <c r="Q5" s="575" t="str">
        <f>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576" t="str">
        <f>IF(OR(Q5='Tabla Impacto'!$C$11,Q5='Tabla Impacto'!$D$11),"Leve",IF(OR(Q5='Tabla Impacto'!$C$12,Q5='Tabla Impacto'!$D$12),"Menor",IF(OR(Q5='Tabla Impacto'!$C$13,Q5='Tabla Impacto'!$D$13),"Moderado",IF(OR(Q5='Tabla Impacto'!$C$14,Q5='Tabla Impacto'!$D$14),"Mayor",IF(OR(Q5='Tabla Impacto'!$C$15,Q5='Tabla Impacto'!$D$15),"Catastrófico","")))))</f>
        <v>Moderado</v>
      </c>
      <c r="S5" s="575">
        <f>IF(R5="","",IF(R5="Leve",0.2,IF(R5="Menor",0.4,IF(R5="Moderado",0.6,IF(R5="Mayor",0.8,IF(R5="Catastrófico",1,))))))</f>
        <v>0.6</v>
      </c>
      <c r="T5" s="577"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199">
        <v>1</v>
      </c>
      <c r="V5" s="379" t="s">
        <v>381</v>
      </c>
      <c r="W5" s="155" t="str">
        <f t="shared" ref="W5:W36" si="0">IF(OR(AB5="Preventivo",AB5="Detectivo"),"Probabilidad",IF(AB5="Correctivo","Impacto",""))</f>
        <v>Probabilidad</v>
      </c>
      <c r="X5" s="155" t="s">
        <v>211</v>
      </c>
      <c r="Y5" s="155" t="s">
        <v>212</v>
      </c>
      <c r="Z5" s="155" t="s">
        <v>211</v>
      </c>
      <c r="AA5" s="155" t="s">
        <v>211</v>
      </c>
      <c r="AB5" s="203" t="s">
        <v>213</v>
      </c>
      <c r="AC5" s="203" t="s">
        <v>382</v>
      </c>
      <c r="AD5" s="156" t="str">
        <f t="shared" ref="AD5" si="1">IF(AND(AB5="Preventivo",AC5="Automático"),"50%",IF(AND(AB5="Preventivo",AC5="Manual"),"40%",IF(AND(AB5="Detectivo",AC5="Automático"),"40%",IF(AND(AB5="Detectivo",AC5="Manual"),"30%",IF(AND(AB5="Correctivo",AC5="Automático"),"35%",IF(AND(AB5="Correctivo",AC5="Manual"),"25%",""))))))</f>
        <v>50%</v>
      </c>
      <c r="AE5" s="203" t="s">
        <v>215</v>
      </c>
      <c r="AF5" s="203" t="s">
        <v>216</v>
      </c>
      <c r="AG5" s="203" t="s">
        <v>217</v>
      </c>
      <c r="AH5" s="157">
        <f>IFERROR(IF(W5="Probabilidad",(O5-(+O5*AD5)),IF(W5="Impacto",O5,"")),"")</f>
        <v>0.4</v>
      </c>
      <c r="AI5" s="158" t="str">
        <f>IFERROR(IF(AH5="","",IF(AH5&lt;=0.2,"Muy Baja",IF(AH5&lt;=0.4,"Baja",IF(AH5&lt;=0.6,"Media",IF(AH5&lt;=0.8,"Alta","Muy Alta"))))),"")</f>
        <v>Baja</v>
      </c>
      <c r="AJ5" s="156">
        <f t="shared" ref="AJ5" si="2">+AH5</f>
        <v>0.4</v>
      </c>
      <c r="AK5" s="158" t="str">
        <f>IFERROR(IF(AL5="","",IF(AL5&lt;=0.2,"Leve",IF(AL5&lt;=0.4,"Menor",IF(AL5&lt;=0.6,"Moderado",IF(AL5&lt;=0.8,"Mayor","Catastrófico"))))),"")</f>
        <v>Moderado</v>
      </c>
      <c r="AL5" s="156">
        <f>IFERROR(IF(W5="Impacto",(S5-(+S5*AD5)),IF(W5="Probabilidad",S5,"")),"")</f>
        <v>0.6</v>
      </c>
      <c r="AM5" s="15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578" t="s">
        <v>218</v>
      </c>
      <c r="AO5" s="380" t="s">
        <v>383</v>
      </c>
      <c r="AP5" s="201" t="s">
        <v>220</v>
      </c>
      <c r="AQ5" s="209">
        <v>45291</v>
      </c>
      <c r="AR5" s="329" t="s">
        <v>353</v>
      </c>
      <c r="AS5" s="330" t="s">
        <v>384</v>
      </c>
      <c r="AT5" s="370" t="s">
        <v>385</v>
      </c>
      <c r="AU5" s="200" t="s">
        <v>386</v>
      </c>
      <c r="AV5" s="391">
        <v>45179</v>
      </c>
      <c r="AW5" s="387" t="s">
        <v>387</v>
      </c>
      <c r="AX5" s="160"/>
      <c r="AY5" s="154"/>
      <c r="AZ5" s="153"/>
      <c r="BA5" s="209">
        <v>44998</v>
      </c>
      <c r="BB5" s="330" t="s">
        <v>388</v>
      </c>
      <c r="BC5" s="199" t="s">
        <v>389</v>
      </c>
      <c r="BD5" s="202" t="s">
        <v>390</v>
      </c>
      <c r="BE5" s="210" t="s">
        <v>229</v>
      </c>
      <c r="BF5" s="370" t="s">
        <v>230</v>
      </c>
      <c r="BG5" s="330" t="s">
        <v>391</v>
      </c>
      <c r="BH5" s="199" t="s">
        <v>392</v>
      </c>
      <c r="BI5" s="370" t="s">
        <v>393</v>
      </c>
      <c r="BJ5" s="210" t="s">
        <v>229</v>
      </c>
      <c r="BK5" s="386" t="s">
        <v>233</v>
      </c>
      <c r="BL5" s="387" t="s">
        <v>394</v>
      </c>
      <c r="BM5" s="376" t="s">
        <v>306</v>
      </c>
      <c r="BN5" s="375" t="s">
        <v>395</v>
      </c>
      <c r="BO5" s="160"/>
      <c r="BP5" s="154"/>
      <c r="BQ5" s="154"/>
      <c r="BR5" s="153"/>
      <c r="BS5" s="160"/>
      <c r="BT5" s="160"/>
      <c r="BU5" s="310"/>
      <c r="BV5" s="154" t="s">
        <v>396</v>
      </c>
      <c r="BW5" s="154"/>
      <c r="BX5" s="154"/>
      <c r="BY5" s="339" t="s">
        <v>236</v>
      </c>
      <c r="BZ5" s="143" t="s">
        <v>237</v>
      </c>
      <c r="CA5" s="143" t="s">
        <v>397</v>
      </c>
      <c r="CB5" s="752" t="s">
        <v>710</v>
      </c>
      <c r="CC5" s="751" t="s">
        <v>711</v>
      </c>
      <c r="CD5" s="751" t="s">
        <v>712</v>
      </c>
      <c r="CE5" s="751" t="s">
        <v>713</v>
      </c>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row>
    <row r="6" spans="1:109" ht="83.25" customHeight="1" x14ac:dyDescent="0.25">
      <c r="A6" s="570"/>
      <c r="B6" s="571"/>
      <c r="C6" s="571"/>
      <c r="D6" s="572"/>
      <c r="E6" s="572"/>
      <c r="F6" s="571"/>
      <c r="G6" s="571"/>
      <c r="H6" s="571"/>
      <c r="I6" s="200"/>
      <c r="J6" s="200"/>
      <c r="K6" s="571"/>
      <c r="L6" s="572"/>
      <c r="M6" s="570"/>
      <c r="N6" s="576"/>
      <c r="O6" s="575"/>
      <c r="P6" s="581"/>
      <c r="Q6" s="575">
        <f>IF(NOT(ISERROR(MATCH(P6,_xlfn.ANCHORARRAY(E17),0))),O19&amp;"Por favor no seleccionar los criterios de impacto",P6)</f>
        <v>0</v>
      </c>
      <c r="R6" s="576"/>
      <c r="S6" s="575"/>
      <c r="T6" s="577"/>
      <c r="U6" s="199">
        <v>2</v>
      </c>
      <c r="V6" s="202"/>
      <c r="W6" s="155" t="str">
        <f t="shared" si="0"/>
        <v/>
      </c>
      <c r="X6" s="155"/>
      <c r="Y6" s="155"/>
      <c r="Z6" s="155"/>
      <c r="AA6" s="155"/>
      <c r="AB6" s="203"/>
      <c r="AC6" s="203"/>
      <c r="AD6" s="156" t="str">
        <f t="shared" ref="AD6:AD64" si="4">IF(AND(AB6="Preventivo",AC6="Automático"),"50%",IF(AND(AB6="Preventivo",AC6="Manual"),"40%",IF(AND(AB6="Detectivo",AC6="Automático"),"40%",IF(AND(AB6="Detectivo",AC6="Manual"),"30%",IF(AND(AB6="Correctivo",AC6="Automático"),"35%",IF(AND(AB6="Correctivo",AC6="Manual"),"25%",""))))))</f>
        <v/>
      </c>
      <c r="AE6" s="203"/>
      <c r="AF6" s="203"/>
      <c r="AG6" s="203"/>
      <c r="AH6" s="157" t="str">
        <f>IFERROR(IF(AND(W5="Probabilidad",W6="Probabilidad"),(AJ5-(+AJ5*AD6)),IF(W6="Probabilidad",(O5-(+O5*AD6)),IF(W6="Impacto",AJ5,""))),"")</f>
        <v/>
      </c>
      <c r="AI6" s="158" t="str">
        <f t="shared" ref="AI6:AI64" si="5">IFERROR(IF(AH6="","",IF(AH6&lt;=0.2,"Muy Baja",IF(AH6&lt;=0.4,"Baja",IF(AH6&lt;=0.6,"Media",IF(AH6&lt;=0.8,"Alta","Muy Alta"))))),"")</f>
        <v/>
      </c>
      <c r="AJ6" s="156" t="str">
        <f t="shared" ref="AJ6:AJ36" si="6">+AH6</f>
        <v/>
      </c>
      <c r="AK6" s="158" t="str">
        <f t="shared" ref="AK6:AK64" si="7">IFERROR(IF(AL6="","",IF(AL6&lt;=0.2,"Leve",IF(AL6&lt;=0.4,"Menor",IF(AL6&lt;=0.6,"Moderado",IF(AL6&lt;=0.8,"Mayor","Catastrófico"))))),"")</f>
        <v/>
      </c>
      <c r="AL6" s="156" t="str">
        <f>IFERROR(IF(AND(W5="Impacto",W6="Impacto"),(AL5-(+AL5*AD6)),IF(W6="Impacto",($S$5-(+$S$5*AD6)),IF(W6="Probabilidad",AL5,""))),"")</f>
        <v/>
      </c>
      <c r="AM6" s="15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579"/>
      <c r="AO6" s="200"/>
      <c r="AP6" s="199"/>
      <c r="AQ6" s="210"/>
      <c r="AR6" s="160"/>
      <c r="AS6" s="154"/>
      <c r="AT6" s="210"/>
      <c r="AU6" s="200"/>
      <c r="AV6" s="160"/>
      <c r="AW6" s="154"/>
      <c r="AX6" s="160"/>
      <c r="AY6" s="154"/>
      <c r="AZ6" s="153"/>
      <c r="BA6" s="154"/>
      <c r="BB6" s="154"/>
      <c r="BC6" s="153"/>
      <c r="BD6" s="160"/>
      <c r="BE6" s="160"/>
      <c r="BF6" s="200"/>
      <c r="BG6" s="200"/>
      <c r="BH6" s="199"/>
      <c r="BI6" s="210"/>
      <c r="BJ6" s="210"/>
      <c r="BK6" s="154"/>
      <c r="BL6" s="154"/>
      <c r="BM6" s="153"/>
      <c r="BN6" s="160"/>
      <c r="BO6" s="160"/>
      <c r="BP6" s="154"/>
      <c r="BQ6" s="154"/>
      <c r="BR6" s="153"/>
      <c r="BS6" s="160"/>
      <c r="BT6" s="160"/>
      <c r="BV6" s="154" t="s">
        <v>398</v>
      </c>
      <c r="BW6" s="154"/>
      <c r="BX6" s="154"/>
      <c r="BY6" s="160"/>
      <c r="BZ6" s="154"/>
      <c r="CA6" s="154"/>
      <c r="CB6" s="749"/>
      <c r="CC6" s="154"/>
      <c r="CD6" s="153"/>
      <c r="CE6" s="154"/>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row>
    <row r="7" spans="1:109" ht="15.75" customHeight="1" x14ac:dyDescent="0.25">
      <c r="A7" s="570"/>
      <c r="B7" s="571"/>
      <c r="C7" s="571"/>
      <c r="D7" s="572"/>
      <c r="E7" s="572"/>
      <c r="F7" s="571"/>
      <c r="G7" s="571"/>
      <c r="H7" s="571"/>
      <c r="I7" s="200"/>
      <c r="J7" s="200"/>
      <c r="K7" s="571"/>
      <c r="L7" s="572"/>
      <c r="M7" s="570"/>
      <c r="N7" s="576"/>
      <c r="O7" s="575"/>
      <c r="P7" s="581"/>
      <c r="Q7" s="575">
        <f>IF(NOT(ISERROR(MATCH(P7,_xlfn.ANCHORARRAY(E18),0))),O20&amp;"Por favor no seleccionar los criterios de impacto",P7)</f>
        <v>0</v>
      </c>
      <c r="R7" s="576"/>
      <c r="S7" s="575"/>
      <c r="T7" s="577"/>
      <c r="U7" s="199">
        <v>3</v>
      </c>
      <c r="V7" s="204"/>
      <c r="W7" s="155" t="str">
        <f t="shared" si="0"/>
        <v/>
      </c>
      <c r="X7" s="155"/>
      <c r="Y7" s="155"/>
      <c r="Z7" s="155"/>
      <c r="AA7" s="155"/>
      <c r="AB7" s="203"/>
      <c r="AC7" s="203"/>
      <c r="AD7" s="156" t="str">
        <f t="shared" si="4"/>
        <v/>
      </c>
      <c r="AE7" s="203"/>
      <c r="AF7" s="203"/>
      <c r="AG7" s="203"/>
      <c r="AH7" s="157" t="str">
        <f>IFERROR(IF(AND(W6="Probabilidad",W7="Probabilidad"),(AJ6-(+AJ6*AD7)),IF(AND(W6="Impacto",W7="Probabilidad"),(AJ5-(+AJ5*AD7)),IF(W7="Impacto",AJ6,""))),"")</f>
        <v/>
      </c>
      <c r="AI7" s="158" t="str">
        <f t="shared" si="5"/>
        <v/>
      </c>
      <c r="AJ7" s="156" t="str">
        <f t="shared" si="6"/>
        <v/>
      </c>
      <c r="AK7" s="158" t="str">
        <f t="shared" si="7"/>
        <v/>
      </c>
      <c r="AL7" s="156" t="str">
        <f>IFERROR(IF(AND(W6="Impacto",W7="Impacto"),(AL6-(+AL6*AD7)),IF(AND(W6="Probabilidad",W7="Impacto"),(AL5-(+AL5*AD7)),IF(W7="Probabilidad",AL6,""))),"")</f>
        <v/>
      </c>
      <c r="AM7" s="159" t="str">
        <f t="shared" si="8"/>
        <v/>
      </c>
      <c r="AN7" s="579"/>
      <c r="AO7" s="200"/>
      <c r="AP7" s="199"/>
      <c r="AQ7" s="210"/>
      <c r="AR7" s="160"/>
      <c r="AS7" s="154"/>
      <c r="AT7" s="210"/>
      <c r="AU7" s="200"/>
      <c r="AV7" s="160"/>
      <c r="AW7" s="154"/>
      <c r="AX7" s="160"/>
      <c r="AY7" s="154"/>
      <c r="AZ7" s="153"/>
      <c r="BA7" s="154"/>
      <c r="BB7" s="154"/>
      <c r="BC7" s="153"/>
      <c r="BD7" s="160"/>
      <c r="BE7" s="160"/>
      <c r="BF7" s="200"/>
      <c r="BG7" s="200"/>
      <c r="BH7" s="199"/>
      <c r="BI7" s="210"/>
      <c r="BJ7" s="210"/>
      <c r="BK7" s="154"/>
      <c r="BL7" s="154"/>
      <c r="BM7" s="153"/>
      <c r="BN7" s="160"/>
      <c r="BO7" s="160"/>
      <c r="BP7" s="154"/>
      <c r="BQ7" s="154"/>
      <c r="BR7" s="153"/>
      <c r="BS7" s="160"/>
      <c r="BT7" s="160"/>
      <c r="BU7" s="160"/>
      <c r="BV7" s="154"/>
      <c r="BW7" s="154"/>
      <c r="BX7" s="154"/>
      <c r="BY7" s="160"/>
      <c r="BZ7" s="154"/>
      <c r="CA7" s="154"/>
      <c r="CB7" s="749"/>
      <c r="CC7" s="154"/>
      <c r="CD7" s="153"/>
      <c r="CE7" s="154"/>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row>
    <row r="8" spans="1:109" ht="15.75" customHeight="1" x14ac:dyDescent="0.25">
      <c r="A8" s="570"/>
      <c r="B8" s="571"/>
      <c r="C8" s="571"/>
      <c r="D8" s="572"/>
      <c r="E8" s="572"/>
      <c r="F8" s="571"/>
      <c r="G8" s="571"/>
      <c r="H8" s="571"/>
      <c r="I8" s="200"/>
      <c r="J8" s="200"/>
      <c r="K8" s="571"/>
      <c r="L8" s="572"/>
      <c r="M8" s="570"/>
      <c r="N8" s="576"/>
      <c r="O8" s="575"/>
      <c r="P8" s="581"/>
      <c r="Q8" s="575">
        <f>IF(NOT(ISERROR(MATCH(P8,_xlfn.ANCHORARRAY(E19),0))),O21&amp;"Por favor no seleccionar los criterios de impacto",P8)</f>
        <v>0</v>
      </c>
      <c r="R8" s="576"/>
      <c r="S8" s="575"/>
      <c r="T8" s="577"/>
      <c r="U8" s="199">
        <v>4</v>
      </c>
      <c r="V8" s="202"/>
      <c r="W8" s="155" t="str">
        <f t="shared" si="0"/>
        <v/>
      </c>
      <c r="X8" s="155"/>
      <c r="Y8" s="155"/>
      <c r="Z8" s="155"/>
      <c r="AA8" s="155"/>
      <c r="AB8" s="203"/>
      <c r="AC8" s="203"/>
      <c r="AD8" s="156" t="str">
        <f t="shared" si="4"/>
        <v/>
      </c>
      <c r="AE8" s="203"/>
      <c r="AF8" s="203"/>
      <c r="AG8" s="203"/>
      <c r="AH8" s="157" t="str">
        <f>IFERROR(IF(AND(W7="Probabilidad",W8="Probabilidad"),(AJ7-(+AJ7*AD8)),IF(AND(W7="Impacto",W8="Probabilidad"),(AJ6-(+AJ6*AD8)),IF(W8="Impacto",AJ7,""))),"")</f>
        <v/>
      </c>
      <c r="AI8" s="158" t="str">
        <f t="shared" si="5"/>
        <v/>
      </c>
      <c r="AJ8" s="156" t="str">
        <f t="shared" si="6"/>
        <v/>
      </c>
      <c r="AK8" s="158" t="str">
        <f t="shared" si="7"/>
        <v/>
      </c>
      <c r="AL8" s="156" t="str">
        <f>IFERROR(IF(AND(W7="Impacto",W8="Impacto"),(AL7-(+AL7*AD8)),IF(AND(W7="Probabilidad",W8="Impacto"),(AL6-(+AL6*AD8)),IF(W8="Probabilidad",AL7,""))),"")</f>
        <v/>
      </c>
      <c r="AM8" s="159" t="str">
        <f t="shared" si="8"/>
        <v/>
      </c>
      <c r="AN8" s="579"/>
      <c r="AO8" s="200"/>
      <c r="AP8" s="199"/>
      <c r="AQ8" s="210"/>
      <c r="AR8" s="160"/>
      <c r="AS8" s="154"/>
      <c r="AT8" s="210"/>
      <c r="AU8" s="200"/>
      <c r="AV8" s="160"/>
      <c r="AW8" s="154"/>
      <c r="AX8" s="160"/>
      <c r="AY8" s="154"/>
      <c r="AZ8" s="153"/>
      <c r="BA8" s="154"/>
      <c r="BB8" s="154"/>
      <c r="BC8" s="153"/>
      <c r="BD8" s="160"/>
      <c r="BE8" s="160"/>
      <c r="BF8" s="200"/>
      <c r="BG8" s="200"/>
      <c r="BH8" s="199"/>
      <c r="BI8" s="210"/>
      <c r="BJ8" s="210"/>
      <c r="BK8" s="154"/>
      <c r="BL8" s="154"/>
      <c r="BM8" s="153"/>
      <c r="BN8" s="160"/>
      <c r="BO8" s="160"/>
      <c r="BP8" s="154"/>
      <c r="BQ8" s="154"/>
      <c r="BR8" s="153"/>
      <c r="BS8" s="160"/>
      <c r="BT8" s="160"/>
      <c r="BU8" s="160"/>
      <c r="BV8" s="154"/>
      <c r="BW8" s="154"/>
      <c r="BX8" s="154"/>
      <c r="BY8" s="160"/>
      <c r="BZ8" s="154"/>
      <c r="CA8" s="154"/>
      <c r="CB8" s="749"/>
      <c r="CC8" s="154"/>
      <c r="CD8" s="153"/>
      <c r="CE8" s="154"/>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row>
    <row r="9" spans="1:109" ht="15.75" customHeight="1" x14ac:dyDescent="0.25">
      <c r="A9" s="570"/>
      <c r="B9" s="571"/>
      <c r="C9" s="571"/>
      <c r="D9" s="572"/>
      <c r="E9" s="572"/>
      <c r="F9" s="571"/>
      <c r="G9" s="571"/>
      <c r="H9" s="571"/>
      <c r="I9" s="200"/>
      <c r="J9" s="200"/>
      <c r="K9" s="571"/>
      <c r="L9" s="572"/>
      <c r="M9" s="570"/>
      <c r="N9" s="576"/>
      <c r="O9" s="575"/>
      <c r="P9" s="581"/>
      <c r="Q9" s="575">
        <f>IF(NOT(ISERROR(MATCH(P9,_xlfn.ANCHORARRAY(E20),0))),O22&amp;"Por favor no seleccionar los criterios de impacto",P9)</f>
        <v>0</v>
      </c>
      <c r="R9" s="576"/>
      <c r="S9" s="575"/>
      <c r="T9" s="577"/>
      <c r="U9" s="199">
        <v>5</v>
      </c>
      <c r="V9" s="202"/>
      <c r="W9" s="155" t="str">
        <f t="shared" si="0"/>
        <v/>
      </c>
      <c r="X9" s="155"/>
      <c r="Y9" s="155"/>
      <c r="Z9" s="155"/>
      <c r="AA9" s="155"/>
      <c r="AB9" s="203"/>
      <c r="AC9" s="203"/>
      <c r="AD9" s="156" t="str">
        <f t="shared" si="4"/>
        <v/>
      </c>
      <c r="AE9" s="203"/>
      <c r="AF9" s="203"/>
      <c r="AG9" s="203"/>
      <c r="AH9" s="157" t="str">
        <f>IFERROR(IF(AND(W8="Probabilidad",W9="Probabilidad"),(AJ8-(+AJ8*AD9)),IF(AND(W8="Impacto",W9="Probabilidad"),(AJ7-(+AJ7*AD9)),IF(W9="Impacto",AJ8,""))),"")</f>
        <v/>
      </c>
      <c r="AI9" s="158" t="str">
        <f t="shared" si="5"/>
        <v/>
      </c>
      <c r="AJ9" s="156" t="str">
        <f t="shared" si="6"/>
        <v/>
      </c>
      <c r="AK9" s="158" t="str">
        <f t="shared" si="7"/>
        <v/>
      </c>
      <c r="AL9" s="156" t="str">
        <f>IFERROR(IF(AND(W8="Impacto",W9="Impacto"),(AL8-(+AL8*AD9)),IF(AND(W8="Probabilidad",W9="Impacto"),(AL7-(+AL7*AD9)),IF(W9="Probabilidad",AL8,""))),"")</f>
        <v/>
      </c>
      <c r="AM9" s="159" t="str">
        <f t="shared" si="8"/>
        <v/>
      </c>
      <c r="AN9" s="579"/>
      <c r="AO9" s="200"/>
      <c r="AP9" s="199"/>
      <c r="AQ9" s="210"/>
      <c r="AR9" s="160"/>
      <c r="AS9" s="154"/>
      <c r="AT9" s="210"/>
      <c r="AU9" s="200"/>
      <c r="AV9" s="160"/>
      <c r="AW9" s="154"/>
      <c r="AX9" s="160"/>
      <c r="AY9" s="154"/>
      <c r="AZ9" s="153"/>
      <c r="BA9" s="154"/>
      <c r="BB9" s="154"/>
      <c r="BC9" s="153"/>
      <c r="BD9" s="160"/>
      <c r="BE9" s="160"/>
      <c r="BF9" s="200"/>
      <c r="BG9" s="200"/>
      <c r="BH9" s="199"/>
      <c r="BI9" s="210"/>
      <c r="BJ9" s="210"/>
      <c r="BK9" s="154"/>
      <c r="BL9" s="154"/>
      <c r="BM9" s="153"/>
      <c r="BN9" s="160"/>
      <c r="BO9" s="160"/>
      <c r="BP9" s="154"/>
      <c r="BQ9" s="154"/>
      <c r="BR9" s="153"/>
      <c r="BS9" s="160"/>
      <c r="BT9" s="160"/>
      <c r="BU9" s="160"/>
      <c r="BV9" s="154"/>
      <c r="BW9" s="154"/>
      <c r="BX9" s="154"/>
      <c r="BY9" s="160"/>
      <c r="BZ9" s="154"/>
      <c r="CA9" s="154"/>
      <c r="CB9" s="749"/>
      <c r="CC9" s="154"/>
      <c r="CD9" s="153"/>
      <c r="CE9" s="154"/>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row>
    <row r="10" spans="1:109" ht="136.5" customHeight="1" x14ac:dyDescent="0.25">
      <c r="A10" s="570"/>
      <c r="B10" s="571"/>
      <c r="C10" s="571"/>
      <c r="D10" s="572"/>
      <c r="E10" s="572"/>
      <c r="F10" s="571"/>
      <c r="G10" s="571"/>
      <c r="H10" s="571"/>
      <c r="I10" s="200"/>
      <c r="J10" s="200"/>
      <c r="K10" s="571"/>
      <c r="L10" s="572"/>
      <c r="M10" s="570"/>
      <c r="N10" s="576"/>
      <c r="O10" s="575"/>
      <c r="P10" s="581"/>
      <c r="Q10" s="575">
        <f>IF(NOT(ISERROR(MATCH(P10,_xlfn.ANCHORARRAY(E21),0))),O23&amp;"Por favor no seleccionar los criterios de impacto",P10)</f>
        <v>0</v>
      </c>
      <c r="R10" s="576"/>
      <c r="S10" s="575"/>
      <c r="T10" s="577"/>
      <c r="U10" s="199">
        <v>6</v>
      </c>
      <c r="V10" s="202"/>
      <c r="W10" s="155" t="str">
        <f t="shared" si="0"/>
        <v/>
      </c>
      <c r="X10" s="155"/>
      <c r="Y10" s="155"/>
      <c r="Z10" s="155"/>
      <c r="AA10" s="155"/>
      <c r="AB10" s="203"/>
      <c r="AC10" s="203"/>
      <c r="AD10" s="156" t="str">
        <f t="shared" si="4"/>
        <v/>
      </c>
      <c r="AE10" s="203"/>
      <c r="AF10" s="203"/>
      <c r="AG10" s="203"/>
      <c r="AH10" s="157" t="str">
        <f>IFERROR(IF(AND(W9="Probabilidad",W10="Probabilidad"),(AJ9-(+AJ9*AD10)),IF(AND(W9="Impacto",W10="Probabilidad"),(AJ8-(+AJ8*AD10)),IF(W10="Impacto",AJ9,""))),"")</f>
        <v/>
      </c>
      <c r="AI10" s="158" t="str">
        <f t="shared" si="5"/>
        <v/>
      </c>
      <c r="AJ10" s="156" t="str">
        <f t="shared" si="6"/>
        <v/>
      </c>
      <c r="AK10" s="158" t="str">
        <f t="shared" si="7"/>
        <v/>
      </c>
      <c r="AL10" s="156" t="str">
        <f>IFERROR(IF(AND(W9="Impacto",W10="Impacto"),(AL9-(+AL9*AD10)),IF(AND(W9="Probabilidad",W10="Impacto"),(AL8-(+AL8*AD10)),IF(W10="Probabilidad",AL9,""))),"")</f>
        <v/>
      </c>
      <c r="AM10" s="159" t="str">
        <f t="shared" si="8"/>
        <v/>
      </c>
      <c r="AN10" s="580"/>
      <c r="AO10" s="200"/>
      <c r="AP10" s="199"/>
      <c r="AQ10" s="210"/>
      <c r="AR10" s="160"/>
      <c r="AS10" s="154"/>
      <c r="AT10" s="210"/>
      <c r="AU10" s="200"/>
      <c r="AV10" s="160"/>
      <c r="AW10" s="154"/>
      <c r="AX10" s="160"/>
      <c r="AY10" s="154"/>
      <c r="AZ10" s="153"/>
      <c r="BA10" s="154"/>
      <c r="BB10" s="154"/>
      <c r="BC10" s="153"/>
      <c r="BD10" s="160"/>
      <c r="BE10" s="160"/>
      <c r="BF10" s="200"/>
      <c r="BG10" s="200"/>
      <c r="BH10" s="199"/>
      <c r="BI10" s="210"/>
      <c r="BJ10" s="210"/>
      <c r="BK10" s="154"/>
      <c r="BL10" s="154"/>
      <c r="BM10" s="153"/>
      <c r="BN10" s="160"/>
      <c r="BO10" s="160"/>
      <c r="BP10" s="154"/>
      <c r="BQ10" s="154"/>
      <c r="BR10" s="153"/>
      <c r="BS10" s="160"/>
      <c r="BT10" s="160"/>
      <c r="BU10" s="160"/>
      <c r="BV10" s="154"/>
      <c r="BW10" s="154"/>
      <c r="BX10" s="154"/>
      <c r="BY10" s="160"/>
      <c r="BZ10" s="154"/>
      <c r="CA10" s="154"/>
      <c r="CB10" s="749"/>
      <c r="CC10" s="154"/>
      <c r="CD10" s="153"/>
      <c r="CE10" s="154"/>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row>
    <row r="11" spans="1:109" ht="15.75" customHeight="1" x14ac:dyDescent="0.25">
      <c r="A11" s="570">
        <v>2</v>
      </c>
      <c r="B11" s="571"/>
      <c r="C11" s="571"/>
      <c r="D11" s="571"/>
      <c r="E11" s="572"/>
      <c r="F11" s="571"/>
      <c r="G11" s="571"/>
      <c r="H11" s="571"/>
      <c r="I11" s="200"/>
      <c r="J11" s="200"/>
      <c r="K11" s="571"/>
      <c r="L11" s="572"/>
      <c r="M11" s="570"/>
      <c r="N11" s="576" t="str">
        <f>IF(M11&lt;=0,"",IF(M11&lt;=2,"Muy Baja",IF(M11&lt;=24,"Baja",IF(M11&lt;=500,"Media",IF(M11&lt;=5000,"Alta","Muy Alta")))))</f>
        <v/>
      </c>
      <c r="O11" s="575" t="str">
        <f>IF(N11="","",IF(N11="Muy Baja",0.2,IF(N11="Baja",0.4,IF(N11="Media",0.6,IF(N11="Alta",0.8,IF(N11="Muy Alta",1,))))))</f>
        <v/>
      </c>
      <c r="P11" s="581"/>
      <c r="Q11" s="575">
        <f>IF(NOT(ISERROR(MATCH(P11,'Tabla Impacto'!$B$221:$B$223,0))),'Tabla Impacto'!$F$223&amp;"Por favor no seleccionar los criterios de impacto(Afectación Económica o presupuestal y Pérdida Reputacional)",P11)</f>
        <v>0</v>
      </c>
      <c r="R11" s="576" t="str">
        <f>IF(OR(Q11='Tabla Impacto'!$C$11,Q11='Tabla Impacto'!$D$11),"Leve",IF(OR(Q11='Tabla Impacto'!$C$12,Q11='Tabla Impacto'!$D$12),"Menor",IF(OR(Q11='Tabla Impacto'!$C$13,Q11='Tabla Impacto'!$D$13),"Moderado",IF(OR(Q11='Tabla Impacto'!$C$14,Q11='Tabla Impacto'!$D$14),"Mayor",IF(OR(Q11='Tabla Impacto'!$C$15,Q11='Tabla Impacto'!$D$15),"Catastrófico","")))))</f>
        <v/>
      </c>
      <c r="S11" s="575" t="str">
        <f>IF(R11="","",IF(R11="Leve",0.2,IF(R11="Menor",0.4,IF(R11="Moderado",0.6,IF(R11="Mayor",0.8,IF(R11="Catastrófico",1,))))))</f>
        <v/>
      </c>
      <c r="T11" s="577"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99">
        <v>1</v>
      </c>
      <c r="V11" s="202"/>
      <c r="W11" s="155" t="str">
        <f t="shared" si="0"/>
        <v/>
      </c>
      <c r="X11" s="155"/>
      <c r="Y11" s="155"/>
      <c r="Z11" s="155"/>
      <c r="AA11" s="155"/>
      <c r="AB11" s="203"/>
      <c r="AC11" s="203"/>
      <c r="AD11" s="156" t="str">
        <f t="shared" si="4"/>
        <v/>
      </c>
      <c r="AE11" s="203"/>
      <c r="AF11" s="203"/>
      <c r="AG11" s="203"/>
      <c r="AH11" s="163" t="str">
        <f>IFERROR(IF(W11="Probabilidad",(O11-(+O11*AD11)),IF(W11="Impacto",O11,"")),"")</f>
        <v/>
      </c>
      <c r="AI11" s="158" t="str">
        <f>IFERROR(IF(AH11="","",IF(AH11&lt;=0.2,"Muy Baja",IF(AH11&lt;=0.4,"Baja",IF(AH11&lt;=0.6,"Media",IF(AH11&lt;=0.8,"Alta","Muy Alta"))))),"")</f>
        <v/>
      </c>
      <c r="AJ11" s="156" t="str">
        <f t="shared" si="6"/>
        <v/>
      </c>
      <c r="AK11" s="158" t="str">
        <f>IFERROR(IF(AL11="","",IF(AL11&lt;=0.2,"Leve",IF(AL11&lt;=0.4,"Menor",IF(AL11&lt;=0.6,"Moderado",IF(AL11&lt;=0.8,"Mayor","Catastrófico"))))),"")</f>
        <v/>
      </c>
      <c r="AL11" s="156" t="str">
        <f>IFERROR(IF(W11="Impacto",(S11-(+S11*AD11)),IF(W11="Probabilidad",S11,"")),"")</f>
        <v/>
      </c>
      <c r="AM11" s="159" t="str">
        <f t="shared" si="8"/>
        <v/>
      </c>
      <c r="AN11" s="578"/>
      <c r="AO11" s="200"/>
      <c r="AP11" s="199"/>
      <c r="AQ11" s="210"/>
      <c r="AR11" s="160"/>
      <c r="AS11" s="154"/>
      <c r="AT11" s="210"/>
      <c r="AU11" s="200"/>
      <c r="AV11" s="160"/>
      <c r="AW11" s="154"/>
      <c r="AX11" s="160"/>
      <c r="AY11" s="154"/>
      <c r="AZ11" s="153"/>
      <c r="BA11" s="154"/>
      <c r="BB11" s="154"/>
      <c r="BC11" s="153"/>
      <c r="BD11" s="160"/>
      <c r="BE11" s="160"/>
      <c r="BF11" s="200"/>
      <c r="BG11" s="200"/>
      <c r="BH11" s="199"/>
      <c r="BI11" s="210"/>
      <c r="BJ11" s="210"/>
      <c r="BK11" s="154"/>
      <c r="BL11" s="154"/>
      <c r="BM11" s="153"/>
      <c r="BN11" s="160"/>
      <c r="BO11" s="160"/>
      <c r="BP11" s="154"/>
      <c r="BQ11" s="154"/>
      <c r="BR11" s="153"/>
      <c r="BS11" s="160"/>
      <c r="BT11" s="160"/>
      <c r="BU11" s="160"/>
      <c r="BV11" s="154"/>
      <c r="BW11" s="154"/>
      <c r="BX11" s="154"/>
      <c r="BY11" s="160"/>
      <c r="BZ11" s="154"/>
      <c r="CA11" s="154"/>
      <c r="CB11" s="749"/>
      <c r="CC11" s="154"/>
      <c r="CD11" s="153"/>
      <c r="CE11" s="154"/>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row>
    <row r="12" spans="1:109" ht="15.75" customHeight="1" x14ac:dyDescent="0.25">
      <c r="A12" s="570"/>
      <c r="B12" s="571"/>
      <c r="C12" s="571"/>
      <c r="D12" s="571"/>
      <c r="E12" s="572"/>
      <c r="F12" s="571"/>
      <c r="G12" s="571"/>
      <c r="H12" s="571"/>
      <c r="I12" s="200"/>
      <c r="J12" s="200"/>
      <c r="K12" s="571"/>
      <c r="L12" s="572"/>
      <c r="M12" s="570"/>
      <c r="N12" s="576"/>
      <c r="O12" s="575"/>
      <c r="P12" s="581"/>
      <c r="Q12" s="575">
        <f t="shared" ref="Q12:Q16" si="9">IF(NOT(ISERROR(MATCH(P12,_xlfn.ANCHORARRAY(E23),0))),O25&amp;"Por favor no seleccionar los criterios de impacto",P12)</f>
        <v>0</v>
      </c>
      <c r="R12" s="576"/>
      <c r="S12" s="575"/>
      <c r="T12" s="577"/>
      <c r="U12" s="199">
        <v>2</v>
      </c>
      <c r="V12" s="202"/>
      <c r="W12" s="155" t="str">
        <f t="shared" si="0"/>
        <v/>
      </c>
      <c r="X12" s="155"/>
      <c r="Y12" s="155"/>
      <c r="Z12" s="155"/>
      <c r="AA12" s="155"/>
      <c r="AB12" s="203"/>
      <c r="AC12" s="203"/>
      <c r="AD12" s="156" t="str">
        <f t="shared" si="4"/>
        <v/>
      </c>
      <c r="AE12" s="203"/>
      <c r="AF12" s="203"/>
      <c r="AG12" s="203"/>
      <c r="AH12" s="163" t="str">
        <f>IFERROR(IF(AND(W11="Probabilidad",W12="Probabilidad"),(AJ11-(+AJ11*AD12)),IF(W12="Probabilidad",(O11-(+O11*AD12)),IF(W12="Impacto",AJ11,""))),"")</f>
        <v/>
      </c>
      <c r="AI12" s="158" t="str">
        <f t="shared" si="5"/>
        <v/>
      </c>
      <c r="AJ12" s="156" t="str">
        <f t="shared" si="6"/>
        <v/>
      </c>
      <c r="AK12" s="158" t="str">
        <f t="shared" si="7"/>
        <v/>
      </c>
      <c r="AL12" s="156" t="str">
        <f>IFERROR(IF(AND(W11="Impacto",W12="Impacto"),(AL5-(+AL5*AD12)),IF(W12="Impacto",($S$11-(+$S$11*AD12)),IF(W12="Probabilidad",AL5,""))),"")</f>
        <v/>
      </c>
      <c r="AM12" s="159" t="str">
        <f t="shared" si="8"/>
        <v/>
      </c>
      <c r="AN12" s="579"/>
      <c r="AO12" s="200"/>
      <c r="AP12" s="199"/>
      <c r="AQ12" s="210"/>
      <c r="AR12" s="160"/>
      <c r="AS12" s="154"/>
      <c r="AT12" s="210"/>
      <c r="AU12" s="200"/>
      <c r="AV12" s="160"/>
      <c r="AW12" s="154"/>
      <c r="AX12" s="160"/>
      <c r="AY12" s="154"/>
      <c r="AZ12" s="153"/>
      <c r="BA12" s="154"/>
      <c r="BB12" s="154"/>
      <c r="BC12" s="153"/>
      <c r="BD12" s="160"/>
      <c r="BE12" s="160"/>
      <c r="BF12" s="200"/>
      <c r="BG12" s="200"/>
      <c r="BH12" s="199"/>
      <c r="BI12" s="210"/>
      <c r="BJ12" s="210"/>
      <c r="BK12" s="154"/>
      <c r="BL12" s="154"/>
      <c r="BM12" s="153"/>
      <c r="BN12" s="160"/>
      <c r="BO12" s="160"/>
      <c r="BP12" s="154"/>
      <c r="BQ12" s="154"/>
      <c r="BR12" s="153"/>
      <c r="BS12" s="160"/>
      <c r="BT12" s="160"/>
      <c r="BU12" s="160"/>
      <c r="BV12" s="154"/>
      <c r="BW12" s="154"/>
      <c r="BX12" s="154"/>
      <c r="BY12" s="160"/>
      <c r="BZ12" s="154"/>
      <c r="CA12" s="154"/>
      <c r="CB12" s="749"/>
      <c r="CC12" s="154"/>
      <c r="CD12" s="153"/>
      <c r="CE12" s="154"/>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row>
    <row r="13" spans="1:109" ht="15.75" customHeight="1" x14ac:dyDescent="0.25">
      <c r="A13" s="570"/>
      <c r="B13" s="571"/>
      <c r="C13" s="571"/>
      <c r="D13" s="571"/>
      <c r="E13" s="572"/>
      <c r="F13" s="571"/>
      <c r="G13" s="571"/>
      <c r="H13" s="571"/>
      <c r="I13" s="200"/>
      <c r="J13" s="200"/>
      <c r="K13" s="571"/>
      <c r="L13" s="572"/>
      <c r="M13" s="570"/>
      <c r="N13" s="576"/>
      <c r="O13" s="575"/>
      <c r="P13" s="581"/>
      <c r="Q13" s="575">
        <f t="shared" si="9"/>
        <v>0</v>
      </c>
      <c r="R13" s="576"/>
      <c r="S13" s="575"/>
      <c r="T13" s="577"/>
      <c r="U13" s="199">
        <v>3</v>
      </c>
      <c r="V13" s="204"/>
      <c r="W13" s="155" t="str">
        <f t="shared" si="0"/>
        <v/>
      </c>
      <c r="X13" s="155"/>
      <c r="Y13" s="155"/>
      <c r="Z13" s="155"/>
      <c r="AA13" s="155"/>
      <c r="AB13" s="203"/>
      <c r="AC13" s="203"/>
      <c r="AD13" s="156" t="str">
        <f t="shared" si="4"/>
        <v/>
      </c>
      <c r="AE13" s="203"/>
      <c r="AF13" s="203"/>
      <c r="AG13" s="203"/>
      <c r="AH13" s="163" t="str">
        <f>IFERROR(IF(AND(W12="Probabilidad",W13="Probabilidad"),(AJ12-(+AJ12*AD13)),IF(AND(W12="Impacto",W13="Probabilidad"),(AJ11-(+AJ11*AD13)),IF(W13="Impacto",AJ12,""))),"")</f>
        <v/>
      </c>
      <c r="AI13" s="158" t="str">
        <f t="shared" si="5"/>
        <v/>
      </c>
      <c r="AJ13" s="156" t="str">
        <f t="shared" si="6"/>
        <v/>
      </c>
      <c r="AK13" s="158" t="str">
        <f t="shared" si="7"/>
        <v/>
      </c>
      <c r="AL13" s="156" t="str">
        <f>IFERROR(IF(AND(W12="Impacto",W13="Impacto"),(AL12-(+AL12*AD13)),IF(AND(W12="Probabilidad",W13="Impacto"),(AL11-(+AL11*AD13)),IF(W13="Probabilidad",AL12,""))),"")</f>
        <v/>
      </c>
      <c r="AM13" s="159" t="str">
        <f t="shared" si="8"/>
        <v/>
      </c>
      <c r="AN13" s="579"/>
      <c r="AO13" s="200"/>
      <c r="AP13" s="199"/>
      <c r="AQ13" s="210"/>
      <c r="AR13" s="160"/>
      <c r="AS13" s="154"/>
      <c r="AT13" s="210"/>
      <c r="AU13" s="200"/>
      <c r="AV13" s="160"/>
      <c r="AW13" s="154"/>
      <c r="AX13" s="160"/>
      <c r="AY13" s="154"/>
      <c r="AZ13" s="153"/>
      <c r="BA13" s="154"/>
      <c r="BB13" s="154"/>
      <c r="BC13" s="153"/>
      <c r="BD13" s="160"/>
      <c r="BE13" s="160"/>
      <c r="BF13" s="200"/>
      <c r="BG13" s="200"/>
      <c r="BH13" s="199"/>
      <c r="BI13" s="210"/>
      <c r="BJ13" s="210"/>
      <c r="BK13" s="154"/>
      <c r="BL13" s="154"/>
      <c r="BM13" s="153"/>
      <c r="BN13" s="160"/>
      <c r="BO13" s="160"/>
      <c r="BP13" s="154"/>
      <c r="BQ13" s="154"/>
      <c r="BR13" s="153"/>
      <c r="BS13" s="160"/>
      <c r="BT13" s="160"/>
      <c r="BU13" s="160"/>
      <c r="BV13" s="154"/>
      <c r="BW13" s="154"/>
      <c r="BX13" s="154"/>
      <c r="BY13" s="160"/>
      <c r="BZ13" s="154"/>
      <c r="CA13" s="154"/>
      <c r="CB13" s="749"/>
      <c r="CC13" s="154"/>
      <c r="CD13" s="153"/>
      <c r="CE13" s="154"/>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row>
    <row r="14" spans="1:109" ht="15.75" customHeight="1" x14ac:dyDescent="0.25">
      <c r="A14" s="570"/>
      <c r="B14" s="571"/>
      <c r="C14" s="571"/>
      <c r="D14" s="571"/>
      <c r="E14" s="572"/>
      <c r="F14" s="571"/>
      <c r="G14" s="571"/>
      <c r="H14" s="571"/>
      <c r="I14" s="200"/>
      <c r="J14" s="200"/>
      <c r="K14" s="571"/>
      <c r="L14" s="572"/>
      <c r="M14" s="570"/>
      <c r="N14" s="576"/>
      <c r="O14" s="575"/>
      <c r="P14" s="581"/>
      <c r="Q14" s="575">
        <f t="shared" si="9"/>
        <v>0</v>
      </c>
      <c r="R14" s="576"/>
      <c r="S14" s="575"/>
      <c r="T14" s="577"/>
      <c r="U14" s="199">
        <v>4</v>
      </c>
      <c r="V14" s="202"/>
      <c r="W14" s="155" t="str">
        <f t="shared" si="0"/>
        <v/>
      </c>
      <c r="X14" s="155"/>
      <c r="Y14" s="155"/>
      <c r="Z14" s="155"/>
      <c r="AA14" s="155"/>
      <c r="AB14" s="203"/>
      <c r="AC14" s="203"/>
      <c r="AD14" s="156" t="str">
        <f t="shared" si="4"/>
        <v/>
      </c>
      <c r="AE14" s="203"/>
      <c r="AF14" s="203"/>
      <c r="AG14" s="203"/>
      <c r="AH14" s="163" t="str">
        <f>IFERROR(IF(AND(W13="Probabilidad",W14="Probabilidad"),(AJ13-(+AJ13*AD14)),IF(AND(W13="Impacto",W14="Probabilidad"),(AJ12-(+AJ12*AD14)),IF(W14="Impacto",AJ13,""))),"")</f>
        <v/>
      </c>
      <c r="AI14" s="158" t="str">
        <f t="shared" si="5"/>
        <v/>
      </c>
      <c r="AJ14" s="156" t="str">
        <f t="shared" si="6"/>
        <v/>
      </c>
      <c r="AK14" s="158" t="str">
        <f t="shared" si="7"/>
        <v/>
      </c>
      <c r="AL14" s="156" t="str">
        <f>IFERROR(IF(AND(W13="Impacto",W14="Impacto"),(AL13-(+AL13*AD14)),IF(AND(W13="Probabilidad",W14="Impacto"),(AL12-(+AL12*AD14)),IF(W14="Probabilidad",AL13,""))),"")</f>
        <v/>
      </c>
      <c r="AM14" s="159" t="str">
        <f t="shared" si="8"/>
        <v/>
      </c>
      <c r="AN14" s="579"/>
      <c r="AO14" s="200"/>
      <c r="AP14" s="199"/>
      <c r="AQ14" s="210"/>
      <c r="AR14" s="160"/>
      <c r="AS14" s="154"/>
      <c r="AT14" s="210"/>
      <c r="AU14" s="200"/>
      <c r="AV14" s="160"/>
      <c r="AW14" s="154"/>
      <c r="AX14" s="160"/>
      <c r="AY14" s="154"/>
      <c r="AZ14" s="153"/>
      <c r="BA14" s="154"/>
      <c r="BB14" s="154"/>
      <c r="BC14" s="153"/>
      <c r="BD14" s="160"/>
      <c r="BE14" s="160"/>
      <c r="BF14" s="200"/>
      <c r="BG14" s="200"/>
      <c r="BH14" s="199"/>
      <c r="BI14" s="210"/>
      <c r="BJ14" s="210"/>
      <c r="BK14" s="154"/>
      <c r="BL14" s="154"/>
      <c r="BM14" s="153"/>
      <c r="BN14" s="160"/>
      <c r="BO14" s="160"/>
      <c r="BP14" s="154"/>
      <c r="BQ14" s="154"/>
      <c r="BR14" s="153"/>
      <c r="BS14" s="160"/>
      <c r="BT14" s="160"/>
      <c r="BU14" s="160"/>
      <c r="BV14" s="154"/>
      <c r="BW14" s="154"/>
      <c r="BX14" s="154"/>
      <c r="BY14" s="160"/>
      <c r="BZ14" s="154"/>
      <c r="CA14" s="154"/>
      <c r="CB14" s="749"/>
      <c r="CC14" s="154"/>
      <c r="CD14" s="153"/>
      <c r="CE14" s="154"/>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row>
    <row r="15" spans="1:109" ht="15.75" customHeight="1" x14ac:dyDescent="0.25">
      <c r="A15" s="570"/>
      <c r="B15" s="571"/>
      <c r="C15" s="571"/>
      <c r="D15" s="571"/>
      <c r="E15" s="572"/>
      <c r="F15" s="571"/>
      <c r="G15" s="571"/>
      <c r="H15" s="571"/>
      <c r="I15" s="200"/>
      <c r="J15" s="200"/>
      <c r="K15" s="571"/>
      <c r="L15" s="572"/>
      <c r="M15" s="570"/>
      <c r="N15" s="576"/>
      <c r="O15" s="575"/>
      <c r="P15" s="581"/>
      <c r="Q15" s="575">
        <f t="shared" si="9"/>
        <v>0</v>
      </c>
      <c r="R15" s="576"/>
      <c r="S15" s="575"/>
      <c r="T15" s="577"/>
      <c r="U15" s="199">
        <v>5</v>
      </c>
      <c r="V15" s="202"/>
      <c r="W15" s="155" t="str">
        <f t="shared" si="0"/>
        <v/>
      </c>
      <c r="X15" s="155"/>
      <c r="Y15" s="155"/>
      <c r="Z15" s="155"/>
      <c r="AA15" s="155"/>
      <c r="AB15" s="203"/>
      <c r="AC15" s="203"/>
      <c r="AD15" s="156" t="str">
        <f t="shared" si="4"/>
        <v/>
      </c>
      <c r="AE15" s="203"/>
      <c r="AF15" s="203"/>
      <c r="AG15" s="203"/>
      <c r="AH15" s="163" t="str">
        <f>IFERROR(IF(AND(W14="Probabilidad",W15="Probabilidad"),(AJ14-(+AJ14*AD15)),IF(AND(W14="Impacto",W15="Probabilidad"),(AJ13-(+AJ13*AD15)),IF(W15="Impacto",AJ14,""))),"")</f>
        <v/>
      </c>
      <c r="AI15" s="158" t="str">
        <f t="shared" si="5"/>
        <v/>
      </c>
      <c r="AJ15" s="156" t="str">
        <f t="shared" si="6"/>
        <v/>
      </c>
      <c r="AK15" s="158" t="str">
        <f t="shared" si="7"/>
        <v/>
      </c>
      <c r="AL15" s="156" t="str">
        <f>IFERROR(IF(AND(W14="Impacto",W15="Impacto"),(AL14-(+AL14*AD15)),IF(AND(W14="Probabilidad",W15="Impacto"),(AL13-(+AL13*AD15)),IF(W15="Probabilidad",AL14,""))),"")</f>
        <v/>
      </c>
      <c r="AM15" s="159" t="str">
        <f t="shared" si="8"/>
        <v/>
      </c>
      <c r="AN15" s="579"/>
      <c r="AO15" s="200"/>
      <c r="AP15" s="199"/>
      <c r="AQ15" s="210"/>
      <c r="AR15" s="160"/>
      <c r="AS15" s="154"/>
      <c r="AT15" s="210"/>
      <c r="AU15" s="200"/>
      <c r="AV15" s="160"/>
      <c r="AW15" s="154"/>
      <c r="AX15" s="160"/>
      <c r="AY15" s="154"/>
      <c r="AZ15" s="153"/>
      <c r="BA15" s="154"/>
      <c r="BB15" s="154"/>
      <c r="BC15" s="153"/>
      <c r="BD15" s="160"/>
      <c r="BE15" s="160"/>
      <c r="BF15" s="200"/>
      <c r="BG15" s="200"/>
      <c r="BH15" s="199"/>
      <c r="BI15" s="210"/>
      <c r="BJ15" s="210"/>
      <c r="BK15" s="154"/>
      <c r="BL15" s="154"/>
      <c r="BM15" s="153"/>
      <c r="BN15" s="160"/>
      <c r="BO15" s="160"/>
      <c r="BP15" s="154"/>
      <c r="BQ15" s="154"/>
      <c r="BR15" s="153"/>
      <c r="BS15" s="160"/>
      <c r="BT15" s="160"/>
      <c r="BU15" s="160"/>
      <c r="BV15" s="154"/>
      <c r="BW15" s="154"/>
      <c r="BX15" s="154"/>
      <c r="BY15" s="160"/>
      <c r="BZ15" s="154"/>
      <c r="CA15" s="154"/>
      <c r="CB15" s="749"/>
      <c r="CC15" s="154"/>
      <c r="CD15" s="153"/>
      <c r="CE15" s="154"/>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row>
    <row r="16" spans="1:109" ht="15.75" customHeight="1" x14ac:dyDescent="0.25">
      <c r="A16" s="570"/>
      <c r="B16" s="571"/>
      <c r="C16" s="571"/>
      <c r="D16" s="571"/>
      <c r="E16" s="572"/>
      <c r="F16" s="571"/>
      <c r="G16" s="571"/>
      <c r="H16" s="571"/>
      <c r="I16" s="200"/>
      <c r="J16" s="200"/>
      <c r="K16" s="571"/>
      <c r="L16" s="572"/>
      <c r="M16" s="570"/>
      <c r="N16" s="576"/>
      <c r="O16" s="575"/>
      <c r="P16" s="581"/>
      <c r="Q16" s="575">
        <f t="shared" si="9"/>
        <v>0</v>
      </c>
      <c r="R16" s="576"/>
      <c r="S16" s="575"/>
      <c r="T16" s="577"/>
      <c r="U16" s="199">
        <v>6</v>
      </c>
      <c r="V16" s="202"/>
      <c r="W16" s="155" t="str">
        <f t="shared" si="0"/>
        <v/>
      </c>
      <c r="X16" s="155"/>
      <c r="Y16" s="155"/>
      <c r="Z16" s="155"/>
      <c r="AA16" s="155"/>
      <c r="AB16" s="203"/>
      <c r="AC16" s="203"/>
      <c r="AD16" s="156" t="str">
        <f t="shared" si="4"/>
        <v/>
      </c>
      <c r="AE16" s="203"/>
      <c r="AF16" s="203"/>
      <c r="AG16" s="203"/>
      <c r="AH16" s="163" t="str">
        <f>IFERROR(IF(AND(W15="Probabilidad",W16="Probabilidad"),(AJ15-(+AJ15*AD16)),IF(AND(W15="Impacto",W16="Probabilidad"),(AJ14-(+AJ14*AD16)),IF(W16="Impacto",AJ15,""))),"")</f>
        <v/>
      </c>
      <c r="AI16" s="158" t="str">
        <f t="shared" si="5"/>
        <v/>
      </c>
      <c r="AJ16" s="156" t="str">
        <f t="shared" si="6"/>
        <v/>
      </c>
      <c r="AK16" s="158" t="str">
        <f t="shared" si="7"/>
        <v/>
      </c>
      <c r="AL16" s="156" t="str">
        <f>IFERROR(IF(AND(W15="Impacto",W16="Impacto"),(AL15-(+AL15*AD16)),IF(AND(W15="Probabilidad",W16="Impacto"),(AL14-(+AL14*AD16)),IF(W16="Probabilidad",AL15,""))),"")</f>
        <v/>
      </c>
      <c r="AM16" s="159" t="str">
        <f t="shared" si="8"/>
        <v/>
      </c>
      <c r="AN16" s="580"/>
      <c r="AO16" s="200"/>
      <c r="AP16" s="199"/>
      <c r="AQ16" s="210"/>
      <c r="AR16" s="160"/>
      <c r="AS16" s="154"/>
      <c r="AT16" s="210"/>
      <c r="AU16" s="200"/>
      <c r="AV16" s="160"/>
      <c r="AW16" s="154"/>
      <c r="AX16" s="160"/>
      <c r="AY16" s="154"/>
      <c r="AZ16" s="153"/>
      <c r="BA16" s="154"/>
      <c r="BB16" s="154"/>
      <c r="BC16" s="153"/>
      <c r="BD16" s="160"/>
      <c r="BE16" s="160"/>
      <c r="BF16" s="200"/>
      <c r="BG16" s="200"/>
      <c r="BH16" s="199"/>
      <c r="BI16" s="210"/>
      <c r="BJ16" s="210"/>
      <c r="BK16" s="154"/>
      <c r="BL16" s="154"/>
      <c r="BM16" s="153"/>
      <c r="BN16" s="160"/>
      <c r="BO16" s="160"/>
      <c r="BP16" s="154"/>
      <c r="BQ16" s="154"/>
      <c r="BR16" s="153"/>
      <c r="BS16" s="160"/>
      <c r="BT16" s="160"/>
      <c r="BU16" s="160"/>
      <c r="BV16" s="154"/>
      <c r="BW16" s="154"/>
      <c r="BX16" s="154"/>
      <c r="BY16" s="160"/>
      <c r="BZ16" s="154"/>
      <c r="CA16" s="154"/>
      <c r="CB16" s="749"/>
      <c r="CC16" s="154"/>
      <c r="CD16" s="153"/>
      <c r="CE16" s="154"/>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row>
    <row r="17" spans="1:109" ht="15.75" customHeight="1" x14ac:dyDescent="0.25">
      <c r="A17" s="570">
        <v>3</v>
      </c>
      <c r="B17" s="571"/>
      <c r="C17" s="571"/>
      <c r="D17" s="571"/>
      <c r="E17" s="572"/>
      <c r="F17" s="571"/>
      <c r="G17" s="571"/>
      <c r="H17" s="571"/>
      <c r="I17" s="200"/>
      <c r="J17" s="200"/>
      <c r="K17" s="571"/>
      <c r="L17" s="572"/>
      <c r="M17" s="570"/>
      <c r="N17" s="576" t="str">
        <f>IF(M17&lt;=0,"",IF(M17&lt;=2,"Muy Baja",IF(M17&lt;=24,"Baja",IF(M17&lt;=500,"Media",IF(M17&lt;=5000,"Alta","Muy Alta")))))</f>
        <v/>
      </c>
      <c r="O17" s="575" t="str">
        <f>IF(N17="","",IF(N17="Muy Baja",0.2,IF(N17="Baja",0.4,IF(N17="Media",0.6,IF(N17="Alta",0.8,IF(N17="Muy Alta",1,))))))</f>
        <v/>
      </c>
      <c r="P17" s="581"/>
      <c r="Q17" s="575">
        <f>IF(NOT(ISERROR(MATCH(P17,'Tabla Impacto'!$B$221:$B$223,0))),'Tabla Impacto'!$F$223&amp;"Por favor no seleccionar los criterios de impacto(Afectación Económica o presupuestal y Pérdida Reputacional)",P17)</f>
        <v>0</v>
      </c>
      <c r="R17" s="576" t="str">
        <f>IF(OR(Q17='Tabla Impacto'!$C$11,Q17='Tabla Impacto'!$D$11),"Leve",IF(OR(Q17='Tabla Impacto'!$C$12,Q17='Tabla Impacto'!$D$12),"Menor",IF(OR(Q17='Tabla Impacto'!$C$13,Q17='Tabla Impacto'!$D$13),"Moderado",IF(OR(Q17='Tabla Impacto'!$C$14,Q17='Tabla Impacto'!$D$14),"Mayor",IF(OR(Q17='Tabla Impacto'!$C$15,Q17='Tabla Impacto'!$D$15),"Catastrófico","")))))</f>
        <v/>
      </c>
      <c r="S17" s="575" t="str">
        <f>IF(R17="","",IF(R17="Leve",0.2,IF(R17="Menor",0.4,IF(R17="Moderado",0.6,IF(R17="Mayor",0.8,IF(R17="Catastrófico",1,))))))</f>
        <v/>
      </c>
      <c r="T17" s="577"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99">
        <v>1</v>
      </c>
      <c r="V17" s="202"/>
      <c r="W17" s="155" t="str">
        <f t="shared" si="0"/>
        <v/>
      </c>
      <c r="X17" s="155"/>
      <c r="Y17" s="155"/>
      <c r="Z17" s="155"/>
      <c r="AA17" s="155"/>
      <c r="AB17" s="203"/>
      <c r="AC17" s="203"/>
      <c r="AD17" s="156" t="str">
        <f t="shared" si="4"/>
        <v/>
      </c>
      <c r="AE17" s="203"/>
      <c r="AF17" s="203"/>
      <c r="AG17" s="203"/>
      <c r="AH17" s="163" t="str">
        <f>IFERROR(IF(W17="Probabilidad",(O17-(+O17*AD17)),IF(W17="Impacto",O17,"")),"")</f>
        <v/>
      </c>
      <c r="AI17" s="158" t="str">
        <f>IFERROR(IF(AH17="","",IF(AH17&lt;=0.2,"Muy Baja",IF(AH17&lt;=0.4,"Baja",IF(AH17&lt;=0.6,"Media",IF(AH17&lt;=0.8,"Alta","Muy Alta"))))),"")</f>
        <v/>
      </c>
      <c r="AJ17" s="156" t="str">
        <f t="shared" si="6"/>
        <v/>
      </c>
      <c r="AK17" s="158" t="str">
        <f>IFERROR(IF(AL17="","",IF(AL17&lt;=0.2,"Leve",IF(AL17&lt;=0.4,"Menor",IF(AL17&lt;=0.6,"Moderado",IF(AL17&lt;=0.8,"Mayor","Catastrófico"))))),"")</f>
        <v/>
      </c>
      <c r="AL17" s="156" t="str">
        <f>IFERROR(IF(W17="Impacto",(S17-(+S17*AD17)),IF(W17="Probabilidad",S17,"")),"")</f>
        <v/>
      </c>
      <c r="AM17" s="159" t="str">
        <f t="shared" si="8"/>
        <v/>
      </c>
      <c r="AN17" s="578"/>
      <c r="AO17" s="200"/>
      <c r="AP17" s="199"/>
      <c r="AQ17" s="210"/>
      <c r="AR17" s="160"/>
      <c r="AS17" s="154"/>
      <c r="AT17" s="210"/>
      <c r="AU17" s="200"/>
      <c r="AV17" s="160"/>
      <c r="AW17" s="154"/>
      <c r="AX17" s="160"/>
      <c r="AY17" s="154"/>
      <c r="AZ17" s="153"/>
      <c r="BA17" s="154"/>
      <c r="BB17" s="154"/>
      <c r="BC17" s="153"/>
      <c r="BD17" s="160"/>
      <c r="BE17" s="160"/>
      <c r="BF17" s="200"/>
      <c r="BG17" s="200"/>
      <c r="BH17" s="199"/>
      <c r="BI17" s="210"/>
      <c r="BJ17" s="210"/>
      <c r="BK17" s="154"/>
      <c r="BL17" s="154"/>
      <c r="BM17" s="153"/>
      <c r="BN17" s="160"/>
      <c r="BO17" s="160"/>
      <c r="BP17" s="154"/>
      <c r="BQ17" s="154"/>
      <c r="BR17" s="153"/>
      <c r="BS17" s="160"/>
      <c r="BT17" s="160"/>
      <c r="BU17" s="160"/>
      <c r="BV17" s="154"/>
      <c r="BW17" s="154"/>
      <c r="BX17" s="154"/>
      <c r="BY17" s="160"/>
      <c r="BZ17" s="154"/>
      <c r="CA17" s="154"/>
      <c r="CB17" s="749"/>
      <c r="CC17" s="154"/>
      <c r="CD17" s="153"/>
      <c r="CE17" s="154"/>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row>
    <row r="18" spans="1:109" ht="15.75" customHeight="1" x14ac:dyDescent="0.25">
      <c r="A18" s="570"/>
      <c r="B18" s="571"/>
      <c r="C18" s="571"/>
      <c r="D18" s="571"/>
      <c r="E18" s="572"/>
      <c r="F18" s="571"/>
      <c r="G18" s="571"/>
      <c r="H18" s="571"/>
      <c r="I18" s="200"/>
      <c r="J18" s="200"/>
      <c r="K18" s="571"/>
      <c r="L18" s="572"/>
      <c r="M18" s="570"/>
      <c r="N18" s="576"/>
      <c r="O18" s="575"/>
      <c r="P18" s="581"/>
      <c r="Q18" s="575">
        <f t="shared" ref="Q18:Q22" si="10">IF(NOT(ISERROR(MATCH(P18,_xlfn.ANCHORARRAY(E29),0))),O31&amp;"Por favor no seleccionar los criterios de impacto",P18)</f>
        <v>0</v>
      </c>
      <c r="R18" s="576"/>
      <c r="S18" s="575"/>
      <c r="T18" s="577"/>
      <c r="U18" s="199">
        <v>2</v>
      </c>
      <c r="V18" s="202"/>
      <c r="W18" s="155" t="str">
        <f t="shared" si="0"/>
        <v/>
      </c>
      <c r="X18" s="155"/>
      <c r="Y18" s="155"/>
      <c r="Z18" s="155"/>
      <c r="AA18" s="155"/>
      <c r="AB18" s="203"/>
      <c r="AC18" s="203"/>
      <c r="AD18" s="156" t="str">
        <f t="shared" si="4"/>
        <v/>
      </c>
      <c r="AE18" s="203"/>
      <c r="AF18" s="203"/>
      <c r="AG18" s="203"/>
      <c r="AH18" s="163" t="str">
        <f>IFERROR(IF(AND(W17="Probabilidad",W18="Probabilidad"),(AJ17-(+AJ17*AD18)),IF(W18="Probabilidad",(O17-(+O17*AD18)),IF(W18="Impacto",AJ17,""))),"")</f>
        <v/>
      </c>
      <c r="AI18" s="158" t="str">
        <f t="shared" si="5"/>
        <v/>
      </c>
      <c r="AJ18" s="156" t="str">
        <f t="shared" si="6"/>
        <v/>
      </c>
      <c r="AK18" s="158" t="str">
        <f t="shared" si="7"/>
        <v/>
      </c>
      <c r="AL18" s="156" t="str">
        <f>IFERROR(IF(AND(W17="Impacto",W18="Impacto"),(AL11-(+AL11*AD18)),IF(W18="Impacto",($S$17-(+$S$17*AD18)),IF(W18="Probabilidad",AL11,""))),"")</f>
        <v/>
      </c>
      <c r="AM18" s="159" t="str">
        <f t="shared" si="8"/>
        <v/>
      </c>
      <c r="AN18" s="579"/>
      <c r="AO18" s="200"/>
      <c r="AP18" s="199"/>
      <c r="AQ18" s="210"/>
      <c r="AR18" s="160"/>
      <c r="AS18" s="154"/>
      <c r="AT18" s="210"/>
      <c r="AU18" s="200"/>
      <c r="AV18" s="160"/>
      <c r="AW18" s="154"/>
      <c r="AX18" s="160"/>
      <c r="AY18" s="154"/>
      <c r="AZ18" s="153"/>
      <c r="BA18" s="154"/>
      <c r="BB18" s="154"/>
      <c r="BC18" s="153"/>
      <c r="BD18" s="160"/>
      <c r="BE18" s="160"/>
      <c r="BF18" s="200"/>
      <c r="BG18" s="200"/>
      <c r="BH18" s="199"/>
      <c r="BI18" s="210"/>
      <c r="BJ18" s="210"/>
      <c r="BK18" s="154"/>
      <c r="BL18" s="154"/>
      <c r="BM18" s="153"/>
      <c r="BN18" s="160"/>
      <c r="BO18" s="160"/>
      <c r="BP18" s="154"/>
      <c r="BQ18" s="154"/>
      <c r="BR18" s="153"/>
      <c r="BS18" s="160"/>
      <c r="BT18" s="160"/>
      <c r="BU18" s="160"/>
      <c r="BV18" s="154"/>
      <c r="BW18" s="154"/>
      <c r="BX18" s="154"/>
      <c r="BY18" s="160"/>
      <c r="BZ18" s="154"/>
      <c r="CA18" s="154"/>
      <c r="CB18" s="749"/>
      <c r="CC18" s="154"/>
      <c r="CD18" s="153"/>
      <c r="CE18" s="154"/>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row>
    <row r="19" spans="1:109" ht="15.75" customHeight="1" x14ac:dyDescent="0.25">
      <c r="A19" s="570"/>
      <c r="B19" s="571"/>
      <c r="C19" s="571"/>
      <c r="D19" s="571"/>
      <c r="E19" s="572"/>
      <c r="F19" s="571"/>
      <c r="G19" s="571"/>
      <c r="H19" s="571"/>
      <c r="I19" s="200"/>
      <c r="J19" s="200"/>
      <c r="K19" s="571"/>
      <c r="L19" s="572"/>
      <c r="M19" s="570"/>
      <c r="N19" s="576"/>
      <c r="O19" s="575"/>
      <c r="P19" s="581"/>
      <c r="Q19" s="575">
        <f t="shared" si="10"/>
        <v>0</v>
      </c>
      <c r="R19" s="576"/>
      <c r="S19" s="575"/>
      <c r="T19" s="577"/>
      <c r="U19" s="199">
        <v>3</v>
      </c>
      <c r="V19" s="204"/>
      <c r="W19" s="155" t="str">
        <f t="shared" si="0"/>
        <v/>
      </c>
      <c r="X19" s="155"/>
      <c r="Y19" s="155"/>
      <c r="Z19" s="155"/>
      <c r="AA19" s="155"/>
      <c r="AB19" s="203"/>
      <c r="AC19" s="203"/>
      <c r="AD19" s="156" t="str">
        <f t="shared" si="4"/>
        <v/>
      </c>
      <c r="AE19" s="203"/>
      <c r="AF19" s="203"/>
      <c r="AG19" s="203"/>
      <c r="AH19" s="163" t="str">
        <f>IFERROR(IF(AND(W18="Probabilidad",W19="Probabilidad"),(AJ18-(+AJ18*AD19)),IF(AND(W18="Impacto",W19="Probabilidad"),(AJ17-(+AJ17*AD19)),IF(W19="Impacto",AJ18,""))),"")</f>
        <v/>
      </c>
      <c r="AI19" s="158" t="str">
        <f t="shared" si="5"/>
        <v/>
      </c>
      <c r="AJ19" s="156" t="str">
        <f t="shared" si="6"/>
        <v/>
      </c>
      <c r="AK19" s="158" t="str">
        <f t="shared" si="7"/>
        <v/>
      </c>
      <c r="AL19" s="156" t="str">
        <f>IFERROR(IF(AND(W18="Impacto",W19="Impacto"),(AL18-(+AL18*AD19)),IF(AND(W18="Probabilidad",W19="Impacto"),(AL17-(+AL17*AD19)),IF(W19="Probabilidad",AL18,""))),"")</f>
        <v/>
      </c>
      <c r="AM19" s="159" t="str">
        <f t="shared" si="8"/>
        <v/>
      </c>
      <c r="AN19" s="579"/>
      <c r="AO19" s="200"/>
      <c r="AP19" s="199"/>
      <c r="AQ19" s="210"/>
      <c r="AR19" s="160"/>
      <c r="AS19" s="154"/>
      <c r="AT19" s="210"/>
      <c r="AU19" s="200"/>
      <c r="AV19" s="160"/>
      <c r="AW19" s="154"/>
      <c r="AX19" s="160"/>
      <c r="AY19" s="154"/>
      <c r="AZ19" s="153"/>
      <c r="BA19" s="154"/>
      <c r="BB19" s="154"/>
      <c r="BC19" s="153"/>
      <c r="BD19" s="160"/>
      <c r="BE19" s="160"/>
      <c r="BF19" s="200"/>
      <c r="BG19" s="200"/>
      <c r="BH19" s="199"/>
      <c r="BI19" s="210"/>
      <c r="BJ19" s="210"/>
      <c r="BK19" s="154"/>
      <c r="BL19" s="154"/>
      <c r="BM19" s="153"/>
      <c r="BN19" s="160"/>
      <c r="BO19" s="160"/>
      <c r="BP19" s="154"/>
      <c r="BQ19" s="154"/>
      <c r="BR19" s="153"/>
      <c r="BS19" s="160"/>
      <c r="BT19" s="160"/>
      <c r="BU19" s="160"/>
      <c r="BV19" s="154"/>
      <c r="BW19" s="154"/>
      <c r="BX19" s="154"/>
      <c r="BY19" s="160"/>
      <c r="BZ19" s="154"/>
      <c r="CA19" s="154"/>
      <c r="CB19" s="749"/>
      <c r="CC19" s="154"/>
      <c r="CD19" s="153"/>
      <c r="CE19" s="154"/>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row>
    <row r="20" spans="1:109" ht="15.75" customHeight="1" x14ac:dyDescent="0.25">
      <c r="A20" s="570"/>
      <c r="B20" s="571"/>
      <c r="C20" s="571"/>
      <c r="D20" s="571"/>
      <c r="E20" s="572"/>
      <c r="F20" s="571"/>
      <c r="G20" s="571"/>
      <c r="H20" s="571"/>
      <c r="I20" s="200"/>
      <c r="J20" s="200"/>
      <c r="K20" s="571"/>
      <c r="L20" s="572"/>
      <c r="M20" s="570"/>
      <c r="N20" s="576"/>
      <c r="O20" s="575"/>
      <c r="P20" s="581"/>
      <c r="Q20" s="575">
        <f t="shared" si="10"/>
        <v>0</v>
      </c>
      <c r="R20" s="576"/>
      <c r="S20" s="575"/>
      <c r="T20" s="577"/>
      <c r="U20" s="199">
        <v>4</v>
      </c>
      <c r="V20" s="202"/>
      <c r="W20" s="155" t="str">
        <f t="shared" si="0"/>
        <v/>
      </c>
      <c r="X20" s="155"/>
      <c r="Y20" s="155"/>
      <c r="Z20" s="155"/>
      <c r="AA20" s="155"/>
      <c r="AB20" s="203"/>
      <c r="AC20" s="203"/>
      <c r="AD20" s="156" t="str">
        <f t="shared" si="4"/>
        <v/>
      </c>
      <c r="AE20" s="203"/>
      <c r="AF20" s="203"/>
      <c r="AG20" s="203"/>
      <c r="AH20" s="163" t="str">
        <f>IFERROR(IF(AND(W19="Probabilidad",W20="Probabilidad"),(AJ19-(+AJ19*AD20)),IF(AND(W19="Impacto",W20="Probabilidad"),(AJ18-(+AJ18*AD20)),IF(W20="Impacto",AJ19,""))),"")</f>
        <v/>
      </c>
      <c r="AI20" s="158" t="str">
        <f t="shared" si="5"/>
        <v/>
      </c>
      <c r="AJ20" s="156" t="str">
        <f t="shared" si="6"/>
        <v/>
      </c>
      <c r="AK20" s="158" t="str">
        <f t="shared" si="7"/>
        <v/>
      </c>
      <c r="AL20" s="156" t="str">
        <f>IFERROR(IF(AND(W19="Impacto",W20="Impacto"),(AL19-(+AL19*AD20)),IF(AND(W19="Probabilidad",W20="Impacto"),(AL18-(+AL18*AD20)),IF(W20="Probabilidad",AL19,""))),"")</f>
        <v/>
      </c>
      <c r="AM20" s="159" t="str">
        <f t="shared" si="8"/>
        <v/>
      </c>
      <c r="AN20" s="579"/>
      <c r="AO20" s="200"/>
      <c r="AP20" s="199"/>
      <c r="AQ20" s="210"/>
      <c r="AR20" s="160"/>
      <c r="AS20" s="154"/>
      <c r="AT20" s="210"/>
      <c r="AU20" s="200"/>
      <c r="AV20" s="160"/>
      <c r="AW20" s="154"/>
      <c r="AX20" s="160"/>
      <c r="AY20" s="154"/>
      <c r="AZ20" s="153"/>
      <c r="BA20" s="154"/>
      <c r="BB20" s="154"/>
      <c r="BC20" s="153"/>
      <c r="BD20" s="160"/>
      <c r="BE20" s="160"/>
      <c r="BF20" s="200"/>
      <c r="BG20" s="200"/>
      <c r="BH20" s="199"/>
      <c r="BI20" s="210"/>
      <c r="BJ20" s="210"/>
      <c r="BK20" s="154"/>
      <c r="BL20" s="154"/>
      <c r="BM20" s="153"/>
      <c r="BN20" s="160"/>
      <c r="BO20" s="160"/>
      <c r="BP20" s="154"/>
      <c r="BQ20" s="154"/>
      <c r="BR20" s="153"/>
      <c r="BS20" s="160"/>
      <c r="BT20" s="160"/>
      <c r="BU20" s="160"/>
      <c r="BV20" s="154"/>
      <c r="BW20" s="154"/>
      <c r="BX20" s="154"/>
      <c r="BY20" s="160"/>
      <c r="BZ20" s="154"/>
      <c r="CA20" s="154"/>
      <c r="CB20" s="749"/>
      <c r="CC20" s="154"/>
      <c r="CD20" s="153"/>
      <c r="CE20" s="154"/>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row>
    <row r="21" spans="1:109" ht="15.75" customHeight="1" x14ac:dyDescent="0.25">
      <c r="A21" s="570"/>
      <c r="B21" s="571"/>
      <c r="C21" s="571"/>
      <c r="D21" s="571"/>
      <c r="E21" s="572"/>
      <c r="F21" s="571"/>
      <c r="G21" s="571"/>
      <c r="H21" s="571"/>
      <c r="I21" s="200"/>
      <c r="J21" s="200"/>
      <c r="K21" s="571"/>
      <c r="L21" s="572"/>
      <c r="M21" s="570"/>
      <c r="N21" s="576"/>
      <c r="O21" s="575"/>
      <c r="P21" s="581"/>
      <c r="Q21" s="575">
        <f t="shared" si="10"/>
        <v>0</v>
      </c>
      <c r="R21" s="576"/>
      <c r="S21" s="575"/>
      <c r="T21" s="577"/>
      <c r="U21" s="199">
        <v>5</v>
      </c>
      <c r="V21" s="202"/>
      <c r="W21" s="155" t="str">
        <f t="shared" si="0"/>
        <v/>
      </c>
      <c r="X21" s="155"/>
      <c r="Y21" s="155"/>
      <c r="Z21" s="155"/>
      <c r="AA21" s="155"/>
      <c r="AB21" s="203"/>
      <c r="AC21" s="203"/>
      <c r="AD21" s="156" t="str">
        <f t="shared" si="4"/>
        <v/>
      </c>
      <c r="AE21" s="203"/>
      <c r="AF21" s="203"/>
      <c r="AG21" s="203"/>
      <c r="AH21" s="163" t="str">
        <f>IFERROR(IF(AND(W20="Probabilidad",W21="Probabilidad"),(AJ20-(+AJ20*AD21)),IF(AND(W20="Impacto",W21="Probabilidad"),(AJ19-(+AJ19*AD21)),IF(W21="Impacto",AJ20,""))),"")</f>
        <v/>
      </c>
      <c r="AI21" s="158" t="str">
        <f t="shared" si="5"/>
        <v/>
      </c>
      <c r="AJ21" s="156" t="str">
        <f t="shared" si="6"/>
        <v/>
      </c>
      <c r="AK21" s="158" t="str">
        <f t="shared" si="7"/>
        <v/>
      </c>
      <c r="AL21" s="156" t="str">
        <f>IFERROR(IF(AND(W20="Impacto",W21="Impacto"),(AL20-(+AL20*AD21)),IF(AND(W20="Probabilidad",W21="Impacto"),(AL19-(+AL19*AD21)),IF(W21="Probabilidad",AL20,""))),"")</f>
        <v/>
      </c>
      <c r="AM21" s="159" t="str">
        <f t="shared" si="8"/>
        <v/>
      </c>
      <c r="AN21" s="579"/>
      <c r="AO21" s="200"/>
      <c r="AP21" s="199"/>
      <c r="AQ21" s="210"/>
      <c r="AR21" s="160"/>
      <c r="AS21" s="154"/>
      <c r="AT21" s="210"/>
      <c r="AU21" s="200"/>
      <c r="AV21" s="160"/>
      <c r="AW21" s="154"/>
      <c r="AX21" s="160"/>
      <c r="AY21" s="154"/>
      <c r="AZ21" s="153"/>
      <c r="BA21" s="154"/>
      <c r="BB21" s="154"/>
      <c r="BC21" s="153"/>
      <c r="BD21" s="160"/>
      <c r="BE21" s="160"/>
      <c r="BF21" s="200"/>
      <c r="BG21" s="200"/>
      <c r="BH21" s="199"/>
      <c r="BI21" s="210"/>
      <c r="BJ21" s="210"/>
      <c r="BK21" s="154"/>
      <c r="BL21" s="154"/>
      <c r="BM21" s="153"/>
      <c r="BN21" s="160"/>
      <c r="BO21" s="160"/>
      <c r="BP21" s="154"/>
      <c r="BQ21" s="154"/>
      <c r="BR21" s="153"/>
      <c r="BS21" s="160"/>
      <c r="BT21" s="160"/>
      <c r="BU21" s="160"/>
      <c r="BV21" s="154"/>
      <c r="BW21" s="154"/>
      <c r="BX21" s="154"/>
      <c r="BY21" s="160"/>
      <c r="BZ21" s="154"/>
      <c r="CA21" s="154"/>
      <c r="CB21" s="749"/>
      <c r="CC21" s="154"/>
      <c r="CD21" s="153"/>
      <c r="CE21" s="154"/>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row>
    <row r="22" spans="1:109" ht="15.75" customHeight="1" x14ac:dyDescent="0.25">
      <c r="A22" s="570"/>
      <c r="B22" s="571"/>
      <c r="C22" s="571"/>
      <c r="D22" s="571"/>
      <c r="E22" s="572"/>
      <c r="F22" s="571"/>
      <c r="G22" s="571"/>
      <c r="H22" s="571"/>
      <c r="I22" s="200"/>
      <c r="J22" s="200"/>
      <c r="K22" s="571"/>
      <c r="L22" s="572"/>
      <c r="M22" s="570"/>
      <c r="N22" s="576"/>
      <c r="O22" s="575"/>
      <c r="P22" s="581"/>
      <c r="Q22" s="575">
        <f t="shared" si="10"/>
        <v>0</v>
      </c>
      <c r="R22" s="576"/>
      <c r="S22" s="575"/>
      <c r="T22" s="577"/>
      <c r="U22" s="199">
        <v>6</v>
      </c>
      <c r="V22" s="202"/>
      <c r="W22" s="155" t="str">
        <f t="shared" si="0"/>
        <v/>
      </c>
      <c r="X22" s="155"/>
      <c r="Y22" s="155"/>
      <c r="Z22" s="155"/>
      <c r="AA22" s="155"/>
      <c r="AB22" s="203"/>
      <c r="AC22" s="203"/>
      <c r="AD22" s="156" t="str">
        <f t="shared" si="4"/>
        <v/>
      </c>
      <c r="AE22" s="203"/>
      <c r="AF22" s="203"/>
      <c r="AG22" s="203"/>
      <c r="AH22" s="163" t="str">
        <f>IFERROR(IF(AND(W21="Probabilidad",W22="Probabilidad"),(AJ21-(+AJ21*AD22)),IF(AND(W21="Impacto",W22="Probabilidad"),(AJ20-(+AJ20*AD22)),IF(W22="Impacto",AJ21,""))),"")</f>
        <v/>
      </c>
      <c r="AI22" s="158" t="str">
        <f t="shared" si="5"/>
        <v/>
      </c>
      <c r="AJ22" s="156" t="str">
        <f t="shared" si="6"/>
        <v/>
      </c>
      <c r="AK22" s="158" t="str">
        <f t="shared" si="7"/>
        <v/>
      </c>
      <c r="AL22" s="156" t="str">
        <f>IFERROR(IF(AND(W21="Impacto",W22="Impacto"),(AL21-(+AL21*AD22)),IF(AND(W21="Probabilidad",W22="Impacto"),(AL20-(+AL20*AD22)),IF(W22="Probabilidad",AL21,""))),"")</f>
        <v/>
      </c>
      <c r="AM22" s="159" t="str">
        <f t="shared" si="8"/>
        <v/>
      </c>
      <c r="AN22" s="580"/>
      <c r="AO22" s="200"/>
      <c r="AP22" s="199"/>
      <c r="AQ22" s="210"/>
      <c r="AR22" s="160"/>
      <c r="AS22" s="154"/>
      <c r="AT22" s="210"/>
      <c r="AU22" s="200"/>
      <c r="AV22" s="160"/>
      <c r="AW22" s="154"/>
      <c r="AX22" s="160"/>
      <c r="AY22" s="154"/>
      <c r="AZ22" s="153"/>
      <c r="BA22" s="154"/>
      <c r="BB22" s="154"/>
      <c r="BC22" s="153"/>
      <c r="BD22" s="160"/>
      <c r="BE22" s="160"/>
      <c r="BF22" s="200"/>
      <c r="BG22" s="200"/>
      <c r="BH22" s="199"/>
      <c r="BI22" s="210"/>
      <c r="BJ22" s="210"/>
      <c r="BK22" s="154"/>
      <c r="BL22" s="154"/>
      <c r="BM22" s="153"/>
      <c r="BN22" s="160"/>
      <c r="BO22" s="160"/>
      <c r="BP22" s="154"/>
      <c r="BQ22" s="154"/>
      <c r="BR22" s="153"/>
      <c r="BS22" s="160"/>
      <c r="BT22" s="160"/>
      <c r="BU22" s="160"/>
      <c r="BV22" s="154"/>
      <c r="BW22" s="154"/>
      <c r="BX22" s="154"/>
      <c r="BY22" s="160"/>
      <c r="BZ22" s="154"/>
      <c r="CA22" s="154"/>
      <c r="CB22" s="749"/>
      <c r="CC22" s="154"/>
      <c r="CD22" s="153"/>
      <c r="CE22" s="154"/>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row>
    <row r="23" spans="1:109" ht="15.75" customHeight="1" x14ac:dyDescent="0.25">
      <c r="A23" s="570">
        <v>4</v>
      </c>
      <c r="B23" s="571"/>
      <c r="C23" s="571"/>
      <c r="D23" s="571"/>
      <c r="E23" s="572"/>
      <c r="F23" s="571"/>
      <c r="G23" s="571"/>
      <c r="H23" s="571"/>
      <c r="I23" s="200"/>
      <c r="J23" s="200"/>
      <c r="K23" s="571"/>
      <c r="L23" s="572"/>
      <c r="M23" s="570"/>
      <c r="N23" s="576" t="str">
        <f>IF(M23&lt;=0,"",IF(M23&lt;=2,"Muy Baja",IF(M23&lt;=24,"Baja",IF(M23&lt;=500,"Media",IF(M23&lt;=5000,"Alta","Muy Alta")))))</f>
        <v/>
      </c>
      <c r="O23" s="575" t="str">
        <f>IF(N23="","",IF(N23="Muy Baja",0.2,IF(N23="Baja",0.4,IF(N23="Media",0.6,IF(N23="Alta",0.8,IF(N23="Muy Alta",1,))))))</f>
        <v/>
      </c>
      <c r="P23" s="581"/>
      <c r="Q23" s="575">
        <f>IF(NOT(ISERROR(MATCH(P23,'Tabla Impacto'!$B$221:$B$223,0))),'Tabla Impacto'!$F$223&amp;"Por favor no seleccionar los criterios de impacto(Afectación Económica o presupuestal y Pérdida Reputacional)",P23)</f>
        <v>0</v>
      </c>
      <c r="R23" s="576" t="str">
        <f>IF(OR(Q23='Tabla Impacto'!$C$11,Q23='Tabla Impacto'!$D$11),"Leve",IF(OR(Q23='Tabla Impacto'!$C$12,Q23='Tabla Impacto'!$D$12),"Menor",IF(OR(Q23='Tabla Impacto'!$C$13,Q23='Tabla Impacto'!$D$13),"Moderado",IF(OR(Q23='Tabla Impacto'!$C$14,Q23='Tabla Impacto'!$D$14),"Mayor",IF(OR(Q23='Tabla Impacto'!$C$15,Q23='Tabla Impacto'!$D$15),"Catastrófico","")))))</f>
        <v/>
      </c>
      <c r="S23" s="575" t="str">
        <f>IF(R23="","",IF(R23="Leve",0.2,IF(R23="Menor",0.4,IF(R23="Moderado",0.6,IF(R23="Mayor",0.8,IF(R23="Catastrófico",1,))))))</f>
        <v/>
      </c>
      <c r="T23" s="577"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99">
        <v>1</v>
      </c>
      <c r="V23" s="202"/>
      <c r="W23" s="155" t="str">
        <f t="shared" si="0"/>
        <v/>
      </c>
      <c r="X23" s="155"/>
      <c r="Y23" s="155"/>
      <c r="Z23" s="155"/>
      <c r="AA23" s="155"/>
      <c r="AB23" s="203"/>
      <c r="AC23" s="203"/>
      <c r="AD23" s="156" t="str">
        <f t="shared" si="4"/>
        <v/>
      </c>
      <c r="AE23" s="203"/>
      <c r="AF23" s="203"/>
      <c r="AG23" s="203"/>
      <c r="AH23" s="163" t="str">
        <f>IFERROR(IF(W23="Probabilidad",(O23-(+O23*AD23)),IF(W23="Impacto",O23,"")),"")</f>
        <v/>
      </c>
      <c r="AI23" s="158" t="str">
        <f>IFERROR(IF(AH23="","",IF(AH23&lt;=0.2,"Muy Baja",IF(AH23&lt;=0.4,"Baja",IF(AH23&lt;=0.6,"Media",IF(AH23&lt;=0.8,"Alta","Muy Alta"))))),"")</f>
        <v/>
      </c>
      <c r="AJ23" s="156" t="str">
        <f t="shared" si="6"/>
        <v/>
      </c>
      <c r="AK23" s="158" t="str">
        <f>IFERROR(IF(AL23="","",IF(AL23&lt;=0.2,"Leve",IF(AL23&lt;=0.4,"Menor",IF(AL23&lt;=0.6,"Moderado",IF(AL23&lt;=0.8,"Mayor","Catastrófico"))))),"")</f>
        <v/>
      </c>
      <c r="AL23" s="156" t="str">
        <f>IFERROR(IF(W23="Impacto",(S23-(+S23*AD23)),IF(W23="Probabilidad",S23,"")),"")</f>
        <v/>
      </c>
      <c r="AM23" s="159" t="str">
        <f t="shared" si="8"/>
        <v/>
      </c>
      <c r="AN23" s="578"/>
      <c r="AO23" s="200"/>
      <c r="AP23" s="199"/>
      <c r="AQ23" s="210"/>
      <c r="AR23" s="160"/>
      <c r="AS23" s="154"/>
      <c r="AT23" s="210"/>
      <c r="AU23" s="200"/>
      <c r="AV23" s="160"/>
      <c r="AW23" s="154"/>
      <c r="AX23" s="160"/>
      <c r="AY23" s="154"/>
      <c r="AZ23" s="153"/>
      <c r="BA23" s="154"/>
      <c r="BB23" s="154"/>
      <c r="BC23" s="153"/>
      <c r="BD23" s="160"/>
      <c r="BE23" s="160"/>
      <c r="BF23" s="200"/>
      <c r="BG23" s="200"/>
      <c r="BH23" s="199"/>
      <c r="BI23" s="210"/>
      <c r="BJ23" s="210"/>
      <c r="BK23" s="154"/>
      <c r="BL23" s="154"/>
      <c r="BM23" s="153"/>
      <c r="BN23" s="160"/>
      <c r="BO23" s="160"/>
      <c r="BP23" s="154"/>
      <c r="BQ23" s="154"/>
      <c r="BR23" s="153"/>
      <c r="BS23" s="160"/>
      <c r="BT23" s="160"/>
      <c r="BU23" s="160"/>
      <c r="BV23" s="154"/>
      <c r="BW23" s="154"/>
      <c r="BX23" s="154"/>
      <c r="BY23" s="160"/>
      <c r="BZ23" s="154"/>
      <c r="CA23" s="154"/>
      <c r="CB23" s="749"/>
      <c r="CC23" s="154"/>
      <c r="CD23" s="153"/>
      <c r="CE23" s="154"/>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row>
    <row r="24" spans="1:109" ht="15.75" customHeight="1" x14ac:dyDescent="0.25">
      <c r="A24" s="570"/>
      <c r="B24" s="571"/>
      <c r="C24" s="571"/>
      <c r="D24" s="571"/>
      <c r="E24" s="572"/>
      <c r="F24" s="571"/>
      <c r="G24" s="571"/>
      <c r="H24" s="571"/>
      <c r="I24" s="200"/>
      <c r="J24" s="200"/>
      <c r="K24" s="571"/>
      <c r="L24" s="572"/>
      <c r="M24" s="570"/>
      <c r="N24" s="576"/>
      <c r="O24" s="575"/>
      <c r="P24" s="581"/>
      <c r="Q24" s="575">
        <f t="shared" ref="Q24:Q28" si="11">IF(NOT(ISERROR(MATCH(P24,_xlfn.ANCHORARRAY(E35),0))),O37&amp;"Por favor no seleccionar los criterios de impacto",P24)</f>
        <v>0</v>
      </c>
      <c r="R24" s="576"/>
      <c r="S24" s="575"/>
      <c r="T24" s="577"/>
      <c r="U24" s="199">
        <v>2</v>
      </c>
      <c r="V24" s="202"/>
      <c r="W24" s="155" t="str">
        <f t="shared" si="0"/>
        <v/>
      </c>
      <c r="X24" s="155"/>
      <c r="Y24" s="155"/>
      <c r="Z24" s="155"/>
      <c r="AA24" s="155"/>
      <c r="AB24" s="203"/>
      <c r="AC24" s="203"/>
      <c r="AD24" s="156" t="str">
        <f t="shared" si="4"/>
        <v/>
      </c>
      <c r="AE24" s="203"/>
      <c r="AF24" s="203"/>
      <c r="AG24" s="203"/>
      <c r="AH24" s="163" t="str">
        <f>IFERROR(IF(AND(W23="Probabilidad",W24="Probabilidad"),(AJ23-(+AJ23*AD24)),IF(W24="Probabilidad",(O23-(+O23*AD24)),IF(W24="Impacto",AJ23,""))),"")</f>
        <v/>
      </c>
      <c r="AI24" s="158" t="str">
        <f t="shared" si="5"/>
        <v/>
      </c>
      <c r="AJ24" s="156" t="str">
        <f t="shared" si="6"/>
        <v/>
      </c>
      <c r="AK24" s="158" t="str">
        <f t="shared" si="7"/>
        <v/>
      </c>
      <c r="AL24" s="156" t="str">
        <f>IFERROR(IF(AND(W23="Impacto",W24="Impacto"),(AL17-(+AL17*AD24)),IF(W24="Impacto",($S$23-(+$S$23*AD24)),IF(W24="Probabilidad",AL17,""))),"")</f>
        <v/>
      </c>
      <c r="AM24" s="159" t="str">
        <f t="shared" si="8"/>
        <v/>
      </c>
      <c r="AN24" s="579"/>
      <c r="AO24" s="200"/>
      <c r="AP24" s="199"/>
      <c r="AQ24" s="210"/>
      <c r="AR24" s="160"/>
      <c r="AS24" s="154"/>
      <c r="AT24" s="210"/>
      <c r="AU24" s="200"/>
      <c r="AV24" s="160"/>
      <c r="AW24" s="154"/>
      <c r="AX24" s="160"/>
      <c r="AY24" s="154"/>
      <c r="AZ24" s="153"/>
      <c r="BA24" s="154"/>
      <c r="BB24" s="154"/>
      <c r="BC24" s="153"/>
      <c r="BD24" s="160"/>
      <c r="BE24" s="160"/>
      <c r="BF24" s="200"/>
      <c r="BG24" s="200"/>
      <c r="BH24" s="199"/>
      <c r="BI24" s="210"/>
      <c r="BJ24" s="210"/>
      <c r="BK24" s="154"/>
      <c r="BL24" s="154"/>
      <c r="BM24" s="153"/>
      <c r="BN24" s="160"/>
      <c r="BO24" s="160"/>
      <c r="BP24" s="154"/>
      <c r="BQ24" s="154"/>
      <c r="BR24" s="153"/>
      <c r="BS24" s="160"/>
      <c r="BT24" s="160"/>
      <c r="BU24" s="160"/>
      <c r="BV24" s="154"/>
      <c r="BW24" s="154"/>
      <c r="BX24" s="154"/>
      <c r="BY24" s="160"/>
      <c r="BZ24" s="154"/>
      <c r="CA24" s="154"/>
      <c r="CB24" s="749"/>
      <c r="CC24" s="154"/>
      <c r="CD24" s="153"/>
      <c r="CE24" s="154"/>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row>
    <row r="25" spans="1:109" ht="15.75" customHeight="1" x14ac:dyDescent="0.25">
      <c r="A25" s="570"/>
      <c r="B25" s="571"/>
      <c r="C25" s="571"/>
      <c r="D25" s="571"/>
      <c r="E25" s="572"/>
      <c r="F25" s="571"/>
      <c r="G25" s="571"/>
      <c r="H25" s="571"/>
      <c r="I25" s="200"/>
      <c r="J25" s="200"/>
      <c r="K25" s="571"/>
      <c r="L25" s="572"/>
      <c r="M25" s="570"/>
      <c r="N25" s="576"/>
      <c r="O25" s="575"/>
      <c r="P25" s="581"/>
      <c r="Q25" s="575">
        <f t="shared" si="11"/>
        <v>0</v>
      </c>
      <c r="R25" s="576"/>
      <c r="S25" s="575"/>
      <c r="T25" s="577"/>
      <c r="U25" s="199">
        <v>3</v>
      </c>
      <c r="V25" s="204"/>
      <c r="W25" s="155" t="str">
        <f t="shared" si="0"/>
        <v/>
      </c>
      <c r="X25" s="155"/>
      <c r="Y25" s="155"/>
      <c r="Z25" s="155"/>
      <c r="AA25" s="155"/>
      <c r="AB25" s="203"/>
      <c r="AC25" s="203"/>
      <c r="AD25" s="156" t="str">
        <f t="shared" si="4"/>
        <v/>
      </c>
      <c r="AE25" s="203"/>
      <c r="AF25" s="203"/>
      <c r="AG25" s="203"/>
      <c r="AH25" s="163" t="str">
        <f>IFERROR(IF(AND(W24="Probabilidad",W25="Probabilidad"),(AJ24-(+AJ24*AD25)),IF(AND(W24="Impacto",W25="Probabilidad"),(AJ23-(+AJ23*AD25)),IF(W25="Impacto",AJ24,""))),"")</f>
        <v/>
      </c>
      <c r="AI25" s="158" t="str">
        <f t="shared" si="5"/>
        <v/>
      </c>
      <c r="AJ25" s="156" t="str">
        <f t="shared" si="6"/>
        <v/>
      </c>
      <c r="AK25" s="158" t="str">
        <f t="shared" si="7"/>
        <v/>
      </c>
      <c r="AL25" s="156" t="str">
        <f>IFERROR(IF(AND(W24="Impacto",W25="Impacto"),(AL24-(+AL24*AD25)),IF(AND(W24="Probabilidad",W25="Impacto"),(AL23-(+AL23*AD25)),IF(W25="Probabilidad",AL24,""))),"")</f>
        <v/>
      </c>
      <c r="AM25" s="159" t="str">
        <f t="shared" si="8"/>
        <v/>
      </c>
      <c r="AN25" s="579"/>
      <c r="AO25" s="200"/>
      <c r="AP25" s="199"/>
      <c r="AQ25" s="210"/>
      <c r="AR25" s="160"/>
      <c r="AS25" s="154"/>
      <c r="AT25" s="210"/>
      <c r="AU25" s="200"/>
      <c r="AV25" s="160"/>
      <c r="AW25" s="154"/>
      <c r="AX25" s="160"/>
      <c r="AY25" s="154"/>
      <c r="AZ25" s="153"/>
      <c r="BA25" s="154"/>
      <c r="BB25" s="154"/>
      <c r="BC25" s="153"/>
      <c r="BD25" s="160"/>
      <c r="BE25" s="160"/>
      <c r="BF25" s="200"/>
      <c r="BG25" s="200"/>
      <c r="BH25" s="199"/>
      <c r="BI25" s="210"/>
      <c r="BJ25" s="210"/>
      <c r="BK25" s="154"/>
      <c r="BL25" s="154"/>
      <c r="BM25" s="153"/>
      <c r="BN25" s="160"/>
      <c r="BO25" s="160"/>
      <c r="BP25" s="154"/>
      <c r="BQ25" s="154"/>
      <c r="BR25" s="153"/>
      <c r="BS25" s="160"/>
      <c r="BT25" s="160"/>
      <c r="BU25" s="160"/>
      <c r="BV25" s="154"/>
      <c r="BW25" s="154"/>
      <c r="BX25" s="154"/>
      <c r="BY25" s="160"/>
      <c r="BZ25" s="154"/>
      <c r="CA25" s="154"/>
      <c r="CB25" s="749"/>
      <c r="CC25" s="154"/>
      <c r="CD25" s="153"/>
      <c r="CE25" s="154"/>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row>
    <row r="26" spans="1:109" ht="15.75" customHeight="1" x14ac:dyDescent="0.25">
      <c r="A26" s="570"/>
      <c r="B26" s="571"/>
      <c r="C26" s="571"/>
      <c r="D26" s="571"/>
      <c r="E26" s="572"/>
      <c r="F26" s="571"/>
      <c r="G26" s="571"/>
      <c r="H26" s="571"/>
      <c r="I26" s="200"/>
      <c r="J26" s="200"/>
      <c r="K26" s="571"/>
      <c r="L26" s="572"/>
      <c r="M26" s="570"/>
      <c r="N26" s="576"/>
      <c r="O26" s="575"/>
      <c r="P26" s="581"/>
      <c r="Q26" s="575">
        <f t="shared" si="11"/>
        <v>0</v>
      </c>
      <c r="R26" s="576"/>
      <c r="S26" s="575"/>
      <c r="T26" s="577"/>
      <c r="U26" s="199">
        <v>4</v>
      </c>
      <c r="V26" s="202"/>
      <c r="W26" s="155" t="str">
        <f t="shared" si="0"/>
        <v/>
      </c>
      <c r="X26" s="155"/>
      <c r="Y26" s="155"/>
      <c r="Z26" s="155"/>
      <c r="AA26" s="155"/>
      <c r="AB26" s="203"/>
      <c r="AC26" s="203"/>
      <c r="AD26" s="156" t="str">
        <f t="shared" si="4"/>
        <v/>
      </c>
      <c r="AE26" s="203"/>
      <c r="AF26" s="203"/>
      <c r="AG26" s="203"/>
      <c r="AH26" s="163" t="str">
        <f>IFERROR(IF(AND(W25="Probabilidad",W26="Probabilidad"),(AJ25-(+AJ25*AD26)),IF(AND(W25="Impacto",W26="Probabilidad"),(AJ24-(+AJ24*AD26)),IF(W26="Impacto",AJ25,""))),"")</f>
        <v/>
      </c>
      <c r="AI26" s="158" t="str">
        <f t="shared" si="5"/>
        <v/>
      </c>
      <c r="AJ26" s="156" t="str">
        <f t="shared" si="6"/>
        <v/>
      </c>
      <c r="AK26" s="158" t="str">
        <f t="shared" si="7"/>
        <v/>
      </c>
      <c r="AL26" s="156" t="str">
        <f>IFERROR(IF(AND(W25="Impacto",W26="Impacto"),(AL25-(+AL25*AD26)),IF(AND(W25="Probabilidad",W26="Impacto"),(AL24-(+AL24*AD26)),IF(W26="Probabilidad",AL25,""))),"")</f>
        <v/>
      </c>
      <c r="AM26" s="159" t="str">
        <f t="shared" si="8"/>
        <v/>
      </c>
      <c r="AN26" s="579"/>
      <c r="AO26" s="200"/>
      <c r="AP26" s="199"/>
      <c r="AQ26" s="210"/>
      <c r="AR26" s="160"/>
      <c r="AS26" s="154"/>
      <c r="AT26" s="210"/>
      <c r="AU26" s="200"/>
      <c r="AV26" s="160"/>
      <c r="AW26" s="154"/>
      <c r="AX26" s="160"/>
      <c r="AY26" s="154"/>
      <c r="AZ26" s="153"/>
      <c r="BA26" s="154"/>
      <c r="BB26" s="154"/>
      <c r="BC26" s="153"/>
      <c r="BD26" s="160"/>
      <c r="BE26" s="160"/>
      <c r="BF26" s="200"/>
      <c r="BG26" s="200"/>
      <c r="BH26" s="199"/>
      <c r="BI26" s="210"/>
      <c r="BJ26" s="210"/>
      <c r="BK26" s="154"/>
      <c r="BL26" s="154"/>
      <c r="BM26" s="153"/>
      <c r="BN26" s="160"/>
      <c r="BO26" s="160"/>
      <c r="BP26" s="154"/>
      <c r="BQ26" s="154"/>
      <c r="BR26" s="153"/>
      <c r="BS26" s="160"/>
      <c r="BT26" s="160"/>
      <c r="BU26" s="160"/>
      <c r="BV26" s="154"/>
      <c r="BW26" s="154"/>
      <c r="BX26" s="154"/>
      <c r="BY26" s="160"/>
      <c r="BZ26" s="154"/>
      <c r="CA26" s="154"/>
      <c r="CB26" s="749"/>
      <c r="CC26" s="154"/>
      <c r="CD26" s="153"/>
      <c r="CE26" s="154"/>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row>
    <row r="27" spans="1:109" ht="15.75" customHeight="1" x14ac:dyDescent="0.25">
      <c r="A27" s="570"/>
      <c r="B27" s="571"/>
      <c r="C27" s="571"/>
      <c r="D27" s="571"/>
      <c r="E27" s="572"/>
      <c r="F27" s="571"/>
      <c r="G27" s="571"/>
      <c r="H27" s="571"/>
      <c r="I27" s="200"/>
      <c r="J27" s="200"/>
      <c r="K27" s="571"/>
      <c r="L27" s="572"/>
      <c r="M27" s="570"/>
      <c r="N27" s="576"/>
      <c r="O27" s="575"/>
      <c r="P27" s="581"/>
      <c r="Q27" s="575">
        <f t="shared" si="11"/>
        <v>0</v>
      </c>
      <c r="R27" s="576"/>
      <c r="S27" s="575"/>
      <c r="T27" s="577"/>
      <c r="U27" s="199">
        <v>5</v>
      </c>
      <c r="V27" s="202"/>
      <c r="W27" s="155" t="str">
        <f t="shared" si="0"/>
        <v/>
      </c>
      <c r="X27" s="155"/>
      <c r="Y27" s="155"/>
      <c r="Z27" s="155"/>
      <c r="AA27" s="155"/>
      <c r="AB27" s="203"/>
      <c r="AC27" s="203"/>
      <c r="AD27" s="156" t="str">
        <f t="shared" si="4"/>
        <v/>
      </c>
      <c r="AE27" s="203"/>
      <c r="AF27" s="203"/>
      <c r="AG27" s="203"/>
      <c r="AH27" s="157" t="str">
        <f>IFERROR(IF(AND(W26="Probabilidad",W27="Probabilidad"),(AJ26-(+AJ26*AD27)),IF(AND(W26="Impacto",W27="Probabilidad"),(AJ25-(+AJ25*AD27)),IF(W27="Impacto",AJ26,""))),"")</f>
        <v/>
      </c>
      <c r="AI27" s="158" t="str">
        <f>IFERROR(IF(AH27="","",IF(AH27&lt;=0.2,"Muy Baja",IF(AH27&lt;=0.4,"Baja",IF(AH27&lt;=0.6,"Media",IF(AH27&lt;=0.8,"Alta","Muy Alta"))))),"")</f>
        <v/>
      </c>
      <c r="AJ27" s="156" t="str">
        <f t="shared" si="6"/>
        <v/>
      </c>
      <c r="AK27" s="158" t="str">
        <f t="shared" si="7"/>
        <v/>
      </c>
      <c r="AL27" s="156" t="str">
        <f>IFERROR(IF(AND(W26="Impacto",W27="Impacto"),(AL26-(+AL26*AD27)),IF(AND(W26="Probabilidad",W27="Impacto"),(AL25-(+AL25*AD27)),IF(W27="Probabilidad",AL26,""))),"")</f>
        <v/>
      </c>
      <c r="AM27" s="159" t="str">
        <f t="shared" si="8"/>
        <v/>
      </c>
      <c r="AN27" s="579"/>
      <c r="AO27" s="200"/>
      <c r="AP27" s="199"/>
      <c r="AQ27" s="210"/>
      <c r="AR27" s="160"/>
      <c r="AS27" s="154"/>
      <c r="AT27" s="210"/>
      <c r="AU27" s="200"/>
      <c r="AV27" s="160"/>
      <c r="AW27" s="154"/>
      <c r="AX27" s="160"/>
      <c r="AY27" s="154"/>
      <c r="AZ27" s="153"/>
      <c r="BA27" s="154"/>
      <c r="BB27" s="154"/>
      <c r="BC27" s="153"/>
      <c r="BD27" s="160"/>
      <c r="BE27" s="160"/>
      <c r="BF27" s="200"/>
      <c r="BG27" s="200"/>
      <c r="BH27" s="199"/>
      <c r="BI27" s="210"/>
      <c r="BJ27" s="210"/>
      <c r="BK27" s="154"/>
      <c r="BL27" s="154"/>
      <c r="BM27" s="153"/>
      <c r="BN27" s="160"/>
      <c r="BO27" s="160"/>
      <c r="BP27" s="154"/>
      <c r="BQ27" s="154"/>
      <c r="BR27" s="153"/>
      <c r="BS27" s="160"/>
      <c r="BT27" s="160"/>
      <c r="BU27" s="160"/>
      <c r="BV27" s="154"/>
      <c r="BW27" s="154"/>
      <c r="BX27" s="154"/>
      <c r="BY27" s="160"/>
      <c r="BZ27" s="154"/>
      <c r="CA27" s="154"/>
      <c r="CB27" s="749"/>
      <c r="CC27" s="154"/>
      <c r="CD27" s="153"/>
      <c r="CE27" s="154"/>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row>
    <row r="28" spans="1:109" ht="15.75" customHeight="1" x14ac:dyDescent="0.25">
      <c r="A28" s="570"/>
      <c r="B28" s="571"/>
      <c r="C28" s="571"/>
      <c r="D28" s="571"/>
      <c r="E28" s="572"/>
      <c r="F28" s="571"/>
      <c r="G28" s="571"/>
      <c r="H28" s="571"/>
      <c r="I28" s="200"/>
      <c r="J28" s="200"/>
      <c r="K28" s="571"/>
      <c r="L28" s="572"/>
      <c r="M28" s="570"/>
      <c r="N28" s="576"/>
      <c r="O28" s="575"/>
      <c r="P28" s="581"/>
      <c r="Q28" s="575">
        <f t="shared" si="11"/>
        <v>0</v>
      </c>
      <c r="R28" s="576"/>
      <c r="S28" s="575"/>
      <c r="T28" s="577"/>
      <c r="U28" s="199">
        <v>6</v>
      </c>
      <c r="V28" s="202"/>
      <c r="W28" s="155" t="str">
        <f t="shared" si="0"/>
        <v/>
      </c>
      <c r="X28" s="155"/>
      <c r="Y28" s="155"/>
      <c r="Z28" s="155"/>
      <c r="AA28" s="155"/>
      <c r="AB28" s="203"/>
      <c r="AC28" s="203"/>
      <c r="AD28" s="156" t="str">
        <f t="shared" si="4"/>
        <v/>
      </c>
      <c r="AE28" s="203"/>
      <c r="AF28" s="203"/>
      <c r="AG28" s="203"/>
      <c r="AH28" s="163" t="str">
        <f>IFERROR(IF(AND(W27="Probabilidad",W28="Probabilidad"),(AJ27-(+AJ27*AD28)),IF(AND(W27="Impacto",W28="Probabilidad"),(AJ26-(+AJ26*AD28)),IF(W28="Impacto",AJ27,""))),"")</f>
        <v/>
      </c>
      <c r="AI28" s="158" t="str">
        <f t="shared" si="5"/>
        <v/>
      </c>
      <c r="AJ28" s="156" t="str">
        <f t="shared" si="6"/>
        <v/>
      </c>
      <c r="AK28" s="158" t="str">
        <f t="shared" si="7"/>
        <v/>
      </c>
      <c r="AL28" s="156" t="str">
        <f>IFERROR(IF(AND(W27="Impacto",W28="Impacto"),(AL27-(+AL27*AD28)),IF(AND(W27="Probabilidad",W28="Impacto"),(AL26-(+AL26*AD28)),IF(W28="Probabilidad",AL27,""))),"")</f>
        <v/>
      </c>
      <c r="AM28" s="159" t="str">
        <f t="shared" si="8"/>
        <v/>
      </c>
      <c r="AN28" s="580"/>
      <c r="AO28" s="200"/>
      <c r="AP28" s="199"/>
      <c r="AQ28" s="210"/>
      <c r="AR28" s="160"/>
      <c r="AS28" s="154"/>
      <c r="AT28" s="210"/>
      <c r="AU28" s="200"/>
      <c r="AV28" s="160"/>
      <c r="AW28" s="154"/>
      <c r="AX28" s="160"/>
      <c r="AY28" s="154"/>
      <c r="AZ28" s="153"/>
      <c r="BA28" s="154"/>
      <c r="BB28" s="154"/>
      <c r="BC28" s="153"/>
      <c r="BD28" s="160"/>
      <c r="BE28" s="160"/>
      <c r="BF28" s="200"/>
      <c r="BG28" s="200"/>
      <c r="BH28" s="199"/>
      <c r="BI28" s="210"/>
      <c r="BJ28" s="210"/>
      <c r="BK28" s="154"/>
      <c r="BL28" s="154"/>
      <c r="BM28" s="153"/>
      <c r="BN28" s="160"/>
      <c r="BO28" s="160"/>
      <c r="BP28" s="154"/>
      <c r="BQ28" s="154"/>
      <c r="BR28" s="153"/>
      <c r="BS28" s="160"/>
      <c r="BT28" s="160"/>
      <c r="BU28" s="160"/>
      <c r="BV28" s="154"/>
      <c r="BW28" s="154"/>
      <c r="BX28" s="154"/>
      <c r="BY28" s="160"/>
      <c r="BZ28" s="154"/>
      <c r="CA28" s="154"/>
      <c r="CB28" s="749"/>
      <c r="CC28" s="154"/>
      <c r="CD28" s="153"/>
      <c r="CE28" s="154"/>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row>
    <row r="29" spans="1:109" ht="15.75" customHeight="1" x14ac:dyDescent="0.25">
      <c r="A29" s="570">
        <v>5</v>
      </c>
      <c r="B29" s="571"/>
      <c r="C29" s="571"/>
      <c r="D29" s="571"/>
      <c r="E29" s="572"/>
      <c r="F29" s="571"/>
      <c r="G29" s="571"/>
      <c r="H29" s="571"/>
      <c r="I29" s="200"/>
      <c r="J29" s="200"/>
      <c r="K29" s="571"/>
      <c r="L29" s="572"/>
      <c r="M29" s="570"/>
      <c r="N29" s="576" t="str">
        <f>IF(M29&lt;=0,"",IF(M29&lt;=2,"Muy Baja",IF(M29&lt;=24,"Baja",IF(M29&lt;=500,"Media",IF(M29&lt;=5000,"Alta","Muy Alta")))))</f>
        <v/>
      </c>
      <c r="O29" s="575" t="str">
        <f>IF(N29="","",IF(N29="Muy Baja",0.2,IF(N29="Baja",0.4,IF(N29="Media",0.6,IF(N29="Alta",0.8,IF(N29="Muy Alta",1,))))))</f>
        <v/>
      </c>
      <c r="P29" s="581"/>
      <c r="Q29" s="575">
        <f>IF(NOT(ISERROR(MATCH(P29,'Tabla Impacto'!$B$221:$B$223,0))),'Tabla Impacto'!$F$223&amp;"Por favor no seleccionar los criterios de impacto(Afectación Económica o presupuestal y Pérdida Reputacional)",P29)</f>
        <v>0</v>
      </c>
      <c r="R29" s="576" t="str">
        <f>IF(OR(Q29='Tabla Impacto'!$C$11,Q29='Tabla Impacto'!$D$11),"Leve",IF(OR(Q29='Tabla Impacto'!$C$12,Q29='Tabla Impacto'!$D$12),"Menor",IF(OR(Q29='Tabla Impacto'!$C$13,Q29='Tabla Impacto'!$D$13),"Moderado",IF(OR(Q29='Tabla Impacto'!$C$14,Q29='Tabla Impacto'!$D$14),"Mayor",IF(OR(Q29='Tabla Impacto'!$C$15,Q29='Tabla Impacto'!$D$15),"Catastrófico","")))))</f>
        <v/>
      </c>
      <c r="S29" s="575" t="str">
        <f>IF(R29="","",IF(R29="Leve",0.2,IF(R29="Menor",0.4,IF(R29="Moderado",0.6,IF(R29="Mayor",0.8,IF(R29="Catastrófico",1,))))))</f>
        <v/>
      </c>
      <c r="T29" s="577"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99">
        <v>1</v>
      </c>
      <c r="V29" s="202"/>
      <c r="W29" s="155" t="str">
        <f t="shared" si="0"/>
        <v/>
      </c>
      <c r="X29" s="155"/>
      <c r="Y29" s="155"/>
      <c r="Z29" s="155"/>
      <c r="AA29" s="155"/>
      <c r="AB29" s="203"/>
      <c r="AC29" s="203"/>
      <c r="AD29" s="156" t="str">
        <f t="shared" si="4"/>
        <v/>
      </c>
      <c r="AE29" s="203"/>
      <c r="AF29" s="203"/>
      <c r="AG29" s="203"/>
      <c r="AH29" s="163" t="str">
        <f>IFERROR(IF(W29="Probabilidad",(O29-(+O29*AD29)),IF(W29="Impacto",O29,"")),"")</f>
        <v/>
      </c>
      <c r="AI29" s="158" t="str">
        <f>IFERROR(IF(AH29="","",IF(AH29&lt;=0.2,"Muy Baja",IF(AH29&lt;=0.4,"Baja",IF(AH29&lt;=0.6,"Media",IF(AH29&lt;=0.8,"Alta","Muy Alta"))))),"")</f>
        <v/>
      </c>
      <c r="AJ29" s="156" t="str">
        <f t="shared" si="6"/>
        <v/>
      </c>
      <c r="AK29" s="158" t="str">
        <f>IFERROR(IF(AL29="","",IF(AL29&lt;=0.2,"Leve",IF(AL29&lt;=0.4,"Menor",IF(AL29&lt;=0.6,"Moderado",IF(AL29&lt;=0.8,"Mayor","Catastrófico"))))),"")</f>
        <v/>
      </c>
      <c r="AL29" s="156" t="str">
        <f>IFERROR(IF(W29="Impacto",(S29-(+S29*AD29)),IF(W29="Probabilidad",S29,"")),"")</f>
        <v/>
      </c>
      <c r="AM29" s="159" t="str">
        <f t="shared" si="8"/>
        <v/>
      </c>
      <c r="AN29" s="578"/>
      <c r="AO29" s="200"/>
      <c r="AP29" s="199"/>
      <c r="AQ29" s="210"/>
      <c r="AR29" s="160"/>
      <c r="AS29" s="154"/>
      <c r="AT29" s="210"/>
      <c r="AU29" s="200"/>
      <c r="AV29" s="160"/>
      <c r="AW29" s="154"/>
      <c r="AX29" s="160"/>
      <c r="AY29" s="154"/>
      <c r="AZ29" s="153"/>
      <c r="BA29" s="154"/>
      <c r="BB29" s="154"/>
      <c r="BC29" s="153"/>
      <c r="BD29" s="160"/>
      <c r="BE29" s="160"/>
      <c r="BF29" s="200"/>
      <c r="BG29" s="200"/>
      <c r="BH29" s="199"/>
      <c r="BI29" s="210"/>
      <c r="BJ29" s="210"/>
      <c r="BK29" s="154"/>
      <c r="BL29" s="154"/>
      <c r="BM29" s="153"/>
      <c r="BN29" s="160"/>
      <c r="BO29" s="160"/>
      <c r="BP29" s="154"/>
      <c r="BQ29" s="154"/>
      <c r="BR29" s="153"/>
      <c r="BS29" s="160"/>
      <c r="BT29" s="160"/>
      <c r="BU29" s="160"/>
      <c r="BV29" s="154"/>
      <c r="BW29" s="154"/>
      <c r="BX29" s="154"/>
      <c r="BY29" s="160"/>
      <c r="BZ29" s="154"/>
      <c r="CA29" s="154"/>
      <c r="CB29" s="749"/>
      <c r="CC29" s="154"/>
      <c r="CD29" s="153"/>
      <c r="CE29" s="154"/>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row>
    <row r="30" spans="1:109" ht="15.75" customHeight="1" x14ac:dyDescent="0.25">
      <c r="A30" s="570"/>
      <c r="B30" s="571"/>
      <c r="C30" s="571"/>
      <c r="D30" s="571"/>
      <c r="E30" s="572"/>
      <c r="F30" s="571"/>
      <c r="G30" s="571"/>
      <c r="H30" s="571"/>
      <c r="I30" s="200"/>
      <c r="J30" s="200"/>
      <c r="K30" s="571"/>
      <c r="L30" s="572"/>
      <c r="M30" s="570"/>
      <c r="N30" s="576"/>
      <c r="O30" s="575"/>
      <c r="P30" s="581"/>
      <c r="Q30" s="575">
        <f t="shared" ref="Q30:Q34" si="12">IF(NOT(ISERROR(MATCH(P30,_xlfn.ANCHORARRAY(E41),0))),O43&amp;"Por favor no seleccionar los criterios de impacto",P30)</f>
        <v>0</v>
      </c>
      <c r="R30" s="576"/>
      <c r="S30" s="575"/>
      <c r="T30" s="577"/>
      <c r="U30" s="199">
        <v>2</v>
      </c>
      <c r="V30" s="202"/>
      <c r="W30" s="155" t="str">
        <f t="shared" si="0"/>
        <v/>
      </c>
      <c r="X30" s="155"/>
      <c r="Y30" s="155"/>
      <c r="Z30" s="155"/>
      <c r="AA30" s="155"/>
      <c r="AB30" s="203"/>
      <c r="AC30" s="203"/>
      <c r="AD30" s="156" t="str">
        <f t="shared" si="4"/>
        <v/>
      </c>
      <c r="AE30" s="203"/>
      <c r="AF30" s="203"/>
      <c r="AG30" s="203"/>
      <c r="AH30" s="163" t="str">
        <f>IFERROR(IF(AND(W29="Probabilidad",W30="Probabilidad"),(AJ29-(+AJ29*AD30)),IF(W30="Probabilidad",(O29-(+O29*AD30)),IF(W30="Impacto",AJ29,""))),"")</f>
        <v/>
      </c>
      <c r="AI30" s="158" t="str">
        <f t="shared" si="5"/>
        <v/>
      </c>
      <c r="AJ30" s="156" t="str">
        <f t="shared" si="6"/>
        <v/>
      </c>
      <c r="AK30" s="158" t="str">
        <f t="shared" si="7"/>
        <v/>
      </c>
      <c r="AL30" s="156" t="str">
        <f>IFERROR(IF(AND(W29="Impacto",W30="Impacto"),(AL23-(+AL23*AD30)),IF(W30="Impacto",($S$29-(+$S$29*AD30)),IF(W30="Probabilidad",AL23,""))),"")</f>
        <v/>
      </c>
      <c r="AM30" s="159" t="str">
        <f t="shared" si="8"/>
        <v/>
      </c>
      <c r="AN30" s="579"/>
      <c r="AO30" s="200"/>
      <c r="AP30" s="199"/>
      <c r="AQ30" s="210"/>
      <c r="AR30" s="160"/>
      <c r="AS30" s="154"/>
      <c r="AT30" s="210"/>
      <c r="AU30" s="200"/>
      <c r="AV30" s="160"/>
      <c r="AW30" s="154"/>
      <c r="AX30" s="160"/>
      <c r="AY30" s="154"/>
      <c r="AZ30" s="153"/>
      <c r="BA30" s="154"/>
      <c r="BB30" s="154"/>
      <c r="BC30" s="153"/>
      <c r="BD30" s="160"/>
      <c r="BE30" s="160"/>
      <c r="BF30" s="200"/>
      <c r="BG30" s="200"/>
      <c r="BH30" s="199"/>
      <c r="BI30" s="210"/>
      <c r="BJ30" s="210"/>
      <c r="BK30" s="154"/>
      <c r="BL30" s="154"/>
      <c r="BM30" s="153"/>
      <c r="BN30" s="160"/>
      <c r="BO30" s="160"/>
      <c r="BP30" s="154"/>
      <c r="BQ30" s="154"/>
      <c r="BR30" s="153"/>
      <c r="BS30" s="160"/>
      <c r="BT30" s="160"/>
      <c r="BU30" s="160"/>
      <c r="BV30" s="154"/>
      <c r="BW30" s="154"/>
      <c r="BX30" s="154"/>
      <c r="BY30" s="160"/>
      <c r="BZ30" s="154"/>
      <c r="CA30" s="154"/>
      <c r="CB30" s="749"/>
      <c r="CC30" s="154"/>
      <c r="CD30" s="153"/>
      <c r="CE30" s="154"/>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row>
    <row r="31" spans="1:109" ht="15.75" customHeight="1" x14ac:dyDescent="0.25">
      <c r="A31" s="570"/>
      <c r="B31" s="571"/>
      <c r="C31" s="571"/>
      <c r="D31" s="571"/>
      <c r="E31" s="572"/>
      <c r="F31" s="571"/>
      <c r="G31" s="571"/>
      <c r="H31" s="571"/>
      <c r="I31" s="200"/>
      <c r="J31" s="200"/>
      <c r="K31" s="571"/>
      <c r="L31" s="572"/>
      <c r="M31" s="570"/>
      <c r="N31" s="576"/>
      <c r="O31" s="575"/>
      <c r="P31" s="581"/>
      <c r="Q31" s="575">
        <f t="shared" si="12"/>
        <v>0</v>
      </c>
      <c r="R31" s="576"/>
      <c r="S31" s="575"/>
      <c r="T31" s="577"/>
      <c r="U31" s="199">
        <v>3</v>
      </c>
      <c r="V31" s="204"/>
      <c r="W31" s="155" t="str">
        <f t="shared" si="0"/>
        <v/>
      </c>
      <c r="X31" s="155"/>
      <c r="Y31" s="155"/>
      <c r="Z31" s="155"/>
      <c r="AA31" s="155"/>
      <c r="AB31" s="203"/>
      <c r="AC31" s="203"/>
      <c r="AD31" s="156" t="str">
        <f t="shared" si="4"/>
        <v/>
      </c>
      <c r="AE31" s="203"/>
      <c r="AF31" s="203"/>
      <c r="AG31" s="203"/>
      <c r="AH31" s="163" t="str">
        <f>IFERROR(IF(AND(W30="Probabilidad",W31="Probabilidad"),(AJ30-(+AJ30*AD31)),IF(AND(W30="Impacto",W31="Probabilidad"),(AJ29-(+AJ29*AD31)),IF(W31="Impacto",AJ30,""))),"")</f>
        <v/>
      </c>
      <c r="AI31" s="158" t="str">
        <f t="shared" si="5"/>
        <v/>
      </c>
      <c r="AJ31" s="156" t="str">
        <f t="shared" si="6"/>
        <v/>
      </c>
      <c r="AK31" s="158" t="str">
        <f t="shared" si="7"/>
        <v/>
      </c>
      <c r="AL31" s="156" t="str">
        <f>IFERROR(IF(AND(W30="Impacto",W31="Impacto"),(AL30-(+AL30*AD31)),IF(AND(W30="Probabilidad",W31="Impacto"),(AL29-(+AL29*AD31)),IF(W31="Probabilidad",AL30,""))),"")</f>
        <v/>
      </c>
      <c r="AM31" s="159" t="str">
        <f t="shared" si="8"/>
        <v/>
      </c>
      <c r="AN31" s="579"/>
      <c r="AO31" s="200"/>
      <c r="AP31" s="199"/>
      <c r="AQ31" s="210"/>
      <c r="AR31" s="160"/>
      <c r="AS31" s="154"/>
      <c r="AT31" s="210"/>
      <c r="AU31" s="200"/>
      <c r="AV31" s="160"/>
      <c r="AW31" s="154"/>
      <c r="AX31" s="160"/>
      <c r="AY31" s="154"/>
      <c r="AZ31" s="153"/>
      <c r="BA31" s="154"/>
      <c r="BB31" s="154"/>
      <c r="BC31" s="153"/>
      <c r="BD31" s="160"/>
      <c r="BE31" s="160"/>
      <c r="BF31" s="200"/>
      <c r="BG31" s="200"/>
      <c r="BH31" s="199"/>
      <c r="BI31" s="210"/>
      <c r="BJ31" s="210"/>
      <c r="BK31" s="154"/>
      <c r="BL31" s="154"/>
      <c r="BM31" s="153"/>
      <c r="BN31" s="160"/>
      <c r="BO31" s="160"/>
      <c r="BP31" s="154"/>
      <c r="BQ31" s="154"/>
      <c r="BR31" s="153"/>
      <c r="BS31" s="160"/>
      <c r="BT31" s="160"/>
      <c r="BU31" s="160"/>
      <c r="BV31" s="154"/>
      <c r="BW31" s="154"/>
      <c r="BX31" s="154"/>
      <c r="BY31" s="160"/>
      <c r="BZ31" s="154"/>
      <c r="CA31" s="154"/>
      <c r="CB31" s="749"/>
      <c r="CC31" s="154"/>
      <c r="CD31" s="153"/>
      <c r="CE31" s="154"/>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row>
    <row r="32" spans="1:109" ht="15.75" customHeight="1" x14ac:dyDescent="0.25">
      <c r="A32" s="570"/>
      <c r="B32" s="571"/>
      <c r="C32" s="571"/>
      <c r="D32" s="571"/>
      <c r="E32" s="572"/>
      <c r="F32" s="571"/>
      <c r="G32" s="571"/>
      <c r="H32" s="571"/>
      <c r="I32" s="200"/>
      <c r="J32" s="200"/>
      <c r="K32" s="571"/>
      <c r="L32" s="572"/>
      <c r="M32" s="570"/>
      <c r="N32" s="576"/>
      <c r="O32" s="575"/>
      <c r="P32" s="581"/>
      <c r="Q32" s="575">
        <f t="shared" si="12"/>
        <v>0</v>
      </c>
      <c r="R32" s="576"/>
      <c r="S32" s="575"/>
      <c r="T32" s="577"/>
      <c r="U32" s="199">
        <v>4</v>
      </c>
      <c r="V32" s="202"/>
      <c r="W32" s="155" t="str">
        <f t="shared" si="0"/>
        <v/>
      </c>
      <c r="X32" s="155"/>
      <c r="Y32" s="155"/>
      <c r="Z32" s="155"/>
      <c r="AA32" s="155"/>
      <c r="AB32" s="203"/>
      <c r="AC32" s="203"/>
      <c r="AD32" s="156" t="str">
        <f t="shared" si="4"/>
        <v/>
      </c>
      <c r="AE32" s="203"/>
      <c r="AF32" s="203"/>
      <c r="AG32" s="203"/>
      <c r="AH32" s="163" t="str">
        <f>IFERROR(IF(AND(W31="Probabilidad",W32="Probabilidad"),(AJ31-(+AJ31*AD32)),IF(AND(W31="Impacto",W32="Probabilidad"),(AJ30-(+AJ30*AD32)),IF(W32="Impacto",AJ31,""))),"")</f>
        <v/>
      </c>
      <c r="AI32" s="158" t="str">
        <f t="shared" si="5"/>
        <v/>
      </c>
      <c r="AJ32" s="156" t="str">
        <f t="shared" si="6"/>
        <v/>
      </c>
      <c r="AK32" s="158" t="str">
        <f t="shared" si="7"/>
        <v/>
      </c>
      <c r="AL32" s="156" t="str">
        <f>IFERROR(IF(AND(W31="Impacto",W32="Impacto"),(AL31-(+AL31*AD32)),IF(AND(W31="Probabilidad",W32="Impacto"),(AL30-(+AL30*AD32)),IF(W32="Probabilidad",AL31,""))),"")</f>
        <v/>
      </c>
      <c r="AM32" s="159" t="str">
        <f t="shared" si="8"/>
        <v/>
      </c>
      <c r="AN32" s="579"/>
      <c r="AO32" s="200"/>
      <c r="AP32" s="199"/>
      <c r="AQ32" s="210"/>
      <c r="AR32" s="160"/>
      <c r="AS32" s="154"/>
      <c r="AT32" s="210"/>
      <c r="AU32" s="200"/>
      <c r="AV32" s="160"/>
      <c r="AW32" s="154"/>
      <c r="AX32" s="160"/>
      <c r="AY32" s="154"/>
      <c r="AZ32" s="153"/>
      <c r="BA32" s="154"/>
      <c r="BB32" s="154"/>
      <c r="BC32" s="153"/>
      <c r="BD32" s="160"/>
      <c r="BE32" s="160"/>
      <c r="BF32" s="200"/>
      <c r="BG32" s="200"/>
      <c r="BH32" s="199"/>
      <c r="BI32" s="210"/>
      <c r="BJ32" s="210"/>
      <c r="BK32" s="154"/>
      <c r="BL32" s="154"/>
      <c r="BM32" s="153"/>
      <c r="BN32" s="160"/>
      <c r="BO32" s="160"/>
      <c r="BP32" s="154"/>
      <c r="BQ32" s="154"/>
      <c r="BR32" s="153"/>
      <c r="BS32" s="160"/>
      <c r="BT32" s="160"/>
      <c r="BU32" s="160"/>
      <c r="BV32" s="154"/>
      <c r="BW32" s="154"/>
      <c r="BX32" s="154"/>
      <c r="BY32" s="160"/>
      <c r="BZ32" s="154"/>
      <c r="CA32" s="154"/>
      <c r="CB32" s="749"/>
      <c r="CC32" s="154"/>
      <c r="CD32" s="153"/>
      <c r="CE32" s="154"/>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row>
    <row r="33" spans="1:109" ht="15.75" customHeight="1" x14ac:dyDescent="0.25">
      <c r="A33" s="570"/>
      <c r="B33" s="571"/>
      <c r="C33" s="571"/>
      <c r="D33" s="571"/>
      <c r="E33" s="572"/>
      <c r="F33" s="571"/>
      <c r="G33" s="571"/>
      <c r="H33" s="571"/>
      <c r="I33" s="200"/>
      <c r="J33" s="200"/>
      <c r="K33" s="571"/>
      <c r="L33" s="572"/>
      <c r="M33" s="570"/>
      <c r="N33" s="576"/>
      <c r="O33" s="575"/>
      <c r="P33" s="581"/>
      <c r="Q33" s="575">
        <f t="shared" si="12"/>
        <v>0</v>
      </c>
      <c r="R33" s="576"/>
      <c r="S33" s="575"/>
      <c r="T33" s="577"/>
      <c r="U33" s="199">
        <v>5</v>
      </c>
      <c r="V33" s="202"/>
      <c r="W33" s="155" t="str">
        <f t="shared" si="0"/>
        <v/>
      </c>
      <c r="X33" s="155"/>
      <c r="Y33" s="155"/>
      <c r="Z33" s="155"/>
      <c r="AA33" s="155"/>
      <c r="AB33" s="203"/>
      <c r="AC33" s="203"/>
      <c r="AD33" s="156" t="str">
        <f t="shared" si="4"/>
        <v/>
      </c>
      <c r="AE33" s="203"/>
      <c r="AF33" s="203"/>
      <c r="AG33" s="203"/>
      <c r="AH33" s="163" t="str">
        <f>IFERROR(IF(AND(W32="Probabilidad",W33="Probabilidad"),(AJ32-(+AJ32*AD33)),IF(AND(W32="Impacto",W33="Probabilidad"),(AJ31-(+AJ31*AD33)),IF(W33="Impacto",AJ32,""))),"")</f>
        <v/>
      </c>
      <c r="AI33" s="158" t="str">
        <f t="shared" si="5"/>
        <v/>
      </c>
      <c r="AJ33" s="156" t="str">
        <f t="shared" si="6"/>
        <v/>
      </c>
      <c r="AK33" s="158" t="str">
        <f t="shared" si="7"/>
        <v/>
      </c>
      <c r="AL33" s="156" t="str">
        <f>IFERROR(IF(AND(W32="Impacto",W33="Impacto"),(AL32-(+AL32*AD33)),IF(AND(W32="Probabilidad",W33="Impacto"),(AL31-(+AL31*AD33)),IF(W33="Probabilidad",AL32,""))),"")</f>
        <v/>
      </c>
      <c r="AM33" s="159" t="str">
        <f t="shared" si="8"/>
        <v/>
      </c>
      <c r="AN33" s="579"/>
      <c r="AO33" s="200"/>
      <c r="AP33" s="199"/>
      <c r="AQ33" s="210"/>
      <c r="AR33" s="160"/>
      <c r="AS33" s="154"/>
      <c r="AT33" s="210"/>
      <c r="AU33" s="200"/>
      <c r="AV33" s="160"/>
      <c r="AW33" s="154"/>
      <c r="AX33" s="160"/>
      <c r="AY33" s="154"/>
      <c r="AZ33" s="153"/>
      <c r="BA33" s="154"/>
      <c r="BB33" s="154"/>
      <c r="BC33" s="153"/>
      <c r="BD33" s="160"/>
      <c r="BE33" s="160"/>
      <c r="BF33" s="200"/>
      <c r="BG33" s="200"/>
      <c r="BH33" s="199"/>
      <c r="BI33" s="210"/>
      <c r="BJ33" s="210"/>
      <c r="BK33" s="154"/>
      <c r="BL33" s="154"/>
      <c r="BM33" s="153"/>
      <c r="BN33" s="160"/>
      <c r="BO33" s="160"/>
      <c r="BP33" s="154"/>
      <c r="BQ33" s="154"/>
      <c r="BR33" s="153"/>
      <c r="BS33" s="160"/>
      <c r="BT33" s="160"/>
      <c r="BU33" s="160"/>
      <c r="BV33" s="154"/>
      <c r="BW33" s="154"/>
      <c r="BX33" s="154"/>
      <c r="BY33" s="160"/>
      <c r="BZ33" s="154"/>
      <c r="CA33" s="154"/>
      <c r="CB33" s="749"/>
      <c r="CC33" s="154"/>
      <c r="CD33" s="153"/>
      <c r="CE33" s="154"/>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row>
    <row r="34" spans="1:109" ht="15.75" customHeight="1" x14ac:dyDescent="0.25">
      <c r="A34" s="570"/>
      <c r="B34" s="571"/>
      <c r="C34" s="571"/>
      <c r="D34" s="571"/>
      <c r="E34" s="572"/>
      <c r="F34" s="571"/>
      <c r="G34" s="571"/>
      <c r="H34" s="571"/>
      <c r="I34" s="200"/>
      <c r="J34" s="200"/>
      <c r="K34" s="571"/>
      <c r="L34" s="572"/>
      <c r="M34" s="570"/>
      <c r="N34" s="576"/>
      <c r="O34" s="575"/>
      <c r="P34" s="581"/>
      <c r="Q34" s="575">
        <f t="shared" si="12"/>
        <v>0</v>
      </c>
      <c r="R34" s="576"/>
      <c r="S34" s="575"/>
      <c r="T34" s="577"/>
      <c r="U34" s="199">
        <v>6</v>
      </c>
      <c r="V34" s="202"/>
      <c r="W34" s="155" t="str">
        <f t="shared" si="0"/>
        <v/>
      </c>
      <c r="X34" s="155"/>
      <c r="Y34" s="155"/>
      <c r="Z34" s="155"/>
      <c r="AA34" s="155"/>
      <c r="AB34" s="203"/>
      <c r="AC34" s="203"/>
      <c r="AD34" s="156" t="str">
        <f t="shared" si="4"/>
        <v/>
      </c>
      <c r="AE34" s="203"/>
      <c r="AF34" s="203"/>
      <c r="AG34" s="203"/>
      <c r="AH34" s="163" t="str">
        <f>IFERROR(IF(AND(W33="Probabilidad",W34="Probabilidad"),(AJ33-(+AJ33*AD34)),IF(AND(W33="Impacto",W34="Probabilidad"),(AJ32-(+AJ32*AD34)),IF(W34="Impacto",AJ33,""))),"")</f>
        <v/>
      </c>
      <c r="AI34" s="158" t="str">
        <f t="shared" si="5"/>
        <v/>
      </c>
      <c r="AJ34" s="156" t="str">
        <f t="shared" si="6"/>
        <v/>
      </c>
      <c r="AK34" s="158" t="str">
        <f t="shared" si="7"/>
        <v/>
      </c>
      <c r="AL34" s="156" t="str">
        <f>IFERROR(IF(AND(W33="Impacto",W34="Impacto"),(AL33-(+AL33*AD34)),IF(AND(W33="Probabilidad",W34="Impacto"),(AL32-(+AL32*AD34)),IF(W34="Probabilidad",AL33,""))),"")</f>
        <v/>
      </c>
      <c r="AM34" s="159" t="str">
        <f t="shared" si="8"/>
        <v/>
      </c>
      <c r="AN34" s="580"/>
      <c r="AO34" s="200"/>
      <c r="AP34" s="199"/>
      <c r="AQ34" s="210"/>
      <c r="AR34" s="160"/>
      <c r="AS34" s="154"/>
      <c r="AT34" s="210"/>
      <c r="AU34" s="200"/>
      <c r="AV34" s="160"/>
      <c r="AW34" s="154"/>
      <c r="AX34" s="160"/>
      <c r="AY34" s="154"/>
      <c r="AZ34" s="153"/>
      <c r="BA34" s="154"/>
      <c r="BB34" s="154"/>
      <c r="BC34" s="153"/>
      <c r="BD34" s="160"/>
      <c r="BE34" s="160"/>
      <c r="BF34" s="200"/>
      <c r="BG34" s="200"/>
      <c r="BH34" s="199"/>
      <c r="BI34" s="210"/>
      <c r="BJ34" s="210"/>
      <c r="BK34" s="154"/>
      <c r="BL34" s="154"/>
      <c r="BM34" s="153"/>
      <c r="BN34" s="160"/>
      <c r="BO34" s="160"/>
      <c r="BP34" s="154"/>
      <c r="BQ34" s="154"/>
      <c r="BR34" s="153"/>
      <c r="BS34" s="160"/>
      <c r="BT34" s="160"/>
      <c r="BU34" s="160"/>
      <c r="BV34" s="154"/>
      <c r="BW34" s="154"/>
      <c r="BX34" s="154"/>
      <c r="BY34" s="160"/>
      <c r="BZ34" s="154"/>
      <c r="CA34" s="154"/>
      <c r="CB34" s="749"/>
      <c r="CC34" s="154"/>
      <c r="CD34" s="153"/>
      <c r="CE34" s="154"/>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row>
    <row r="35" spans="1:109" ht="15.75" customHeight="1" x14ac:dyDescent="0.25">
      <c r="A35" s="570">
        <v>6</v>
      </c>
      <c r="B35" s="571"/>
      <c r="C35" s="571"/>
      <c r="D35" s="571"/>
      <c r="E35" s="572"/>
      <c r="F35" s="571"/>
      <c r="G35" s="571"/>
      <c r="H35" s="571"/>
      <c r="I35" s="200"/>
      <c r="J35" s="200"/>
      <c r="K35" s="571"/>
      <c r="L35" s="572"/>
      <c r="M35" s="570"/>
      <c r="N35" s="576" t="str">
        <f>IF(M35&lt;=0,"",IF(M35&lt;=2,"Muy Baja",IF(M35&lt;=24,"Baja",IF(M35&lt;=500,"Media",IF(M35&lt;=5000,"Alta","Muy Alta")))))</f>
        <v/>
      </c>
      <c r="O35" s="575" t="str">
        <f>IF(N35="","",IF(N35="Muy Baja",0.2,IF(N35="Baja",0.4,IF(N35="Media",0.6,IF(N35="Alta",0.8,IF(N35="Muy Alta",1,))))))</f>
        <v/>
      </c>
      <c r="P35" s="581"/>
      <c r="Q35" s="575">
        <f>IF(NOT(ISERROR(MATCH(P35,'Tabla Impacto'!$B$221:$B$223,0))),'Tabla Impacto'!$F$223&amp;"Por favor no seleccionar los criterios de impacto(Afectación Económica o presupuestal y Pérdida Reputacional)",P35)</f>
        <v>0</v>
      </c>
      <c r="R35" s="576" t="str">
        <f>IF(OR(Q35='Tabla Impacto'!$C$11,Q35='Tabla Impacto'!$D$11),"Leve",IF(OR(Q35='Tabla Impacto'!$C$12,Q35='Tabla Impacto'!$D$12),"Menor",IF(OR(Q35='Tabla Impacto'!$C$13,Q35='Tabla Impacto'!$D$13),"Moderado",IF(OR(Q35='Tabla Impacto'!$C$14,Q35='Tabla Impacto'!$D$14),"Mayor",IF(OR(Q35='Tabla Impacto'!$C$15,Q35='Tabla Impacto'!$D$15),"Catastrófico","")))))</f>
        <v/>
      </c>
      <c r="S35" s="575" t="str">
        <f>IF(R35="","",IF(R35="Leve",0.2,IF(R35="Menor",0.4,IF(R35="Moderado",0.6,IF(R35="Mayor",0.8,IF(R35="Catastrófico",1,))))))</f>
        <v/>
      </c>
      <c r="T35" s="577"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99">
        <v>1</v>
      </c>
      <c r="V35" s="202"/>
      <c r="W35" s="155" t="str">
        <f t="shared" si="0"/>
        <v/>
      </c>
      <c r="X35" s="155"/>
      <c r="Y35" s="155"/>
      <c r="Z35" s="155"/>
      <c r="AA35" s="155"/>
      <c r="AB35" s="203"/>
      <c r="AC35" s="203"/>
      <c r="AD35" s="156" t="str">
        <f t="shared" si="4"/>
        <v/>
      </c>
      <c r="AE35" s="203"/>
      <c r="AF35" s="203"/>
      <c r="AG35" s="203"/>
      <c r="AH35" s="163" t="str">
        <f>IFERROR(IF(W35="Probabilidad",(O35-(+O35*AD35)),IF(W35="Impacto",O35,"")),"")</f>
        <v/>
      </c>
      <c r="AI35" s="158" t="str">
        <f>IFERROR(IF(AH35="","",IF(AH35&lt;=0.2,"Muy Baja",IF(AH35&lt;=0.4,"Baja",IF(AH35&lt;=0.6,"Media",IF(AH35&lt;=0.8,"Alta","Muy Alta"))))),"")</f>
        <v/>
      </c>
      <c r="AJ35" s="156" t="str">
        <f t="shared" si="6"/>
        <v/>
      </c>
      <c r="AK35" s="158" t="str">
        <f>IFERROR(IF(AL35="","",IF(AL35&lt;=0.2,"Leve",IF(AL35&lt;=0.4,"Menor",IF(AL35&lt;=0.6,"Moderado",IF(AL35&lt;=0.8,"Mayor","Catastrófico"))))),"")</f>
        <v/>
      </c>
      <c r="AL35" s="156" t="str">
        <f>IFERROR(IF(W35="Impacto",(S35-(+S35*AD35)),IF(W35="Probabilidad",S35,"")),"")</f>
        <v/>
      </c>
      <c r="AM35" s="159" t="str">
        <f t="shared" si="8"/>
        <v/>
      </c>
      <c r="AN35" s="578"/>
      <c r="AO35" s="200"/>
      <c r="AP35" s="199"/>
      <c r="AQ35" s="210"/>
      <c r="AR35" s="160"/>
      <c r="AS35" s="154"/>
      <c r="AT35" s="210"/>
      <c r="AU35" s="200"/>
      <c r="AV35" s="160"/>
      <c r="AW35" s="154"/>
      <c r="AX35" s="160"/>
      <c r="AY35" s="154"/>
      <c r="AZ35" s="153"/>
      <c r="BA35" s="154"/>
      <c r="BB35" s="154"/>
      <c r="BC35" s="153"/>
      <c r="BD35" s="160"/>
      <c r="BE35" s="160"/>
      <c r="BF35" s="200"/>
      <c r="BG35" s="200"/>
      <c r="BH35" s="199"/>
      <c r="BI35" s="210"/>
      <c r="BJ35" s="210"/>
      <c r="BK35" s="154"/>
      <c r="BL35" s="154"/>
      <c r="BM35" s="153"/>
      <c r="BN35" s="160"/>
      <c r="BO35" s="160"/>
      <c r="BP35" s="154"/>
      <c r="BQ35" s="154"/>
      <c r="BR35" s="153"/>
      <c r="BS35" s="160"/>
      <c r="BT35" s="160"/>
      <c r="BU35" s="160"/>
      <c r="BV35" s="154"/>
      <c r="BW35" s="154"/>
      <c r="BX35" s="154"/>
      <c r="BY35" s="160"/>
      <c r="BZ35" s="154"/>
      <c r="CA35" s="154"/>
      <c r="CB35" s="749"/>
      <c r="CC35" s="154"/>
      <c r="CD35" s="153"/>
      <c r="CE35" s="154"/>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row>
    <row r="36" spans="1:109" ht="15.75" customHeight="1" x14ac:dyDescent="0.25">
      <c r="A36" s="570"/>
      <c r="B36" s="571"/>
      <c r="C36" s="571"/>
      <c r="D36" s="571"/>
      <c r="E36" s="572"/>
      <c r="F36" s="571"/>
      <c r="G36" s="571"/>
      <c r="H36" s="571"/>
      <c r="I36" s="200"/>
      <c r="J36" s="200"/>
      <c r="K36" s="571"/>
      <c r="L36" s="572"/>
      <c r="M36" s="570"/>
      <c r="N36" s="576"/>
      <c r="O36" s="575"/>
      <c r="P36" s="581"/>
      <c r="Q36" s="575">
        <f t="shared" ref="Q36:Q40" si="13">IF(NOT(ISERROR(MATCH(P36,_xlfn.ANCHORARRAY(E47),0))),O49&amp;"Por favor no seleccionar los criterios de impacto",P36)</f>
        <v>0</v>
      </c>
      <c r="R36" s="576"/>
      <c r="S36" s="575"/>
      <c r="T36" s="577"/>
      <c r="U36" s="199">
        <v>2</v>
      </c>
      <c r="V36" s="202"/>
      <c r="W36" s="155" t="str">
        <f t="shared" si="0"/>
        <v/>
      </c>
      <c r="X36" s="155"/>
      <c r="Y36" s="155"/>
      <c r="Z36" s="155"/>
      <c r="AA36" s="155"/>
      <c r="AB36" s="203"/>
      <c r="AC36" s="203"/>
      <c r="AD36" s="156" t="str">
        <f t="shared" si="4"/>
        <v/>
      </c>
      <c r="AE36" s="203"/>
      <c r="AF36" s="203"/>
      <c r="AG36" s="203"/>
      <c r="AH36" s="163" t="str">
        <f>IFERROR(IF(AND(W35="Probabilidad",W36="Probabilidad"),(AJ35-(+AJ35*AD36)),IF(W36="Probabilidad",(O35-(+O35*AD36)),IF(W36="Impacto",AJ35,""))),"")</f>
        <v/>
      </c>
      <c r="AI36" s="158" t="str">
        <f t="shared" si="5"/>
        <v/>
      </c>
      <c r="AJ36" s="156" t="str">
        <f t="shared" si="6"/>
        <v/>
      </c>
      <c r="AK36" s="158" t="str">
        <f t="shared" si="7"/>
        <v/>
      </c>
      <c r="AL36" s="156" t="str">
        <f>IFERROR(IF(AND(W35="Impacto",W36="Impacto"),(AL29-(+AL29*AD36)),IF(W36="Impacto",($S$35-(+$S$35*AD36)),IF(W36="Probabilidad",AL29,""))),"")</f>
        <v/>
      </c>
      <c r="AM36" s="159" t="str">
        <f t="shared" si="8"/>
        <v/>
      </c>
      <c r="AN36" s="579"/>
      <c r="AO36" s="200"/>
      <c r="AP36" s="199"/>
      <c r="AQ36" s="210"/>
      <c r="AR36" s="160"/>
      <c r="AS36" s="154"/>
      <c r="AT36" s="210"/>
      <c r="AU36" s="200"/>
      <c r="AV36" s="160"/>
      <c r="AW36" s="154"/>
      <c r="AX36" s="160"/>
      <c r="AY36" s="154"/>
      <c r="AZ36" s="153"/>
      <c r="BA36" s="154"/>
      <c r="BB36" s="154"/>
      <c r="BC36" s="153"/>
      <c r="BD36" s="160"/>
      <c r="BE36" s="160"/>
      <c r="BF36" s="200"/>
      <c r="BG36" s="200"/>
      <c r="BH36" s="199"/>
      <c r="BI36" s="210"/>
      <c r="BJ36" s="210"/>
      <c r="BK36" s="154"/>
      <c r="BL36" s="154"/>
      <c r="BM36" s="153"/>
      <c r="BN36" s="160"/>
      <c r="BO36" s="160"/>
      <c r="BP36" s="154"/>
      <c r="BQ36" s="154"/>
      <c r="BR36" s="153"/>
      <c r="BS36" s="160"/>
      <c r="BT36" s="160"/>
      <c r="BU36" s="160"/>
      <c r="BV36" s="154"/>
      <c r="BW36" s="154"/>
      <c r="BX36" s="154"/>
      <c r="BY36" s="160"/>
      <c r="BZ36" s="154"/>
      <c r="CA36" s="154"/>
      <c r="CB36" s="749"/>
      <c r="CC36" s="154"/>
      <c r="CD36" s="153"/>
      <c r="CE36" s="154"/>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row>
    <row r="37" spans="1:109" ht="15.75" customHeight="1" x14ac:dyDescent="0.25">
      <c r="A37" s="570"/>
      <c r="B37" s="571"/>
      <c r="C37" s="571"/>
      <c r="D37" s="571"/>
      <c r="E37" s="572"/>
      <c r="F37" s="571"/>
      <c r="G37" s="571"/>
      <c r="H37" s="571"/>
      <c r="I37" s="200"/>
      <c r="J37" s="200"/>
      <c r="K37" s="571"/>
      <c r="L37" s="572"/>
      <c r="M37" s="570"/>
      <c r="N37" s="576"/>
      <c r="O37" s="575"/>
      <c r="P37" s="581"/>
      <c r="Q37" s="575">
        <f t="shared" si="13"/>
        <v>0</v>
      </c>
      <c r="R37" s="576"/>
      <c r="S37" s="575"/>
      <c r="T37" s="577"/>
      <c r="U37" s="199">
        <v>3</v>
      </c>
      <c r="V37" s="204"/>
      <c r="W37" s="155" t="str">
        <f t="shared" ref="W37:W64" si="14">IF(OR(AB37="Preventivo",AB37="Detectivo"),"Probabilidad",IF(AB37="Correctivo","Impacto",""))</f>
        <v/>
      </c>
      <c r="X37" s="155"/>
      <c r="Y37" s="155"/>
      <c r="Z37" s="155"/>
      <c r="AA37" s="155"/>
      <c r="AB37" s="203"/>
      <c r="AC37" s="203"/>
      <c r="AD37" s="156" t="str">
        <f t="shared" si="4"/>
        <v/>
      </c>
      <c r="AE37" s="203"/>
      <c r="AF37" s="203"/>
      <c r="AG37" s="203"/>
      <c r="AH37" s="163" t="str">
        <f>IFERROR(IF(AND(W36="Probabilidad",W37="Probabilidad"),(AJ36-(+AJ36*AD37)),IF(AND(W36="Impacto",W37="Probabilidad"),(AJ35-(+AJ35*AD37)),IF(W37="Impacto",AJ36,""))),"")</f>
        <v/>
      </c>
      <c r="AI37" s="158" t="str">
        <f t="shared" si="5"/>
        <v/>
      </c>
      <c r="AJ37" s="156" t="str">
        <f t="shared" ref="AJ37:AJ64" si="15">+AH37</f>
        <v/>
      </c>
      <c r="AK37" s="158" t="str">
        <f t="shared" si="7"/>
        <v/>
      </c>
      <c r="AL37" s="156" t="str">
        <f>IFERROR(IF(AND(W36="Impacto",W37="Impacto"),(AL36-(+AL36*AD37)),IF(AND(W36="Probabilidad",W37="Impacto"),(AL35-(+AL35*AD37)),IF(W37="Probabilidad",AL36,""))),"")</f>
        <v/>
      </c>
      <c r="AM37" s="15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579"/>
      <c r="AO37" s="200"/>
      <c r="AP37" s="199"/>
      <c r="AQ37" s="210"/>
      <c r="AR37" s="160"/>
      <c r="AS37" s="154"/>
      <c r="AT37" s="210"/>
      <c r="AU37" s="200"/>
      <c r="AV37" s="160"/>
      <c r="AW37" s="154"/>
      <c r="AX37" s="160"/>
      <c r="AY37" s="154"/>
      <c r="AZ37" s="153"/>
      <c r="BA37" s="154"/>
      <c r="BB37" s="154"/>
      <c r="BC37" s="153"/>
      <c r="BD37" s="160"/>
      <c r="BE37" s="160"/>
      <c r="BF37" s="200"/>
      <c r="BG37" s="200"/>
      <c r="BH37" s="199"/>
      <c r="BI37" s="210"/>
      <c r="BJ37" s="210"/>
      <c r="BK37" s="154"/>
      <c r="BL37" s="154"/>
      <c r="BM37" s="153"/>
      <c r="BN37" s="160"/>
      <c r="BO37" s="160"/>
      <c r="BP37" s="154"/>
      <c r="BQ37" s="154"/>
      <c r="BR37" s="153"/>
      <c r="BS37" s="160"/>
      <c r="BT37" s="160"/>
      <c r="BU37" s="160"/>
      <c r="BV37" s="154"/>
      <c r="BW37" s="154"/>
      <c r="BX37" s="154"/>
      <c r="BY37" s="160"/>
      <c r="BZ37" s="154"/>
      <c r="CA37" s="154"/>
      <c r="CB37" s="749"/>
      <c r="CC37" s="154"/>
      <c r="CD37" s="153"/>
      <c r="CE37" s="154"/>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row>
    <row r="38" spans="1:109" ht="15.75" customHeight="1" x14ac:dyDescent="0.25">
      <c r="A38" s="570"/>
      <c r="B38" s="571"/>
      <c r="C38" s="571"/>
      <c r="D38" s="571"/>
      <c r="E38" s="572"/>
      <c r="F38" s="571"/>
      <c r="G38" s="571"/>
      <c r="H38" s="571"/>
      <c r="I38" s="200"/>
      <c r="J38" s="200"/>
      <c r="K38" s="571"/>
      <c r="L38" s="572"/>
      <c r="M38" s="570"/>
      <c r="N38" s="576"/>
      <c r="O38" s="575"/>
      <c r="P38" s="581"/>
      <c r="Q38" s="575">
        <f t="shared" si="13"/>
        <v>0</v>
      </c>
      <c r="R38" s="576"/>
      <c r="S38" s="575"/>
      <c r="T38" s="577"/>
      <c r="U38" s="199">
        <v>4</v>
      </c>
      <c r="V38" s="202"/>
      <c r="W38" s="155" t="str">
        <f t="shared" si="14"/>
        <v/>
      </c>
      <c r="X38" s="155"/>
      <c r="Y38" s="155"/>
      <c r="Z38" s="155"/>
      <c r="AA38" s="155"/>
      <c r="AB38" s="203"/>
      <c r="AC38" s="203"/>
      <c r="AD38" s="156" t="str">
        <f t="shared" si="4"/>
        <v/>
      </c>
      <c r="AE38" s="203"/>
      <c r="AF38" s="203"/>
      <c r="AG38" s="203"/>
      <c r="AH38" s="163" t="str">
        <f>IFERROR(IF(AND(W37="Probabilidad",W38="Probabilidad"),(AJ37-(+AJ37*AD38)),IF(AND(W37="Impacto",W38="Probabilidad"),(AJ36-(+AJ36*AD38)),IF(W38="Impacto",AJ37,""))),"")</f>
        <v/>
      </c>
      <c r="AI38" s="158" t="str">
        <f t="shared" si="5"/>
        <v/>
      </c>
      <c r="AJ38" s="156" t="str">
        <f t="shared" si="15"/>
        <v/>
      </c>
      <c r="AK38" s="158" t="str">
        <f t="shared" si="7"/>
        <v/>
      </c>
      <c r="AL38" s="156" t="str">
        <f>IFERROR(IF(AND(W37="Impacto",W38="Impacto"),(AL37-(+AL37*AD38)),IF(AND(W37="Probabilidad",W38="Impacto"),(AL36-(+AL36*AD38)),IF(W38="Probabilidad",AL37,""))),"")</f>
        <v/>
      </c>
      <c r="AM38" s="159" t="str">
        <f t="shared" si="16"/>
        <v/>
      </c>
      <c r="AN38" s="579"/>
      <c r="AO38" s="200"/>
      <c r="AP38" s="199"/>
      <c r="AQ38" s="210"/>
      <c r="AR38" s="160"/>
      <c r="AS38" s="154"/>
      <c r="AT38" s="210"/>
      <c r="AU38" s="200"/>
      <c r="AV38" s="160"/>
      <c r="AW38" s="154"/>
      <c r="AX38" s="160"/>
      <c r="AY38" s="154"/>
      <c r="AZ38" s="153"/>
      <c r="BA38" s="154"/>
      <c r="BB38" s="154"/>
      <c r="BC38" s="153"/>
      <c r="BD38" s="160"/>
      <c r="BE38" s="160"/>
      <c r="BF38" s="200"/>
      <c r="BG38" s="200"/>
      <c r="BH38" s="199"/>
      <c r="BI38" s="210"/>
      <c r="BJ38" s="210"/>
      <c r="BK38" s="154"/>
      <c r="BL38" s="154"/>
      <c r="BM38" s="153"/>
      <c r="BN38" s="160"/>
      <c r="BO38" s="160"/>
      <c r="BP38" s="154"/>
      <c r="BQ38" s="154"/>
      <c r="BR38" s="153"/>
      <c r="BS38" s="160"/>
      <c r="BT38" s="160"/>
      <c r="BU38" s="160"/>
      <c r="BV38" s="154"/>
      <c r="BW38" s="154"/>
      <c r="BX38" s="154"/>
      <c r="BY38" s="160"/>
      <c r="BZ38" s="154"/>
      <c r="CA38" s="154"/>
      <c r="CB38" s="749"/>
      <c r="CC38" s="154"/>
      <c r="CD38" s="153"/>
      <c r="CE38" s="154"/>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row>
    <row r="39" spans="1:109" ht="15.75" customHeight="1" x14ac:dyDescent="0.25">
      <c r="A39" s="570"/>
      <c r="B39" s="571"/>
      <c r="C39" s="571"/>
      <c r="D39" s="571"/>
      <c r="E39" s="572"/>
      <c r="F39" s="571"/>
      <c r="G39" s="571"/>
      <c r="H39" s="571"/>
      <c r="I39" s="200"/>
      <c r="J39" s="200"/>
      <c r="K39" s="571"/>
      <c r="L39" s="572"/>
      <c r="M39" s="570"/>
      <c r="N39" s="576"/>
      <c r="O39" s="575"/>
      <c r="P39" s="581"/>
      <c r="Q39" s="575">
        <f t="shared" si="13"/>
        <v>0</v>
      </c>
      <c r="R39" s="576"/>
      <c r="S39" s="575"/>
      <c r="T39" s="577"/>
      <c r="U39" s="199">
        <v>5</v>
      </c>
      <c r="V39" s="202"/>
      <c r="W39" s="155" t="str">
        <f t="shared" si="14"/>
        <v/>
      </c>
      <c r="X39" s="155"/>
      <c r="Y39" s="155"/>
      <c r="Z39" s="155"/>
      <c r="AA39" s="155"/>
      <c r="AB39" s="203"/>
      <c r="AC39" s="203"/>
      <c r="AD39" s="156" t="str">
        <f t="shared" si="4"/>
        <v/>
      </c>
      <c r="AE39" s="203"/>
      <c r="AF39" s="203"/>
      <c r="AG39" s="203"/>
      <c r="AH39" s="163" t="str">
        <f>IFERROR(IF(AND(W38="Probabilidad",W39="Probabilidad"),(AJ38-(+AJ38*AD39)),IF(AND(W38="Impacto",W39="Probabilidad"),(AJ37-(+AJ37*AD39)),IF(W39="Impacto",AJ38,""))),"")</f>
        <v/>
      </c>
      <c r="AI39" s="158" t="str">
        <f t="shared" si="5"/>
        <v/>
      </c>
      <c r="AJ39" s="156" t="str">
        <f t="shared" si="15"/>
        <v/>
      </c>
      <c r="AK39" s="158" t="str">
        <f t="shared" si="7"/>
        <v/>
      </c>
      <c r="AL39" s="156" t="str">
        <f>IFERROR(IF(AND(W38="Impacto",W39="Impacto"),(AL38-(+AL38*AD39)),IF(AND(W38="Probabilidad",W39="Impacto"),(AL37-(+AL37*AD39)),IF(W39="Probabilidad",AL38,""))),"")</f>
        <v/>
      </c>
      <c r="AM39" s="159" t="str">
        <f t="shared" si="16"/>
        <v/>
      </c>
      <c r="AN39" s="579"/>
      <c r="AO39" s="200"/>
      <c r="AP39" s="199"/>
      <c r="AQ39" s="210"/>
      <c r="AR39" s="160"/>
      <c r="AS39" s="154"/>
      <c r="AT39" s="210"/>
      <c r="AU39" s="200"/>
      <c r="AV39" s="160"/>
      <c r="AW39" s="154"/>
      <c r="AX39" s="160"/>
      <c r="AY39" s="154"/>
      <c r="AZ39" s="153"/>
      <c r="BA39" s="154"/>
      <c r="BB39" s="154"/>
      <c r="BC39" s="153"/>
      <c r="BD39" s="160"/>
      <c r="BE39" s="160"/>
      <c r="BF39" s="200"/>
      <c r="BG39" s="200"/>
      <c r="BH39" s="199"/>
      <c r="BI39" s="210"/>
      <c r="BJ39" s="210"/>
      <c r="BK39" s="154"/>
      <c r="BL39" s="154"/>
      <c r="BM39" s="153"/>
      <c r="BN39" s="160"/>
      <c r="BO39" s="160"/>
      <c r="BP39" s="154"/>
      <c r="BQ39" s="154"/>
      <c r="BR39" s="153"/>
      <c r="BS39" s="160"/>
      <c r="BT39" s="160"/>
      <c r="BU39" s="160"/>
      <c r="BV39" s="154"/>
      <c r="BW39" s="154"/>
      <c r="BX39" s="154"/>
      <c r="BY39" s="160"/>
      <c r="BZ39" s="154"/>
      <c r="CA39" s="154"/>
      <c r="CB39" s="749"/>
      <c r="CC39" s="154"/>
      <c r="CD39" s="153"/>
      <c r="CE39" s="154"/>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row>
    <row r="40" spans="1:109" ht="15.75" customHeight="1" x14ac:dyDescent="0.25">
      <c r="A40" s="570"/>
      <c r="B40" s="571"/>
      <c r="C40" s="571"/>
      <c r="D40" s="571"/>
      <c r="E40" s="572"/>
      <c r="F40" s="571"/>
      <c r="G40" s="571"/>
      <c r="H40" s="571"/>
      <c r="I40" s="200"/>
      <c r="J40" s="200"/>
      <c r="K40" s="571"/>
      <c r="L40" s="572"/>
      <c r="M40" s="570"/>
      <c r="N40" s="576"/>
      <c r="O40" s="575"/>
      <c r="P40" s="581"/>
      <c r="Q40" s="575">
        <f t="shared" si="13"/>
        <v>0</v>
      </c>
      <c r="R40" s="576"/>
      <c r="S40" s="575"/>
      <c r="T40" s="577"/>
      <c r="U40" s="199">
        <v>6</v>
      </c>
      <c r="V40" s="202"/>
      <c r="W40" s="155" t="str">
        <f t="shared" si="14"/>
        <v/>
      </c>
      <c r="X40" s="155"/>
      <c r="Y40" s="155"/>
      <c r="Z40" s="155"/>
      <c r="AA40" s="155"/>
      <c r="AB40" s="203"/>
      <c r="AC40" s="203"/>
      <c r="AD40" s="156" t="str">
        <f t="shared" si="4"/>
        <v/>
      </c>
      <c r="AE40" s="203"/>
      <c r="AF40" s="203"/>
      <c r="AG40" s="203"/>
      <c r="AH40" s="163" t="str">
        <f>IFERROR(IF(AND(W39="Probabilidad",W40="Probabilidad"),(AJ39-(+AJ39*AD40)),IF(AND(W39="Impacto",W40="Probabilidad"),(AJ38-(+AJ38*AD40)),IF(W40="Impacto",AJ39,""))),"")</f>
        <v/>
      </c>
      <c r="AI40" s="158" t="str">
        <f t="shared" si="5"/>
        <v/>
      </c>
      <c r="AJ40" s="156" t="str">
        <f t="shared" si="15"/>
        <v/>
      </c>
      <c r="AK40" s="158" t="str">
        <f>IFERROR(IF(AL40="","",IF(AL40&lt;=0.2,"Leve",IF(AL40&lt;=0.4,"Menor",IF(AL40&lt;=0.6,"Moderado",IF(AL40&lt;=0.8,"Mayor","Catastrófico"))))),"")</f>
        <v/>
      </c>
      <c r="AL40" s="156" t="str">
        <f>IFERROR(IF(AND(W39="Impacto",W40="Impacto"),(AL39-(+AL39*AD40)),IF(AND(W39="Probabilidad",W40="Impacto"),(AL38-(+AL38*AD40)),IF(W40="Probabilidad",AL39,""))),"")</f>
        <v/>
      </c>
      <c r="AM40" s="159" t="str">
        <f t="shared" si="16"/>
        <v/>
      </c>
      <c r="AN40" s="580"/>
      <c r="AO40" s="200"/>
      <c r="AP40" s="199"/>
      <c r="AQ40" s="210"/>
      <c r="AR40" s="160"/>
      <c r="AS40" s="154"/>
      <c r="AT40" s="210"/>
      <c r="AU40" s="200"/>
      <c r="AV40" s="160"/>
      <c r="AW40" s="154"/>
      <c r="AX40" s="160"/>
      <c r="AY40" s="154"/>
      <c r="AZ40" s="153"/>
      <c r="BA40" s="154"/>
      <c r="BB40" s="154"/>
      <c r="BC40" s="153"/>
      <c r="BD40" s="160"/>
      <c r="BE40" s="160"/>
      <c r="BF40" s="200"/>
      <c r="BG40" s="200"/>
      <c r="BH40" s="199"/>
      <c r="BI40" s="210"/>
      <c r="BJ40" s="210"/>
      <c r="BK40" s="154"/>
      <c r="BL40" s="154"/>
      <c r="BM40" s="153"/>
      <c r="BN40" s="160"/>
      <c r="BO40" s="160"/>
      <c r="BP40" s="154"/>
      <c r="BQ40" s="154"/>
      <c r="BR40" s="153"/>
      <c r="BS40" s="160"/>
      <c r="BT40" s="160"/>
      <c r="BU40" s="160"/>
      <c r="BV40" s="154"/>
      <c r="BW40" s="154"/>
      <c r="BX40" s="154"/>
      <c r="BY40" s="160"/>
      <c r="BZ40" s="154"/>
      <c r="CA40" s="154"/>
      <c r="CB40" s="749"/>
      <c r="CC40" s="154"/>
      <c r="CD40" s="153"/>
      <c r="CE40" s="154"/>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row>
    <row r="41" spans="1:109" ht="15.75" customHeight="1" x14ac:dyDescent="0.25">
      <c r="A41" s="570">
        <v>7</v>
      </c>
      <c r="B41" s="571"/>
      <c r="C41" s="571"/>
      <c r="D41" s="571"/>
      <c r="E41" s="572"/>
      <c r="F41" s="571"/>
      <c r="G41" s="571"/>
      <c r="H41" s="571"/>
      <c r="I41" s="200"/>
      <c r="J41" s="200"/>
      <c r="K41" s="571"/>
      <c r="L41" s="572"/>
      <c r="M41" s="570"/>
      <c r="N41" s="576" t="str">
        <f>IF(M41&lt;=0,"",IF(M41&lt;=2,"Muy Baja",IF(M41&lt;=24,"Baja",IF(M41&lt;=500,"Media",IF(M41&lt;=5000,"Alta","Muy Alta")))))</f>
        <v/>
      </c>
      <c r="O41" s="575" t="str">
        <f>IF(N41="","",IF(N41="Muy Baja",0.2,IF(N41="Baja",0.4,IF(N41="Media",0.6,IF(N41="Alta",0.8,IF(N41="Muy Alta",1,))))))</f>
        <v/>
      </c>
      <c r="P41" s="581"/>
      <c r="Q41" s="575">
        <f>IF(NOT(ISERROR(MATCH(P41,'Tabla Impacto'!$B$221:$B$223,0))),'Tabla Impacto'!$F$223&amp;"Por favor no seleccionar los criterios de impacto(Afectación Económica o presupuestal y Pérdida Reputacional)",P41)</f>
        <v>0</v>
      </c>
      <c r="R41" s="576" t="str">
        <f>IF(OR(Q41='Tabla Impacto'!$C$11,Q41='Tabla Impacto'!$D$11),"Leve",IF(OR(Q41='Tabla Impacto'!$C$12,Q41='Tabla Impacto'!$D$12),"Menor",IF(OR(Q41='Tabla Impacto'!$C$13,Q41='Tabla Impacto'!$D$13),"Moderado",IF(OR(Q41='Tabla Impacto'!$C$14,Q41='Tabla Impacto'!$D$14),"Mayor",IF(OR(Q41='Tabla Impacto'!$C$15,Q41='Tabla Impacto'!$D$15),"Catastrófico","")))))</f>
        <v/>
      </c>
      <c r="S41" s="575" t="str">
        <f>IF(R41="","",IF(R41="Leve",0.2,IF(R41="Menor",0.4,IF(R41="Moderado",0.6,IF(R41="Mayor",0.8,IF(R41="Catastrófico",1,))))))</f>
        <v/>
      </c>
      <c r="T41" s="577"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99">
        <v>1</v>
      </c>
      <c r="V41" s="202"/>
      <c r="W41" s="155" t="str">
        <f t="shared" si="14"/>
        <v/>
      </c>
      <c r="X41" s="155"/>
      <c r="Y41" s="155"/>
      <c r="Z41" s="155"/>
      <c r="AA41" s="155"/>
      <c r="AB41" s="203"/>
      <c r="AC41" s="203"/>
      <c r="AD41" s="156" t="str">
        <f t="shared" si="4"/>
        <v/>
      </c>
      <c r="AE41" s="203"/>
      <c r="AF41" s="203"/>
      <c r="AG41" s="203"/>
      <c r="AH41" s="163" t="str">
        <f>IFERROR(IF(W41="Probabilidad",(O41-(+O41*AD41)),IF(W41="Impacto",O41,"")),"")</f>
        <v/>
      </c>
      <c r="AI41" s="158" t="str">
        <f>IFERROR(IF(AH41="","",IF(AH41&lt;=0.2,"Muy Baja",IF(AH41&lt;=0.4,"Baja",IF(AH41&lt;=0.6,"Media",IF(AH41&lt;=0.8,"Alta","Muy Alta"))))),"")</f>
        <v/>
      </c>
      <c r="AJ41" s="156" t="str">
        <f t="shared" si="15"/>
        <v/>
      </c>
      <c r="AK41" s="158" t="str">
        <f>IFERROR(IF(AL41="","",IF(AL41&lt;=0.2,"Leve",IF(AL41&lt;=0.4,"Menor",IF(AL41&lt;=0.6,"Moderado",IF(AL41&lt;=0.8,"Mayor","Catastrófico"))))),"")</f>
        <v/>
      </c>
      <c r="AL41" s="156" t="str">
        <f>IFERROR(IF(W41="Impacto",(S41-(+S41*AD41)),IF(W41="Probabilidad",S41,"")),"")</f>
        <v/>
      </c>
      <c r="AM41" s="159" t="str">
        <f t="shared" si="16"/>
        <v/>
      </c>
      <c r="AN41" s="578"/>
      <c r="AO41" s="200"/>
      <c r="AP41" s="199"/>
      <c r="AQ41" s="210"/>
      <c r="AR41" s="160"/>
      <c r="AS41" s="154"/>
      <c r="AT41" s="210"/>
      <c r="AU41" s="200"/>
      <c r="AV41" s="160"/>
      <c r="AW41" s="154"/>
      <c r="AX41" s="160"/>
      <c r="AY41" s="154"/>
      <c r="AZ41" s="153"/>
      <c r="BA41" s="154"/>
      <c r="BB41" s="154"/>
      <c r="BC41" s="153"/>
      <c r="BD41" s="160"/>
      <c r="BE41" s="160"/>
      <c r="BF41" s="200"/>
      <c r="BG41" s="200"/>
      <c r="BH41" s="199"/>
      <c r="BI41" s="210"/>
      <c r="BJ41" s="210"/>
      <c r="BK41" s="154"/>
      <c r="BL41" s="154"/>
      <c r="BM41" s="153"/>
      <c r="BN41" s="160"/>
      <c r="BO41" s="160"/>
      <c r="BP41" s="154"/>
      <c r="BQ41" s="154"/>
      <c r="BR41" s="153"/>
      <c r="BS41" s="160"/>
      <c r="BT41" s="160"/>
      <c r="BU41" s="160"/>
      <c r="BV41" s="154"/>
      <c r="BW41" s="154"/>
      <c r="BX41" s="154"/>
      <c r="BY41" s="160"/>
      <c r="BZ41" s="154"/>
      <c r="CA41" s="154"/>
      <c r="CB41" s="749"/>
      <c r="CC41" s="154"/>
      <c r="CD41" s="153"/>
      <c r="CE41" s="154"/>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row>
    <row r="42" spans="1:109" ht="15.75" customHeight="1" x14ac:dyDescent="0.25">
      <c r="A42" s="570"/>
      <c r="B42" s="571"/>
      <c r="C42" s="571"/>
      <c r="D42" s="571"/>
      <c r="E42" s="572"/>
      <c r="F42" s="571"/>
      <c r="G42" s="571"/>
      <c r="H42" s="571"/>
      <c r="I42" s="200"/>
      <c r="J42" s="200"/>
      <c r="K42" s="571"/>
      <c r="L42" s="572"/>
      <c r="M42" s="570"/>
      <c r="N42" s="576"/>
      <c r="O42" s="575"/>
      <c r="P42" s="581"/>
      <c r="Q42" s="575">
        <f t="shared" ref="Q42:Q46" si="17">IF(NOT(ISERROR(MATCH(P42,_xlfn.ANCHORARRAY(E53),0))),O55&amp;"Por favor no seleccionar los criterios de impacto",P42)</f>
        <v>0</v>
      </c>
      <c r="R42" s="576"/>
      <c r="S42" s="575"/>
      <c r="T42" s="577"/>
      <c r="U42" s="199">
        <v>2</v>
      </c>
      <c r="V42" s="202"/>
      <c r="W42" s="155" t="str">
        <f t="shared" si="14"/>
        <v/>
      </c>
      <c r="X42" s="155"/>
      <c r="Y42" s="155"/>
      <c r="Z42" s="155"/>
      <c r="AA42" s="155"/>
      <c r="AB42" s="203"/>
      <c r="AC42" s="203"/>
      <c r="AD42" s="156" t="str">
        <f t="shared" si="4"/>
        <v/>
      </c>
      <c r="AE42" s="203"/>
      <c r="AF42" s="203"/>
      <c r="AG42" s="203"/>
      <c r="AH42" s="163" t="str">
        <f>IFERROR(IF(AND(W41="Probabilidad",W42="Probabilidad"),(AJ41-(+AJ41*AD42)),IF(W42="Probabilidad",(O41-(+O41*AD42)),IF(W42="Impacto",AJ41,""))),"")</f>
        <v/>
      </c>
      <c r="AI42" s="158" t="str">
        <f t="shared" si="5"/>
        <v/>
      </c>
      <c r="AJ42" s="156" t="str">
        <f t="shared" si="15"/>
        <v/>
      </c>
      <c r="AK42" s="158" t="str">
        <f t="shared" si="7"/>
        <v/>
      </c>
      <c r="AL42" s="156" t="str">
        <f>IFERROR(IF(AND(W41="Impacto",W42="Impacto"),(AL35-(+AL35*AD42)),IF(W42="Impacto",($S$41-(+$S$41*AD42)),IF(W42="Probabilidad",AL35,""))),"")</f>
        <v/>
      </c>
      <c r="AM42" s="159" t="str">
        <f t="shared" si="16"/>
        <v/>
      </c>
      <c r="AN42" s="579"/>
      <c r="AO42" s="200"/>
      <c r="AP42" s="199"/>
      <c r="AQ42" s="210"/>
      <c r="AR42" s="160"/>
      <c r="AS42" s="154"/>
      <c r="AT42" s="210"/>
      <c r="AU42" s="200"/>
      <c r="AV42" s="160"/>
      <c r="AW42" s="154"/>
      <c r="AX42" s="160"/>
      <c r="AY42" s="154"/>
      <c r="AZ42" s="153"/>
      <c r="BA42" s="154"/>
      <c r="BB42" s="154"/>
      <c r="BC42" s="153"/>
      <c r="BD42" s="160"/>
      <c r="BE42" s="160"/>
      <c r="BF42" s="200"/>
      <c r="BG42" s="200"/>
      <c r="BH42" s="199"/>
      <c r="BI42" s="210"/>
      <c r="BJ42" s="210"/>
      <c r="BK42" s="154"/>
      <c r="BL42" s="154"/>
      <c r="BM42" s="153"/>
      <c r="BN42" s="160"/>
      <c r="BO42" s="160"/>
      <c r="BP42" s="154"/>
      <c r="BQ42" s="154"/>
      <c r="BR42" s="153"/>
      <c r="BS42" s="160"/>
      <c r="BT42" s="160"/>
      <c r="BU42" s="160"/>
      <c r="BV42" s="154"/>
      <c r="BW42" s="154"/>
      <c r="BX42" s="154"/>
      <c r="BY42" s="160"/>
      <c r="BZ42" s="154"/>
      <c r="CA42" s="154"/>
      <c r="CB42" s="749"/>
      <c r="CC42" s="154"/>
      <c r="CD42" s="153"/>
      <c r="CE42" s="154"/>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row>
    <row r="43" spans="1:109" ht="15.75" customHeight="1" x14ac:dyDescent="0.25">
      <c r="A43" s="570"/>
      <c r="B43" s="571"/>
      <c r="C43" s="571"/>
      <c r="D43" s="571"/>
      <c r="E43" s="572"/>
      <c r="F43" s="571"/>
      <c r="G43" s="571"/>
      <c r="H43" s="571"/>
      <c r="I43" s="200"/>
      <c r="J43" s="200"/>
      <c r="K43" s="571"/>
      <c r="L43" s="572"/>
      <c r="M43" s="570"/>
      <c r="N43" s="576"/>
      <c r="O43" s="575"/>
      <c r="P43" s="581"/>
      <c r="Q43" s="575">
        <f t="shared" si="17"/>
        <v>0</v>
      </c>
      <c r="R43" s="576"/>
      <c r="S43" s="575"/>
      <c r="T43" s="577"/>
      <c r="U43" s="199">
        <v>3</v>
      </c>
      <c r="V43" s="204"/>
      <c r="W43" s="155" t="str">
        <f t="shared" si="14"/>
        <v/>
      </c>
      <c r="X43" s="155"/>
      <c r="Y43" s="155"/>
      <c r="Z43" s="155"/>
      <c r="AA43" s="155"/>
      <c r="AB43" s="203"/>
      <c r="AC43" s="203"/>
      <c r="AD43" s="156" t="str">
        <f t="shared" si="4"/>
        <v/>
      </c>
      <c r="AE43" s="203"/>
      <c r="AF43" s="203"/>
      <c r="AG43" s="203"/>
      <c r="AH43" s="163" t="str">
        <f>IFERROR(IF(AND(W42="Probabilidad",W43="Probabilidad"),(AJ42-(+AJ42*AD43)),IF(AND(W42="Impacto",W43="Probabilidad"),(AJ41-(+AJ41*AD43)),IF(W43="Impacto",AJ42,""))),"")</f>
        <v/>
      </c>
      <c r="AI43" s="158" t="str">
        <f t="shared" si="5"/>
        <v/>
      </c>
      <c r="AJ43" s="156" t="str">
        <f t="shared" si="15"/>
        <v/>
      </c>
      <c r="AK43" s="158" t="str">
        <f t="shared" si="7"/>
        <v/>
      </c>
      <c r="AL43" s="156" t="str">
        <f>IFERROR(IF(AND(W42="Impacto",W43="Impacto"),(AL42-(+AL42*AD43)),IF(AND(W42="Probabilidad",W43="Impacto"),(AL41-(+AL41*AD43)),IF(W43="Probabilidad",AL42,""))),"")</f>
        <v/>
      </c>
      <c r="AM43" s="159" t="str">
        <f t="shared" si="16"/>
        <v/>
      </c>
      <c r="AN43" s="579"/>
      <c r="AO43" s="200"/>
      <c r="AP43" s="199"/>
      <c r="AQ43" s="210"/>
      <c r="AR43" s="160"/>
      <c r="AS43" s="154"/>
      <c r="AT43" s="210"/>
      <c r="AU43" s="200"/>
      <c r="AV43" s="160"/>
      <c r="AW43" s="154"/>
      <c r="AX43" s="160"/>
      <c r="AY43" s="154"/>
      <c r="AZ43" s="153"/>
      <c r="BA43" s="154"/>
      <c r="BB43" s="154"/>
      <c r="BC43" s="153"/>
      <c r="BD43" s="160"/>
      <c r="BE43" s="160"/>
      <c r="BF43" s="200"/>
      <c r="BG43" s="200"/>
      <c r="BH43" s="199"/>
      <c r="BI43" s="210"/>
      <c r="BJ43" s="210"/>
      <c r="BK43" s="154"/>
      <c r="BL43" s="154"/>
      <c r="BM43" s="153"/>
      <c r="BN43" s="160"/>
      <c r="BO43" s="160"/>
      <c r="BP43" s="154"/>
      <c r="BQ43" s="154"/>
      <c r="BR43" s="153"/>
      <c r="BS43" s="160"/>
      <c r="BT43" s="160"/>
      <c r="BU43" s="160"/>
      <c r="BV43" s="154"/>
      <c r="BW43" s="154"/>
      <c r="BX43" s="154"/>
      <c r="BY43" s="160"/>
      <c r="BZ43" s="154"/>
      <c r="CA43" s="154"/>
      <c r="CB43" s="749"/>
      <c r="CC43" s="154"/>
      <c r="CD43" s="153"/>
      <c r="CE43" s="154"/>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row>
    <row r="44" spans="1:109" ht="15.75" customHeight="1" x14ac:dyDescent="0.25">
      <c r="A44" s="570"/>
      <c r="B44" s="571"/>
      <c r="C44" s="571"/>
      <c r="D44" s="571"/>
      <c r="E44" s="572"/>
      <c r="F44" s="571"/>
      <c r="G44" s="571"/>
      <c r="H44" s="571"/>
      <c r="I44" s="200"/>
      <c r="J44" s="200"/>
      <c r="K44" s="571"/>
      <c r="L44" s="572"/>
      <c r="M44" s="570"/>
      <c r="N44" s="576"/>
      <c r="O44" s="575"/>
      <c r="P44" s="581"/>
      <c r="Q44" s="575">
        <f t="shared" si="17"/>
        <v>0</v>
      </c>
      <c r="R44" s="576"/>
      <c r="S44" s="575"/>
      <c r="T44" s="577"/>
      <c r="U44" s="199">
        <v>4</v>
      </c>
      <c r="V44" s="202"/>
      <c r="W44" s="155" t="str">
        <f t="shared" si="14"/>
        <v/>
      </c>
      <c r="X44" s="155"/>
      <c r="Y44" s="155"/>
      <c r="Z44" s="155"/>
      <c r="AA44" s="155"/>
      <c r="AB44" s="203"/>
      <c r="AC44" s="203"/>
      <c r="AD44" s="156" t="str">
        <f t="shared" si="4"/>
        <v/>
      </c>
      <c r="AE44" s="203"/>
      <c r="AF44" s="203"/>
      <c r="AG44" s="203"/>
      <c r="AH44" s="163" t="str">
        <f>IFERROR(IF(AND(W43="Probabilidad",W44="Probabilidad"),(AJ43-(+AJ43*AD44)),IF(AND(W43="Impacto",W44="Probabilidad"),(AJ42-(+AJ42*AD44)),IF(W44="Impacto",AJ43,""))),"")</f>
        <v/>
      </c>
      <c r="AI44" s="158" t="str">
        <f t="shared" si="5"/>
        <v/>
      </c>
      <c r="AJ44" s="156" t="str">
        <f t="shared" si="15"/>
        <v/>
      </c>
      <c r="AK44" s="158" t="str">
        <f t="shared" si="7"/>
        <v/>
      </c>
      <c r="AL44" s="156" t="str">
        <f>IFERROR(IF(AND(W43="Impacto",W44="Impacto"),(AL43-(+AL43*AD44)),IF(AND(W43="Probabilidad",W44="Impacto"),(AL42-(+AL42*AD44)),IF(W44="Probabilidad",AL43,""))),"")</f>
        <v/>
      </c>
      <c r="AM44" s="159" t="str">
        <f t="shared" si="16"/>
        <v/>
      </c>
      <c r="AN44" s="579"/>
      <c r="AO44" s="200"/>
      <c r="AP44" s="199"/>
      <c r="AQ44" s="210"/>
      <c r="AR44" s="160"/>
      <c r="AS44" s="154"/>
      <c r="AT44" s="160"/>
      <c r="AU44" s="154"/>
      <c r="AV44" s="160"/>
      <c r="AW44" s="154"/>
      <c r="AX44" s="160"/>
      <c r="AY44" s="154"/>
      <c r="AZ44" s="153"/>
      <c r="BA44" s="154"/>
      <c r="BB44" s="154"/>
      <c r="BC44" s="153"/>
      <c r="BD44" s="160"/>
      <c r="BE44" s="160"/>
      <c r="BF44" s="200"/>
      <c r="BG44" s="200"/>
      <c r="BH44" s="199"/>
      <c r="BI44" s="210"/>
      <c r="BJ44" s="210"/>
      <c r="BK44" s="154"/>
      <c r="BL44" s="154"/>
      <c r="BM44" s="153"/>
      <c r="BN44" s="160"/>
      <c r="BO44" s="160"/>
      <c r="BP44" s="154"/>
      <c r="BQ44" s="154"/>
      <c r="BR44" s="153"/>
      <c r="BS44" s="160"/>
      <c r="BT44" s="160"/>
      <c r="BU44" s="160"/>
      <c r="BV44" s="154"/>
      <c r="BW44" s="154"/>
      <c r="BX44" s="154"/>
      <c r="BY44" s="160"/>
      <c r="BZ44" s="154"/>
      <c r="CA44" s="154"/>
      <c r="CB44" s="749"/>
      <c r="CC44" s="154"/>
      <c r="CD44" s="153"/>
      <c r="CE44" s="154"/>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row>
    <row r="45" spans="1:109" ht="15.75" customHeight="1" x14ac:dyDescent="0.25">
      <c r="A45" s="570"/>
      <c r="B45" s="571"/>
      <c r="C45" s="571"/>
      <c r="D45" s="571"/>
      <c r="E45" s="572"/>
      <c r="F45" s="571"/>
      <c r="G45" s="571"/>
      <c r="H45" s="571"/>
      <c r="I45" s="200"/>
      <c r="J45" s="200"/>
      <c r="K45" s="571"/>
      <c r="L45" s="572"/>
      <c r="M45" s="570"/>
      <c r="N45" s="576"/>
      <c r="O45" s="575"/>
      <c r="P45" s="581"/>
      <c r="Q45" s="575">
        <f t="shared" si="17"/>
        <v>0</v>
      </c>
      <c r="R45" s="576"/>
      <c r="S45" s="575"/>
      <c r="T45" s="577"/>
      <c r="U45" s="199">
        <v>5</v>
      </c>
      <c r="V45" s="202"/>
      <c r="W45" s="155" t="str">
        <f t="shared" si="14"/>
        <v/>
      </c>
      <c r="X45" s="155"/>
      <c r="Y45" s="155"/>
      <c r="Z45" s="155"/>
      <c r="AA45" s="155"/>
      <c r="AB45" s="203"/>
      <c r="AC45" s="203"/>
      <c r="AD45" s="156" t="str">
        <f t="shared" si="4"/>
        <v/>
      </c>
      <c r="AE45" s="203"/>
      <c r="AF45" s="203"/>
      <c r="AG45" s="203"/>
      <c r="AH45" s="163" t="str">
        <f>IFERROR(IF(AND(W44="Probabilidad",W45="Probabilidad"),(AJ44-(+AJ44*AD45)),IF(AND(W44="Impacto",W45="Probabilidad"),(AJ43-(+AJ43*AD45)),IF(W45="Impacto",AJ44,""))),"")</f>
        <v/>
      </c>
      <c r="AI45" s="158" t="str">
        <f t="shared" si="5"/>
        <v/>
      </c>
      <c r="AJ45" s="156" t="str">
        <f t="shared" si="15"/>
        <v/>
      </c>
      <c r="AK45" s="158" t="str">
        <f t="shared" si="7"/>
        <v/>
      </c>
      <c r="AL45" s="156" t="str">
        <f>IFERROR(IF(AND(W44="Impacto",W45="Impacto"),(AL44-(+AL44*AD45)),IF(AND(W44="Probabilidad",W45="Impacto"),(AL43-(+AL43*AD45)),IF(W45="Probabilidad",AL44,""))),"")</f>
        <v/>
      </c>
      <c r="AM45" s="159" t="str">
        <f t="shared" si="16"/>
        <v/>
      </c>
      <c r="AN45" s="579"/>
      <c r="AO45" s="200"/>
      <c r="AP45" s="199"/>
      <c r="AQ45" s="210"/>
      <c r="AR45" s="160"/>
      <c r="AS45" s="154"/>
      <c r="AT45" s="160"/>
      <c r="AU45" s="154"/>
      <c r="AV45" s="160"/>
      <c r="AW45" s="154"/>
      <c r="AX45" s="160"/>
      <c r="AY45" s="154"/>
      <c r="AZ45" s="153"/>
      <c r="BA45" s="154"/>
      <c r="BB45" s="154"/>
      <c r="BC45" s="153"/>
      <c r="BD45" s="160"/>
      <c r="BE45" s="160"/>
      <c r="BF45" s="154"/>
      <c r="BG45" s="154"/>
      <c r="BH45" s="153"/>
      <c r="BI45" s="160"/>
      <c r="BJ45" s="160"/>
      <c r="BK45" s="154"/>
      <c r="BL45" s="154"/>
      <c r="BM45" s="153"/>
      <c r="BN45" s="160"/>
      <c r="BO45" s="160"/>
      <c r="BP45" s="154"/>
      <c r="BQ45" s="154"/>
      <c r="BR45" s="153"/>
      <c r="BS45" s="160"/>
      <c r="BT45" s="160"/>
      <c r="BU45" s="160"/>
      <c r="BV45" s="154"/>
      <c r="BW45" s="154"/>
      <c r="BX45" s="154"/>
      <c r="BY45" s="160"/>
      <c r="BZ45" s="154"/>
      <c r="CA45" s="154"/>
      <c r="CB45" s="749"/>
      <c r="CC45" s="154"/>
      <c r="CD45" s="153"/>
      <c r="CE45" s="154"/>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row>
    <row r="46" spans="1:109" ht="15.75" customHeight="1" x14ac:dyDescent="0.25">
      <c r="A46" s="570"/>
      <c r="B46" s="571"/>
      <c r="C46" s="571"/>
      <c r="D46" s="571"/>
      <c r="E46" s="572"/>
      <c r="F46" s="571"/>
      <c r="G46" s="571"/>
      <c r="H46" s="571"/>
      <c r="I46" s="200"/>
      <c r="J46" s="200"/>
      <c r="K46" s="571"/>
      <c r="L46" s="572"/>
      <c r="M46" s="570"/>
      <c r="N46" s="576"/>
      <c r="O46" s="575"/>
      <c r="P46" s="581"/>
      <c r="Q46" s="575">
        <f t="shared" si="17"/>
        <v>0</v>
      </c>
      <c r="R46" s="576"/>
      <c r="S46" s="575"/>
      <c r="T46" s="577"/>
      <c r="U46" s="199">
        <v>6</v>
      </c>
      <c r="V46" s="202"/>
      <c r="W46" s="155" t="str">
        <f t="shared" si="14"/>
        <v/>
      </c>
      <c r="X46" s="155"/>
      <c r="Y46" s="155"/>
      <c r="Z46" s="155"/>
      <c r="AA46" s="155"/>
      <c r="AB46" s="203"/>
      <c r="AC46" s="203"/>
      <c r="AD46" s="156" t="str">
        <f t="shared" si="4"/>
        <v/>
      </c>
      <c r="AE46" s="203"/>
      <c r="AF46" s="203"/>
      <c r="AG46" s="203"/>
      <c r="AH46" s="163" t="str">
        <f>IFERROR(IF(AND(W45="Probabilidad",W46="Probabilidad"),(AJ45-(+AJ45*AD46)),IF(AND(W45="Impacto",W46="Probabilidad"),(AJ44-(+AJ44*AD46)),IF(W46="Impacto",AJ45,""))),"")</f>
        <v/>
      </c>
      <c r="AI46" s="158" t="str">
        <f t="shared" si="5"/>
        <v/>
      </c>
      <c r="AJ46" s="156" t="str">
        <f t="shared" si="15"/>
        <v/>
      </c>
      <c r="AK46" s="158" t="str">
        <f t="shared" si="7"/>
        <v/>
      </c>
      <c r="AL46" s="156" t="str">
        <f>IFERROR(IF(AND(W45="Impacto",W46="Impacto"),(AL45-(+AL45*AD46)),IF(AND(W45="Probabilidad",W46="Impacto"),(AL44-(+AL44*AD46)),IF(W46="Probabilidad",AL45,""))),"")</f>
        <v/>
      </c>
      <c r="AM46" s="159" t="str">
        <f t="shared" si="16"/>
        <v/>
      </c>
      <c r="AN46" s="580"/>
      <c r="AO46" s="200"/>
      <c r="AP46" s="199"/>
      <c r="AQ46" s="210"/>
      <c r="AR46" s="160"/>
      <c r="AS46" s="154"/>
      <c r="AT46" s="160"/>
      <c r="AU46" s="154"/>
      <c r="AV46" s="160"/>
      <c r="AW46" s="154"/>
      <c r="AX46" s="160"/>
      <c r="AY46" s="154"/>
      <c r="AZ46" s="153"/>
      <c r="BA46" s="154"/>
      <c r="BB46" s="154"/>
      <c r="BC46" s="153"/>
      <c r="BD46" s="160"/>
      <c r="BE46" s="160"/>
      <c r="BF46" s="154"/>
      <c r="BG46" s="154"/>
      <c r="BH46" s="153"/>
      <c r="BI46" s="160"/>
      <c r="BJ46" s="160"/>
      <c r="BK46" s="154"/>
      <c r="BL46" s="154"/>
      <c r="BM46" s="153"/>
      <c r="BN46" s="160"/>
      <c r="BO46" s="160"/>
      <c r="BP46" s="154"/>
      <c r="BQ46" s="154"/>
      <c r="BR46" s="153"/>
      <c r="BS46" s="160"/>
      <c r="BT46" s="160"/>
      <c r="BU46" s="160"/>
      <c r="BV46" s="154"/>
      <c r="BW46" s="154"/>
      <c r="BX46" s="154"/>
      <c r="BY46" s="160"/>
      <c r="BZ46" s="154"/>
      <c r="CA46" s="154"/>
      <c r="CB46" s="749"/>
      <c r="CC46" s="154"/>
      <c r="CD46" s="153"/>
      <c r="CE46" s="154"/>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row>
    <row r="47" spans="1:109" ht="15.75" customHeight="1" x14ac:dyDescent="0.25">
      <c r="A47" s="570">
        <v>8</v>
      </c>
      <c r="B47" s="571"/>
      <c r="C47" s="571"/>
      <c r="D47" s="571"/>
      <c r="E47" s="572"/>
      <c r="F47" s="571"/>
      <c r="G47" s="571"/>
      <c r="H47" s="571"/>
      <c r="I47" s="200"/>
      <c r="J47" s="200"/>
      <c r="K47" s="571"/>
      <c r="L47" s="572"/>
      <c r="M47" s="570"/>
      <c r="N47" s="576" t="str">
        <f>IF(M47&lt;=0,"",IF(M47&lt;=2,"Muy Baja",IF(M47&lt;=24,"Baja",IF(M47&lt;=500,"Media",IF(M47&lt;=5000,"Alta","Muy Alta")))))</f>
        <v/>
      </c>
      <c r="O47" s="575" t="str">
        <f>IF(N47="","",IF(N47="Muy Baja",0.2,IF(N47="Baja",0.4,IF(N47="Media",0.6,IF(N47="Alta",0.8,IF(N47="Muy Alta",1,))))))</f>
        <v/>
      </c>
      <c r="P47" s="581"/>
      <c r="Q47" s="575">
        <f>IF(NOT(ISERROR(MATCH(P47,'Tabla Impacto'!$B$221:$B$223,0))),'Tabla Impacto'!$F$223&amp;"Por favor no seleccionar los criterios de impacto(Afectación Económica o presupuestal y Pérdida Reputacional)",P47)</f>
        <v>0</v>
      </c>
      <c r="R47" s="576" t="str">
        <f>IF(OR(Q47='Tabla Impacto'!$C$11,Q47='Tabla Impacto'!$D$11),"Leve",IF(OR(Q47='Tabla Impacto'!$C$12,Q47='Tabla Impacto'!$D$12),"Menor",IF(OR(Q47='Tabla Impacto'!$C$13,Q47='Tabla Impacto'!$D$13),"Moderado",IF(OR(Q47='Tabla Impacto'!$C$14,Q47='Tabla Impacto'!$D$14),"Mayor",IF(OR(Q47='Tabla Impacto'!$C$15,Q47='Tabla Impacto'!$D$15),"Catastrófico","")))))</f>
        <v/>
      </c>
      <c r="S47" s="575" t="str">
        <f>IF(R47="","",IF(R47="Leve",0.2,IF(R47="Menor",0.4,IF(R47="Moderado",0.6,IF(R47="Mayor",0.8,IF(R47="Catastrófico",1,))))))</f>
        <v/>
      </c>
      <c r="T47" s="577"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99">
        <v>1</v>
      </c>
      <c r="V47" s="202"/>
      <c r="W47" s="155" t="str">
        <f t="shared" si="14"/>
        <v/>
      </c>
      <c r="X47" s="155"/>
      <c r="Y47" s="155"/>
      <c r="Z47" s="155"/>
      <c r="AA47" s="155"/>
      <c r="AB47" s="203"/>
      <c r="AC47" s="203"/>
      <c r="AD47" s="156" t="str">
        <f t="shared" si="4"/>
        <v/>
      </c>
      <c r="AE47" s="203"/>
      <c r="AF47" s="203"/>
      <c r="AG47" s="203"/>
      <c r="AH47" s="163" t="str">
        <f>IFERROR(IF(W47="Probabilidad",(O47-(+O47*AD47)),IF(W47="Impacto",O47,"")),"")</f>
        <v/>
      </c>
      <c r="AI47" s="158" t="str">
        <f>IFERROR(IF(AH47="","",IF(AH47&lt;=0.2,"Muy Baja",IF(AH47&lt;=0.4,"Baja",IF(AH47&lt;=0.6,"Media",IF(AH47&lt;=0.8,"Alta","Muy Alta"))))),"")</f>
        <v/>
      </c>
      <c r="AJ47" s="156" t="str">
        <f t="shared" si="15"/>
        <v/>
      </c>
      <c r="AK47" s="158" t="str">
        <f>IFERROR(IF(AL47="","",IF(AL47&lt;=0.2,"Leve",IF(AL47&lt;=0.4,"Menor",IF(AL47&lt;=0.6,"Moderado",IF(AL47&lt;=0.8,"Mayor","Catastrófico"))))),"")</f>
        <v/>
      </c>
      <c r="AL47" s="156" t="str">
        <f>IFERROR(IF(W47="Impacto",(S47-(+S47*AD47)),IF(W47="Probabilidad",S47,"")),"")</f>
        <v/>
      </c>
      <c r="AM47" s="159" t="str">
        <f t="shared" si="16"/>
        <v/>
      </c>
      <c r="AN47" s="578"/>
      <c r="AO47" s="200"/>
      <c r="AP47" s="199"/>
      <c r="AQ47" s="210"/>
      <c r="AR47" s="160"/>
      <c r="AS47" s="154"/>
      <c r="AT47" s="160"/>
      <c r="AU47" s="154"/>
      <c r="AV47" s="160"/>
      <c r="AW47" s="154"/>
      <c r="AX47" s="160"/>
      <c r="AY47" s="154"/>
      <c r="AZ47" s="153"/>
      <c r="BA47" s="154"/>
      <c r="BB47" s="154"/>
      <c r="BC47" s="153"/>
      <c r="BD47" s="160"/>
      <c r="BE47" s="160"/>
      <c r="BF47" s="154"/>
      <c r="BG47" s="154"/>
      <c r="BH47" s="153"/>
      <c r="BI47" s="160"/>
      <c r="BJ47" s="160"/>
      <c r="BK47" s="154"/>
      <c r="BL47" s="154"/>
      <c r="BM47" s="153"/>
      <c r="BN47" s="160"/>
      <c r="BO47" s="160"/>
      <c r="BP47" s="154"/>
      <c r="BQ47" s="154"/>
      <c r="BR47" s="153"/>
      <c r="BS47" s="160"/>
      <c r="BT47" s="160"/>
      <c r="BU47" s="160"/>
      <c r="BV47" s="154"/>
      <c r="BW47" s="154"/>
      <c r="BX47" s="154"/>
      <c r="BY47" s="160"/>
      <c r="BZ47" s="154"/>
      <c r="CA47" s="154"/>
      <c r="CB47" s="749"/>
      <c r="CC47" s="154"/>
      <c r="CD47" s="153"/>
      <c r="CE47" s="154"/>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row>
    <row r="48" spans="1:109" ht="15.75" customHeight="1" x14ac:dyDescent="0.25">
      <c r="A48" s="570"/>
      <c r="B48" s="571"/>
      <c r="C48" s="571"/>
      <c r="D48" s="571"/>
      <c r="E48" s="572"/>
      <c r="F48" s="571"/>
      <c r="G48" s="571"/>
      <c r="H48" s="571"/>
      <c r="I48" s="200"/>
      <c r="J48" s="200"/>
      <c r="K48" s="571"/>
      <c r="L48" s="572"/>
      <c r="M48" s="570"/>
      <c r="N48" s="576"/>
      <c r="O48" s="575"/>
      <c r="P48" s="581"/>
      <c r="Q48" s="575">
        <f t="shared" ref="Q48:Q52" si="18">IF(NOT(ISERROR(MATCH(P48,_xlfn.ANCHORARRAY(E59),0))),O61&amp;"Por favor no seleccionar los criterios de impacto",P48)</f>
        <v>0</v>
      </c>
      <c r="R48" s="576"/>
      <c r="S48" s="575"/>
      <c r="T48" s="577"/>
      <c r="U48" s="199">
        <v>2</v>
      </c>
      <c r="V48" s="202"/>
      <c r="W48" s="155" t="str">
        <f t="shared" si="14"/>
        <v/>
      </c>
      <c r="X48" s="155"/>
      <c r="Y48" s="155"/>
      <c r="Z48" s="155"/>
      <c r="AA48" s="155"/>
      <c r="AB48" s="203"/>
      <c r="AC48" s="203"/>
      <c r="AD48" s="156" t="str">
        <f t="shared" si="4"/>
        <v/>
      </c>
      <c r="AE48" s="203"/>
      <c r="AF48" s="203"/>
      <c r="AG48" s="203"/>
      <c r="AH48" s="163" t="str">
        <f>IFERROR(IF(AND(W47="Probabilidad",W48="Probabilidad"),(AJ47-(+AJ47*AD48)),IF(W48="Probabilidad",(O47-(+O47*AD48)),IF(W48="Impacto",AJ47,""))),"")</f>
        <v/>
      </c>
      <c r="AI48" s="158" t="str">
        <f t="shared" si="5"/>
        <v/>
      </c>
      <c r="AJ48" s="156" t="str">
        <f t="shared" si="15"/>
        <v/>
      </c>
      <c r="AK48" s="158" t="str">
        <f t="shared" si="7"/>
        <v/>
      </c>
      <c r="AL48" s="156" t="str">
        <f>IFERROR(IF(AND(W47="Impacto",W48="Impacto"),(AL41-(+AL41*AD48)),IF(W48="Impacto",($S$47-(+$S$47*AD48)),IF(W48="Probabilidad",AL41,""))),"")</f>
        <v/>
      </c>
      <c r="AM48" s="159" t="str">
        <f t="shared" si="16"/>
        <v/>
      </c>
      <c r="AN48" s="579"/>
      <c r="AO48" s="200"/>
      <c r="AP48" s="199"/>
      <c r="AQ48" s="210"/>
      <c r="AR48" s="160"/>
      <c r="AS48" s="154"/>
      <c r="AT48" s="160"/>
      <c r="AU48" s="154"/>
      <c r="AV48" s="160"/>
      <c r="AW48" s="154"/>
      <c r="AX48" s="160"/>
      <c r="AY48" s="154"/>
      <c r="AZ48" s="153"/>
      <c r="BA48" s="154"/>
      <c r="BB48" s="154"/>
      <c r="BC48" s="153"/>
      <c r="BD48" s="160"/>
      <c r="BE48" s="160"/>
      <c r="BF48" s="154"/>
      <c r="BG48" s="154"/>
      <c r="BH48" s="153"/>
      <c r="BI48" s="160"/>
      <c r="BJ48" s="160"/>
      <c r="BK48" s="154"/>
      <c r="BL48" s="154"/>
      <c r="BM48" s="153"/>
      <c r="BN48" s="160"/>
      <c r="BO48" s="160"/>
      <c r="BP48" s="154"/>
      <c r="BQ48" s="154"/>
      <c r="BR48" s="153"/>
      <c r="BS48" s="160"/>
      <c r="BT48" s="160"/>
      <c r="BU48" s="160"/>
      <c r="BV48" s="154"/>
      <c r="BW48" s="154"/>
      <c r="BX48" s="154"/>
      <c r="BY48" s="160"/>
      <c r="BZ48" s="154"/>
      <c r="CA48" s="154"/>
      <c r="CB48" s="749"/>
      <c r="CC48" s="154"/>
      <c r="CD48" s="153"/>
      <c r="CE48" s="154"/>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row>
    <row r="49" spans="1:109" ht="15.75" customHeight="1" x14ac:dyDescent="0.25">
      <c r="A49" s="570"/>
      <c r="B49" s="571"/>
      <c r="C49" s="571"/>
      <c r="D49" s="571"/>
      <c r="E49" s="572"/>
      <c r="F49" s="571"/>
      <c r="G49" s="571"/>
      <c r="H49" s="571"/>
      <c r="I49" s="200"/>
      <c r="J49" s="200"/>
      <c r="K49" s="571"/>
      <c r="L49" s="572"/>
      <c r="M49" s="570"/>
      <c r="N49" s="576"/>
      <c r="O49" s="575"/>
      <c r="P49" s="581"/>
      <c r="Q49" s="575">
        <f t="shared" si="18"/>
        <v>0</v>
      </c>
      <c r="R49" s="576"/>
      <c r="S49" s="575"/>
      <c r="T49" s="577"/>
      <c r="U49" s="199">
        <v>3</v>
      </c>
      <c r="V49" s="204"/>
      <c r="W49" s="155" t="str">
        <f t="shared" si="14"/>
        <v/>
      </c>
      <c r="X49" s="155"/>
      <c r="Y49" s="155"/>
      <c r="Z49" s="155"/>
      <c r="AA49" s="155"/>
      <c r="AB49" s="203"/>
      <c r="AC49" s="203"/>
      <c r="AD49" s="156" t="str">
        <f t="shared" si="4"/>
        <v/>
      </c>
      <c r="AE49" s="203"/>
      <c r="AF49" s="203"/>
      <c r="AG49" s="203"/>
      <c r="AH49" s="163" t="str">
        <f>IFERROR(IF(AND(W48="Probabilidad",W49="Probabilidad"),(AJ48-(+AJ48*AD49)),IF(AND(W48="Impacto",W49="Probabilidad"),(AJ47-(+AJ47*AD49)),IF(W49="Impacto",AJ48,""))),"")</f>
        <v/>
      </c>
      <c r="AI49" s="158" t="str">
        <f t="shared" si="5"/>
        <v/>
      </c>
      <c r="AJ49" s="156" t="str">
        <f t="shared" si="15"/>
        <v/>
      </c>
      <c r="AK49" s="158" t="str">
        <f t="shared" si="7"/>
        <v/>
      </c>
      <c r="AL49" s="156" t="str">
        <f>IFERROR(IF(AND(W48="Impacto",W49="Impacto"),(AL48-(+AL48*AD49)),IF(AND(W48="Probabilidad",W49="Impacto"),(AL47-(+AL47*AD49)),IF(W49="Probabilidad",AL48,""))),"")</f>
        <v/>
      </c>
      <c r="AM49" s="159" t="str">
        <f t="shared" si="16"/>
        <v/>
      </c>
      <c r="AN49" s="579"/>
      <c r="AO49" s="200"/>
      <c r="AP49" s="199"/>
      <c r="AQ49" s="210"/>
      <c r="AR49" s="160"/>
      <c r="AS49" s="154"/>
      <c r="AT49" s="160"/>
      <c r="AU49" s="154"/>
      <c r="AV49" s="160"/>
      <c r="AW49" s="154"/>
      <c r="AX49" s="160"/>
      <c r="AY49" s="154"/>
      <c r="AZ49" s="153"/>
      <c r="BA49" s="154"/>
      <c r="BB49" s="154"/>
      <c r="BC49" s="153"/>
      <c r="BD49" s="160"/>
      <c r="BE49" s="160"/>
      <c r="BF49" s="154"/>
      <c r="BG49" s="154"/>
      <c r="BH49" s="153"/>
      <c r="BI49" s="160"/>
      <c r="BJ49" s="160"/>
      <c r="BK49" s="154"/>
      <c r="BL49" s="154"/>
      <c r="BM49" s="153"/>
      <c r="BN49" s="160"/>
      <c r="BO49" s="160"/>
      <c r="BP49" s="154"/>
      <c r="BQ49" s="154"/>
      <c r="BR49" s="153"/>
      <c r="BS49" s="160"/>
      <c r="BT49" s="160"/>
      <c r="BU49" s="160"/>
      <c r="BV49" s="154"/>
      <c r="BW49" s="154"/>
      <c r="BX49" s="154"/>
      <c r="BY49" s="160"/>
      <c r="BZ49" s="154"/>
      <c r="CA49" s="154"/>
      <c r="CB49" s="749"/>
      <c r="CC49" s="154"/>
      <c r="CD49" s="153"/>
      <c r="CE49" s="154"/>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row>
    <row r="50" spans="1:109" ht="15.75" customHeight="1" x14ac:dyDescent="0.25">
      <c r="A50" s="570"/>
      <c r="B50" s="571"/>
      <c r="C50" s="571"/>
      <c r="D50" s="571"/>
      <c r="E50" s="572"/>
      <c r="F50" s="571"/>
      <c r="G50" s="571"/>
      <c r="H50" s="571"/>
      <c r="I50" s="200"/>
      <c r="J50" s="200"/>
      <c r="K50" s="571"/>
      <c r="L50" s="572"/>
      <c r="M50" s="570"/>
      <c r="N50" s="576"/>
      <c r="O50" s="575"/>
      <c r="P50" s="581"/>
      <c r="Q50" s="575">
        <f t="shared" si="18"/>
        <v>0</v>
      </c>
      <c r="R50" s="576"/>
      <c r="S50" s="575"/>
      <c r="T50" s="577"/>
      <c r="U50" s="199">
        <v>4</v>
      </c>
      <c r="V50" s="202"/>
      <c r="W50" s="155" t="str">
        <f t="shared" si="14"/>
        <v/>
      </c>
      <c r="X50" s="155"/>
      <c r="Y50" s="155"/>
      <c r="Z50" s="155"/>
      <c r="AA50" s="155"/>
      <c r="AB50" s="203"/>
      <c r="AC50" s="203"/>
      <c r="AD50" s="156" t="str">
        <f t="shared" si="4"/>
        <v/>
      </c>
      <c r="AE50" s="203"/>
      <c r="AF50" s="203"/>
      <c r="AG50" s="203"/>
      <c r="AH50" s="163" t="str">
        <f>IFERROR(IF(AND(W49="Probabilidad",W50="Probabilidad"),(AJ49-(+AJ49*AD50)),IF(AND(W49="Impacto",W50="Probabilidad"),(AJ48-(+AJ48*AD50)),IF(W50="Impacto",AJ49,""))),"")</f>
        <v/>
      </c>
      <c r="AI50" s="158" t="str">
        <f t="shared" si="5"/>
        <v/>
      </c>
      <c r="AJ50" s="156" t="str">
        <f t="shared" si="15"/>
        <v/>
      </c>
      <c r="AK50" s="158" t="str">
        <f t="shared" si="7"/>
        <v/>
      </c>
      <c r="AL50" s="156" t="str">
        <f>IFERROR(IF(AND(W49="Impacto",W50="Impacto"),(AL49-(+AL49*AD50)),IF(AND(W49="Probabilidad",W50="Impacto"),(AL48-(+AL48*AD50)),IF(W50="Probabilidad",AL49,""))),"")</f>
        <v/>
      </c>
      <c r="AM50" s="159" t="str">
        <f t="shared" si="16"/>
        <v/>
      </c>
      <c r="AN50" s="579"/>
      <c r="AO50" s="200"/>
      <c r="AP50" s="199"/>
      <c r="AQ50" s="210"/>
      <c r="AR50" s="160"/>
      <c r="AS50" s="154"/>
      <c r="AT50" s="160"/>
      <c r="AU50" s="154"/>
      <c r="AV50" s="160"/>
      <c r="AW50" s="154"/>
      <c r="AX50" s="160"/>
      <c r="AY50" s="154"/>
      <c r="AZ50" s="153"/>
      <c r="BA50" s="154"/>
      <c r="BB50" s="154"/>
      <c r="BC50" s="153"/>
      <c r="BD50" s="160"/>
      <c r="BE50" s="160"/>
      <c r="BF50" s="154"/>
      <c r="BG50" s="154"/>
      <c r="BH50" s="153"/>
      <c r="BI50" s="160"/>
      <c r="BJ50" s="160"/>
      <c r="BK50" s="154"/>
      <c r="BL50" s="154"/>
      <c r="BM50" s="153"/>
      <c r="BN50" s="160"/>
      <c r="BO50" s="160"/>
      <c r="BP50" s="154"/>
      <c r="BQ50" s="154"/>
      <c r="BR50" s="153"/>
      <c r="BS50" s="160"/>
      <c r="BT50" s="160"/>
      <c r="BU50" s="160"/>
      <c r="BV50" s="154"/>
      <c r="BW50" s="154"/>
      <c r="BX50" s="154"/>
      <c r="BY50" s="160"/>
      <c r="BZ50" s="154"/>
      <c r="CA50" s="154"/>
      <c r="CB50" s="749"/>
      <c r="CC50" s="154"/>
      <c r="CD50" s="153"/>
      <c r="CE50" s="154"/>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row>
    <row r="51" spans="1:109" ht="15.75" customHeight="1" x14ac:dyDescent="0.25">
      <c r="A51" s="570"/>
      <c r="B51" s="571"/>
      <c r="C51" s="571"/>
      <c r="D51" s="571"/>
      <c r="E51" s="572"/>
      <c r="F51" s="571"/>
      <c r="G51" s="571"/>
      <c r="H51" s="571"/>
      <c r="I51" s="200"/>
      <c r="J51" s="200"/>
      <c r="K51" s="571"/>
      <c r="L51" s="572"/>
      <c r="M51" s="570"/>
      <c r="N51" s="576"/>
      <c r="O51" s="575"/>
      <c r="P51" s="581"/>
      <c r="Q51" s="575">
        <f t="shared" si="18"/>
        <v>0</v>
      </c>
      <c r="R51" s="576"/>
      <c r="S51" s="575"/>
      <c r="T51" s="577"/>
      <c r="U51" s="199">
        <v>5</v>
      </c>
      <c r="V51" s="202"/>
      <c r="W51" s="155" t="str">
        <f t="shared" si="14"/>
        <v/>
      </c>
      <c r="X51" s="155"/>
      <c r="Y51" s="155"/>
      <c r="Z51" s="155"/>
      <c r="AA51" s="155"/>
      <c r="AB51" s="203"/>
      <c r="AC51" s="203"/>
      <c r="AD51" s="156" t="str">
        <f t="shared" si="4"/>
        <v/>
      </c>
      <c r="AE51" s="203"/>
      <c r="AF51" s="203"/>
      <c r="AG51" s="203"/>
      <c r="AH51" s="163" t="str">
        <f>IFERROR(IF(AND(W50="Probabilidad",W51="Probabilidad"),(AJ50-(+AJ50*AD51)),IF(AND(W50="Impacto",W51="Probabilidad"),(AJ49-(+AJ49*AD51)),IF(W51="Impacto",AJ50,""))),"")</f>
        <v/>
      </c>
      <c r="AI51" s="158" t="str">
        <f t="shared" si="5"/>
        <v/>
      </c>
      <c r="AJ51" s="156" t="str">
        <f t="shared" si="15"/>
        <v/>
      </c>
      <c r="AK51" s="158" t="str">
        <f t="shared" si="7"/>
        <v/>
      </c>
      <c r="AL51" s="156" t="str">
        <f>IFERROR(IF(AND(W50="Impacto",W51="Impacto"),(AL50-(+AL50*AD51)),IF(AND(W50="Probabilidad",W51="Impacto"),(AL49-(+AL49*AD51)),IF(W51="Probabilidad",AL50,""))),"")</f>
        <v/>
      </c>
      <c r="AM51" s="159" t="str">
        <f t="shared" si="16"/>
        <v/>
      </c>
      <c r="AN51" s="579"/>
      <c r="AO51" s="200"/>
      <c r="AP51" s="199"/>
      <c r="AQ51" s="210"/>
      <c r="AR51" s="160"/>
      <c r="AS51" s="154"/>
      <c r="AT51" s="160"/>
      <c r="AU51" s="154"/>
      <c r="AV51" s="160"/>
      <c r="AW51" s="154"/>
      <c r="AX51" s="160"/>
      <c r="AY51" s="154"/>
      <c r="AZ51" s="153"/>
      <c r="BA51" s="154"/>
      <c r="BB51" s="154"/>
      <c r="BC51" s="153"/>
      <c r="BD51" s="160"/>
      <c r="BE51" s="160"/>
      <c r="BF51" s="154"/>
      <c r="BG51" s="154"/>
      <c r="BH51" s="153"/>
      <c r="BI51" s="160"/>
      <c r="BJ51" s="160"/>
      <c r="BK51" s="154"/>
      <c r="BL51" s="154"/>
      <c r="BM51" s="153"/>
      <c r="BN51" s="160"/>
      <c r="BO51" s="160"/>
      <c r="BP51" s="154"/>
      <c r="BQ51" s="154"/>
      <c r="BR51" s="153"/>
      <c r="BS51" s="160"/>
      <c r="BT51" s="160"/>
      <c r="BU51" s="160"/>
      <c r="BV51" s="154"/>
      <c r="BW51" s="154"/>
      <c r="BX51" s="154"/>
      <c r="BY51" s="160"/>
      <c r="BZ51" s="154"/>
      <c r="CA51" s="154"/>
      <c r="CB51" s="749"/>
      <c r="CC51" s="154"/>
      <c r="CD51" s="153"/>
      <c r="CE51" s="154"/>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row>
    <row r="52" spans="1:109" ht="15.75" customHeight="1" x14ac:dyDescent="0.25">
      <c r="A52" s="570"/>
      <c r="B52" s="571"/>
      <c r="C52" s="571"/>
      <c r="D52" s="571"/>
      <c r="E52" s="572"/>
      <c r="F52" s="571"/>
      <c r="G52" s="571"/>
      <c r="H52" s="571"/>
      <c r="I52" s="200"/>
      <c r="J52" s="200"/>
      <c r="K52" s="571"/>
      <c r="L52" s="572"/>
      <c r="M52" s="570"/>
      <c r="N52" s="576"/>
      <c r="O52" s="575"/>
      <c r="P52" s="581"/>
      <c r="Q52" s="575">
        <f t="shared" si="18"/>
        <v>0</v>
      </c>
      <c r="R52" s="576"/>
      <c r="S52" s="575"/>
      <c r="T52" s="577"/>
      <c r="U52" s="199">
        <v>6</v>
      </c>
      <c r="V52" s="202"/>
      <c r="W52" s="155" t="str">
        <f t="shared" si="14"/>
        <v/>
      </c>
      <c r="X52" s="155"/>
      <c r="Y52" s="155"/>
      <c r="Z52" s="155"/>
      <c r="AA52" s="155"/>
      <c r="AB52" s="203"/>
      <c r="AC52" s="203"/>
      <c r="AD52" s="156" t="str">
        <f t="shared" si="4"/>
        <v/>
      </c>
      <c r="AE52" s="203"/>
      <c r="AF52" s="203"/>
      <c r="AG52" s="203"/>
      <c r="AH52" s="163" t="str">
        <f>IFERROR(IF(AND(W51="Probabilidad",W52="Probabilidad"),(AJ51-(+AJ51*AD52)),IF(AND(W51="Impacto",W52="Probabilidad"),(AJ50-(+AJ50*AD52)),IF(W52="Impacto",AJ51,""))),"")</f>
        <v/>
      </c>
      <c r="AI52" s="158" t="str">
        <f t="shared" si="5"/>
        <v/>
      </c>
      <c r="AJ52" s="156" t="str">
        <f t="shared" si="15"/>
        <v/>
      </c>
      <c r="AK52" s="158" t="str">
        <f t="shared" si="7"/>
        <v/>
      </c>
      <c r="AL52" s="156" t="str">
        <f>IFERROR(IF(AND(W51="Impacto",W52="Impacto"),(AL51-(+AL51*AD52)),IF(AND(W51="Probabilidad",W52="Impacto"),(AL50-(+AL50*AD52)),IF(W52="Probabilidad",AL51,""))),"")</f>
        <v/>
      </c>
      <c r="AM52" s="159" t="str">
        <f t="shared" si="16"/>
        <v/>
      </c>
      <c r="AN52" s="580"/>
      <c r="AO52" s="200"/>
      <c r="AP52" s="199"/>
      <c r="AQ52" s="210"/>
      <c r="AR52" s="160"/>
      <c r="AS52" s="154"/>
      <c r="AT52" s="160"/>
      <c r="AU52" s="154"/>
      <c r="AV52" s="160"/>
      <c r="AW52" s="154"/>
      <c r="AX52" s="160"/>
      <c r="AY52" s="154"/>
      <c r="AZ52" s="153"/>
      <c r="BA52" s="154"/>
      <c r="BB52" s="154"/>
      <c r="BC52" s="153"/>
      <c r="BD52" s="160"/>
      <c r="BE52" s="160"/>
      <c r="BF52" s="154"/>
      <c r="BG52" s="154"/>
      <c r="BH52" s="153"/>
      <c r="BI52" s="160"/>
      <c r="BJ52" s="160"/>
      <c r="BK52" s="154"/>
      <c r="BL52" s="154"/>
      <c r="BM52" s="153"/>
      <c r="BN52" s="160"/>
      <c r="BO52" s="160"/>
      <c r="BP52" s="154"/>
      <c r="BQ52" s="154"/>
      <c r="BR52" s="153"/>
      <c r="BS52" s="160"/>
      <c r="BT52" s="160"/>
      <c r="BU52" s="160"/>
      <c r="BV52" s="154"/>
      <c r="BW52" s="154"/>
      <c r="BX52" s="154"/>
      <c r="BY52" s="160"/>
      <c r="BZ52" s="154"/>
      <c r="CA52" s="154"/>
      <c r="CB52" s="749"/>
      <c r="CC52" s="154"/>
      <c r="CD52" s="153"/>
      <c r="CE52" s="154"/>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row>
    <row r="53" spans="1:109" ht="15.75" customHeight="1" x14ac:dyDescent="0.25">
      <c r="A53" s="570">
        <v>9</v>
      </c>
      <c r="B53" s="571"/>
      <c r="C53" s="571"/>
      <c r="D53" s="571"/>
      <c r="E53" s="572"/>
      <c r="F53" s="571"/>
      <c r="G53" s="571"/>
      <c r="H53" s="571"/>
      <c r="I53" s="200"/>
      <c r="J53" s="200"/>
      <c r="K53" s="571"/>
      <c r="L53" s="572"/>
      <c r="M53" s="570"/>
      <c r="N53" s="576" t="str">
        <f>IF(M53&lt;=0,"",IF(M53&lt;=2,"Muy Baja",IF(M53&lt;=24,"Baja",IF(M53&lt;=500,"Media",IF(M53&lt;=5000,"Alta","Muy Alta")))))</f>
        <v/>
      </c>
      <c r="O53" s="575" t="str">
        <f>IF(N53="","",IF(N53="Muy Baja",0.2,IF(N53="Baja",0.4,IF(N53="Media",0.6,IF(N53="Alta",0.8,IF(N53="Muy Alta",1,))))))</f>
        <v/>
      </c>
      <c r="P53" s="581"/>
      <c r="Q53" s="575">
        <f>IF(NOT(ISERROR(MATCH(P53,'Tabla Impacto'!$B$221:$B$223,0))),'Tabla Impacto'!$F$223&amp;"Por favor no seleccionar los criterios de impacto(Afectación Económica o presupuestal y Pérdida Reputacional)",P53)</f>
        <v>0</v>
      </c>
      <c r="R53" s="576" t="str">
        <f>IF(OR(Q53='Tabla Impacto'!$C$11,Q53='Tabla Impacto'!$D$11),"Leve",IF(OR(Q53='Tabla Impacto'!$C$12,Q53='Tabla Impacto'!$D$12),"Menor",IF(OR(Q53='Tabla Impacto'!$C$13,Q53='Tabla Impacto'!$D$13),"Moderado",IF(OR(Q53='Tabla Impacto'!$C$14,Q53='Tabla Impacto'!$D$14),"Mayor",IF(OR(Q53='Tabla Impacto'!$C$15,Q53='Tabla Impacto'!$D$15),"Catastrófico","")))))</f>
        <v/>
      </c>
      <c r="S53" s="575" t="str">
        <f>IF(R53="","",IF(R53="Leve",0.2,IF(R53="Menor",0.4,IF(R53="Moderado",0.6,IF(R53="Mayor",0.8,IF(R53="Catastrófico",1,))))))</f>
        <v/>
      </c>
      <c r="T53" s="577"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99">
        <v>1</v>
      </c>
      <c r="V53" s="202"/>
      <c r="W53" s="155" t="str">
        <f t="shared" si="14"/>
        <v/>
      </c>
      <c r="X53" s="155"/>
      <c r="Y53" s="155"/>
      <c r="Z53" s="155"/>
      <c r="AA53" s="155"/>
      <c r="AB53" s="203"/>
      <c r="AC53" s="203"/>
      <c r="AD53" s="156" t="str">
        <f t="shared" si="4"/>
        <v/>
      </c>
      <c r="AE53" s="203"/>
      <c r="AF53" s="203"/>
      <c r="AG53" s="203"/>
      <c r="AH53" s="163" t="str">
        <f>IFERROR(IF(W53="Probabilidad",(O53-(+O53*AD53)),IF(W53="Impacto",O53,"")),"")</f>
        <v/>
      </c>
      <c r="AI53" s="158" t="str">
        <f>IFERROR(IF(AH53="","",IF(AH53&lt;=0.2,"Muy Baja",IF(AH53&lt;=0.4,"Baja",IF(AH53&lt;=0.6,"Media",IF(AH53&lt;=0.8,"Alta","Muy Alta"))))),"")</f>
        <v/>
      </c>
      <c r="AJ53" s="156" t="str">
        <f t="shared" si="15"/>
        <v/>
      </c>
      <c r="AK53" s="158" t="str">
        <f>IFERROR(IF(AL53="","",IF(AL53&lt;=0.2,"Leve",IF(AL53&lt;=0.4,"Menor",IF(AL53&lt;=0.6,"Moderado",IF(AL53&lt;=0.8,"Mayor","Catastrófico"))))),"")</f>
        <v/>
      </c>
      <c r="AL53" s="156" t="str">
        <f>IFERROR(IF(W53="Impacto",(S53-(+S53*AD53)),IF(W53="Probabilidad",S53,"")),"")</f>
        <v/>
      </c>
      <c r="AM53" s="159" t="str">
        <f t="shared" si="16"/>
        <v/>
      </c>
      <c r="AN53" s="578"/>
      <c r="AO53" s="200"/>
      <c r="AP53" s="199"/>
      <c r="AQ53" s="210"/>
      <c r="AR53" s="160"/>
      <c r="AS53" s="154"/>
      <c r="AT53" s="160"/>
      <c r="AU53" s="154"/>
      <c r="AV53" s="160"/>
      <c r="AW53" s="154"/>
      <c r="AX53" s="160"/>
      <c r="AY53" s="154"/>
      <c r="AZ53" s="153"/>
      <c r="BA53" s="154"/>
      <c r="BB53" s="154"/>
      <c r="BC53" s="153"/>
      <c r="BD53" s="160"/>
      <c r="BE53" s="160"/>
      <c r="BF53" s="154"/>
      <c r="BG53" s="154"/>
      <c r="BH53" s="153"/>
      <c r="BI53" s="160"/>
      <c r="BJ53" s="160"/>
      <c r="BK53" s="154"/>
      <c r="BL53" s="154"/>
      <c r="BM53" s="153"/>
      <c r="BN53" s="160"/>
      <c r="BO53" s="160"/>
      <c r="BP53" s="154"/>
      <c r="BQ53" s="154"/>
      <c r="BR53" s="153"/>
      <c r="BS53" s="160"/>
      <c r="BT53" s="160"/>
      <c r="BU53" s="160"/>
      <c r="BV53" s="154"/>
      <c r="BW53" s="154"/>
      <c r="BX53" s="154"/>
      <c r="BY53" s="160"/>
      <c r="BZ53" s="154"/>
      <c r="CA53" s="154"/>
      <c r="CB53" s="749"/>
      <c r="CC53" s="154"/>
      <c r="CD53" s="153"/>
      <c r="CE53" s="154"/>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row>
    <row r="54" spans="1:109" ht="15.75" customHeight="1" x14ac:dyDescent="0.25">
      <c r="A54" s="570"/>
      <c r="B54" s="571"/>
      <c r="C54" s="571"/>
      <c r="D54" s="571"/>
      <c r="E54" s="572"/>
      <c r="F54" s="571"/>
      <c r="G54" s="571"/>
      <c r="H54" s="571"/>
      <c r="I54" s="200"/>
      <c r="J54" s="200"/>
      <c r="K54" s="571"/>
      <c r="L54" s="572"/>
      <c r="M54" s="570"/>
      <c r="N54" s="576"/>
      <c r="O54" s="575"/>
      <c r="P54" s="581"/>
      <c r="Q54" s="575">
        <f t="shared" ref="Q54:Q58" si="19">IF(NOT(ISERROR(MATCH(P54,_xlfn.ANCHORARRAY(E65),0))),O67&amp;"Por favor no seleccionar los criterios de impacto",P54)</f>
        <v>0</v>
      </c>
      <c r="R54" s="576"/>
      <c r="S54" s="575"/>
      <c r="T54" s="577"/>
      <c r="U54" s="199">
        <v>2</v>
      </c>
      <c r="V54" s="202"/>
      <c r="W54" s="155" t="str">
        <f t="shared" si="14"/>
        <v/>
      </c>
      <c r="X54" s="155"/>
      <c r="Y54" s="155"/>
      <c r="Z54" s="155"/>
      <c r="AA54" s="155"/>
      <c r="AB54" s="203"/>
      <c r="AC54" s="203"/>
      <c r="AD54" s="156" t="str">
        <f t="shared" si="4"/>
        <v/>
      </c>
      <c r="AE54" s="203"/>
      <c r="AF54" s="203"/>
      <c r="AG54" s="203"/>
      <c r="AH54" s="163" t="str">
        <f>IFERROR(IF(AND(W53="Probabilidad",W54="Probabilidad"),(AJ53-(+AJ53*AD54)),IF(W54="Probabilidad",(O53-(+O53*AD54)),IF(W54="Impacto",AJ53,""))),"")</f>
        <v/>
      </c>
      <c r="AI54" s="158" t="str">
        <f t="shared" si="5"/>
        <v/>
      </c>
      <c r="AJ54" s="156" t="str">
        <f t="shared" si="15"/>
        <v/>
      </c>
      <c r="AK54" s="158" t="str">
        <f t="shared" si="7"/>
        <v/>
      </c>
      <c r="AL54" s="156" t="str">
        <f>IFERROR(IF(AND(W53="Impacto",W54="Impacto"),(AL47-(+AL47*AD54)),IF(W54="Impacto",($S$53-(+$S$53*AD54)),IF(W54="Probabilidad",AL47,""))),"")</f>
        <v/>
      </c>
      <c r="AM54" s="159" t="str">
        <f t="shared" si="16"/>
        <v/>
      </c>
      <c r="AN54" s="579"/>
      <c r="AO54" s="200"/>
      <c r="AP54" s="199"/>
      <c r="AQ54" s="210"/>
      <c r="AR54" s="160"/>
      <c r="AS54" s="154"/>
      <c r="AT54" s="160"/>
      <c r="AU54" s="154"/>
      <c r="AV54" s="160"/>
      <c r="AW54" s="154"/>
      <c r="AX54" s="160"/>
      <c r="AY54" s="154"/>
      <c r="AZ54" s="153"/>
      <c r="BA54" s="154"/>
      <c r="BB54" s="154"/>
      <c r="BC54" s="153"/>
      <c r="BD54" s="160"/>
      <c r="BE54" s="160"/>
      <c r="BF54" s="154"/>
      <c r="BG54" s="154"/>
      <c r="BH54" s="153"/>
      <c r="BI54" s="160"/>
      <c r="BJ54" s="160"/>
      <c r="BK54" s="154"/>
      <c r="BL54" s="154"/>
      <c r="BM54" s="153"/>
      <c r="BN54" s="160"/>
      <c r="BO54" s="160"/>
      <c r="BP54" s="154"/>
      <c r="BQ54" s="154"/>
      <c r="BR54" s="153"/>
      <c r="BS54" s="160"/>
      <c r="BT54" s="160"/>
      <c r="BU54" s="160"/>
      <c r="BV54" s="154"/>
      <c r="BW54" s="154"/>
      <c r="BX54" s="154"/>
      <c r="BY54" s="160"/>
      <c r="BZ54" s="154"/>
      <c r="CA54" s="154"/>
      <c r="CB54" s="749"/>
      <c r="CC54" s="154"/>
      <c r="CD54" s="153"/>
      <c r="CE54" s="154"/>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row>
    <row r="55" spans="1:109" ht="15.75" customHeight="1" x14ac:dyDescent="0.25">
      <c r="A55" s="570"/>
      <c r="B55" s="571"/>
      <c r="C55" s="571"/>
      <c r="D55" s="571"/>
      <c r="E55" s="572"/>
      <c r="F55" s="571"/>
      <c r="G55" s="571"/>
      <c r="H55" s="571"/>
      <c r="I55" s="200"/>
      <c r="J55" s="200"/>
      <c r="K55" s="571"/>
      <c r="L55" s="572"/>
      <c r="M55" s="570"/>
      <c r="N55" s="576"/>
      <c r="O55" s="575"/>
      <c r="P55" s="581"/>
      <c r="Q55" s="575">
        <f t="shared" si="19"/>
        <v>0</v>
      </c>
      <c r="R55" s="576"/>
      <c r="S55" s="575"/>
      <c r="T55" s="577"/>
      <c r="U55" s="199">
        <v>3</v>
      </c>
      <c r="V55" s="204"/>
      <c r="W55" s="155" t="str">
        <f t="shared" si="14"/>
        <v/>
      </c>
      <c r="X55" s="155"/>
      <c r="Y55" s="155"/>
      <c r="Z55" s="155"/>
      <c r="AA55" s="155"/>
      <c r="AB55" s="203"/>
      <c r="AC55" s="203"/>
      <c r="AD55" s="156" t="str">
        <f t="shared" si="4"/>
        <v/>
      </c>
      <c r="AE55" s="203"/>
      <c r="AF55" s="203"/>
      <c r="AG55" s="203"/>
      <c r="AH55" s="163" t="str">
        <f>IFERROR(IF(AND(W54="Probabilidad",W55="Probabilidad"),(AJ54-(+AJ54*AD55)),IF(AND(W54="Impacto",W55="Probabilidad"),(AJ53-(+AJ53*AD55)),IF(W55="Impacto",AJ54,""))),"")</f>
        <v/>
      </c>
      <c r="AI55" s="158" t="str">
        <f t="shared" si="5"/>
        <v/>
      </c>
      <c r="AJ55" s="156" t="str">
        <f t="shared" si="15"/>
        <v/>
      </c>
      <c r="AK55" s="158" t="str">
        <f t="shared" si="7"/>
        <v/>
      </c>
      <c r="AL55" s="156" t="str">
        <f>IFERROR(IF(AND(W54="Impacto",W55="Impacto"),(AL54-(+AL54*AD55)),IF(AND(W54="Probabilidad",W55="Impacto"),(AL53-(+AL53*AD55)),IF(W55="Probabilidad",AL54,""))),"")</f>
        <v/>
      </c>
      <c r="AM55" s="159" t="str">
        <f t="shared" si="16"/>
        <v/>
      </c>
      <c r="AN55" s="579"/>
      <c r="AO55" s="200"/>
      <c r="AP55" s="199"/>
      <c r="AQ55" s="210"/>
      <c r="AR55" s="160"/>
      <c r="AS55" s="154"/>
      <c r="AT55" s="160"/>
      <c r="AU55" s="154"/>
      <c r="AV55" s="160"/>
      <c r="AW55" s="154"/>
      <c r="AX55" s="160"/>
      <c r="AY55" s="154"/>
      <c r="AZ55" s="153"/>
      <c r="BA55" s="154"/>
      <c r="BB55" s="154"/>
      <c r="BC55" s="153"/>
      <c r="BD55" s="160"/>
      <c r="BE55" s="160"/>
      <c r="BF55" s="154"/>
      <c r="BG55" s="154"/>
      <c r="BH55" s="153"/>
      <c r="BI55" s="160"/>
      <c r="BJ55" s="160"/>
      <c r="BK55" s="154"/>
      <c r="BL55" s="154"/>
      <c r="BM55" s="153"/>
      <c r="BN55" s="160"/>
      <c r="BO55" s="160"/>
      <c r="BP55" s="154"/>
      <c r="BQ55" s="154"/>
      <c r="BR55" s="153"/>
      <c r="BS55" s="160"/>
      <c r="BT55" s="160"/>
      <c r="BU55" s="160"/>
      <c r="BV55" s="154"/>
      <c r="BW55" s="154"/>
      <c r="BX55" s="154"/>
      <c r="BY55" s="160"/>
      <c r="BZ55" s="154"/>
      <c r="CA55" s="154"/>
      <c r="CB55" s="749"/>
      <c r="CC55" s="154"/>
      <c r="CD55" s="153"/>
      <c r="CE55" s="154"/>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row>
    <row r="56" spans="1:109" ht="15.75" customHeight="1" x14ac:dyDescent="0.25">
      <c r="A56" s="570"/>
      <c r="B56" s="571"/>
      <c r="C56" s="571"/>
      <c r="D56" s="571"/>
      <c r="E56" s="572"/>
      <c r="F56" s="571"/>
      <c r="G56" s="571"/>
      <c r="H56" s="571"/>
      <c r="I56" s="200"/>
      <c r="J56" s="200"/>
      <c r="K56" s="571"/>
      <c r="L56" s="572"/>
      <c r="M56" s="570"/>
      <c r="N56" s="576"/>
      <c r="O56" s="575"/>
      <c r="P56" s="581"/>
      <c r="Q56" s="575">
        <f t="shared" si="19"/>
        <v>0</v>
      </c>
      <c r="R56" s="576"/>
      <c r="S56" s="575"/>
      <c r="T56" s="577"/>
      <c r="U56" s="199">
        <v>4</v>
      </c>
      <c r="V56" s="202"/>
      <c r="W56" s="155" t="str">
        <f t="shared" si="14"/>
        <v/>
      </c>
      <c r="X56" s="155"/>
      <c r="Y56" s="155"/>
      <c r="Z56" s="155"/>
      <c r="AA56" s="155"/>
      <c r="AB56" s="203"/>
      <c r="AC56" s="203"/>
      <c r="AD56" s="156" t="str">
        <f t="shared" si="4"/>
        <v/>
      </c>
      <c r="AE56" s="203"/>
      <c r="AF56" s="203"/>
      <c r="AG56" s="203"/>
      <c r="AH56" s="163" t="str">
        <f>IFERROR(IF(AND(W55="Probabilidad",W56="Probabilidad"),(AJ55-(+AJ55*AD56)),IF(AND(W55="Impacto",W56="Probabilidad"),(AJ54-(+AJ54*AD56)),IF(W56="Impacto",AJ55,""))),"")</f>
        <v/>
      </c>
      <c r="AI56" s="158" t="str">
        <f t="shared" si="5"/>
        <v/>
      </c>
      <c r="AJ56" s="156" t="str">
        <f t="shared" si="15"/>
        <v/>
      </c>
      <c r="AK56" s="158" t="str">
        <f t="shared" si="7"/>
        <v/>
      </c>
      <c r="AL56" s="156" t="str">
        <f>IFERROR(IF(AND(W55="Impacto",W56="Impacto"),(AL55-(+AL55*AD56)),IF(AND(W55="Probabilidad",W56="Impacto"),(AL54-(+AL54*AD56)),IF(W56="Probabilidad",AL55,""))),"")</f>
        <v/>
      </c>
      <c r="AM56" s="159" t="str">
        <f t="shared" si="16"/>
        <v/>
      </c>
      <c r="AN56" s="579"/>
      <c r="AO56" s="200"/>
      <c r="AP56" s="199"/>
      <c r="AQ56" s="210"/>
      <c r="AR56" s="160"/>
      <c r="AS56" s="154"/>
      <c r="AT56" s="160"/>
      <c r="AU56" s="154"/>
      <c r="AV56" s="160"/>
      <c r="AW56" s="154"/>
      <c r="AX56" s="160"/>
      <c r="AY56" s="154"/>
      <c r="AZ56" s="153"/>
      <c r="BA56" s="154"/>
      <c r="BB56" s="154"/>
      <c r="BC56" s="153"/>
      <c r="BD56" s="160"/>
      <c r="BE56" s="160"/>
      <c r="BF56" s="154"/>
      <c r="BG56" s="154"/>
      <c r="BH56" s="153"/>
      <c r="BI56" s="160"/>
      <c r="BJ56" s="160"/>
      <c r="BK56" s="154"/>
      <c r="BL56" s="154"/>
      <c r="BM56" s="153"/>
      <c r="BN56" s="160"/>
      <c r="BO56" s="160"/>
      <c r="BP56" s="154"/>
      <c r="BQ56" s="154"/>
      <c r="BR56" s="153"/>
      <c r="BS56" s="160"/>
      <c r="BT56" s="160"/>
      <c r="BU56" s="160"/>
      <c r="BV56" s="154"/>
      <c r="BW56" s="154"/>
      <c r="BX56" s="154"/>
      <c r="BY56" s="160"/>
      <c r="BZ56" s="154"/>
      <c r="CA56" s="154"/>
      <c r="CB56" s="749"/>
      <c r="CC56" s="154"/>
      <c r="CD56" s="153"/>
      <c r="CE56" s="154"/>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row>
    <row r="57" spans="1:109" ht="15.75" customHeight="1" x14ac:dyDescent="0.25">
      <c r="A57" s="570"/>
      <c r="B57" s="571"/>
      <c r="C57" s="571"/>
      <c r="D57" s="571"/>
      <c r="E57" s="572"/>
      <c r="F57" s="571"/>
      <c r="G57" s="571"/>
      <c r="H57" s="571"/>
      <c r="I57" s="200"/>
      <c r="J57" s="200"/>
      <c r="K57" s="571"/>
      <c r="L57" s="572"/>
      <c r="M57" s="570"/>
      <c r="N57" s="576"/>
      <c r="O57" s="575"/>
      <c r="P57" s="581"/>
      <c r="Q57" s="575">
        <f t="shared" si="19"/>
        <v>0</v>
      </c>
      <c r="R57" s="576"/>
      <c r="S57" s="575"/>
      <c r="T57" s="577"/>
      <c r="U57" s="199">
        <v>5</v>
      </c>
      <c r="V57" s="202"/>
      <c r="W57" s="155" t="str">
        <f t="shared" si="14"/>
        <v/>
      </c>
      <c r="X57" s="155"/>
      <c r="Y57" s="155"/>
      <c r="Z57" s="155"/>
      <c r="AA57" s="155"/>
      <c r="AB57" s="203"/>
      <c r="AC57" s="203"/>
      <c r="AD57" s="156" t="str">
        <f t="shared" si="4"/>
        <v/>
      </c>
      <c r="AE57" s="203"/>
      <c r="AF57" s="203"/>
      <c r="AG57" s="203"/>
      <c r="AH57" s="163" t="str">
        <f>IFERROR(IF(AND(W56="Probabilidad",W57="Probabilidad"),(AJ56-(+AJ56*AD57)),IF(AND(W56="Impacto",W57="Probabilidad"),(AJ55-(+AJ55*AD57)),IF(W57="Impacto",AJ56,""))),"")</f>
        <v/>
      </c>
      <c r="AI57" s="158" t="str">
        <f t="shared" si="5"/>
        <v/>
      </c>
      <c r="AJ57" s="156" t="str">
        <f t="shared" si="15"/>
        <v/>
      </c>
      <c r="AK57" s="158" t="str">
        <f t="shared" si="7"/>
        <v/>
      </c>
      <c r="AL57" s="156" t="str">
        <f>IFERROR(IF(AND(W56="Impacto",W57="Impacto"),(AL56-(+AL56*AD57)),IF(AND(W56="Probabilidad",W57="Impacto"),(AL55-(+AL55*AD57)),IF(W57="Probabilidad",AL56,""))),"")</f>
        <v/>
      </c>
      <c r="AM57" s="159" t="str">
        <f t="shared" si="16"/>
        <v/>
      </c>
      <c r="AN57" s="579"/>
      <c r="AO57" s="200"/>
      <c r="AP57" s="199"/>
      <c r="AQ57" s="210"/>
      <c r="AR57" s="160"/>
      <c r="AS57" s="154"/>
      <c r="AT57" s="160"/>
      <c r="AU57" s="154"/>
      <c r="AV57" s="160"/>
      <c r="AW57" s="154"/>
      <c r="AX57" s="160"/>
      <c r="AY57" s="154"/>
      <c r="AZ57" s="153"/>
      <c r="BA57" s="154"/>
      <c r="BB57" s="154"/>
      <c r="BC57" s="153"/>
      <c r="BD57" s="160"/>
      <c r="BE57" s="160"/>
      <c r="BF57" s="154"/>
      <c r="BG57" s="154"/>
      <c r="BH57" s="153"/>
      <c r="BI57" s="160"/>
      <c r="BJ57" s="160"/>
      <c r="BK57" s="154"/>
      <c r="BL57" s="154"/>
      <c r="BM57" s="153"/>
      <c r="BN57" s="160"/>
      <c r="BO57" s="160"/>
      <c r="BP57" s="154"/>
      <c r="BQ57" s="154"/>
      <c r="BR57" s="153"/>
      <c r="BS57" s="160"/>
      <c r="BT57" s="160"/>
      <c r="BU57" s="160"/>
      <c r="BV57" s="154"/>
      <c r="BW57" s="154"/>
      <c r="BX57" s="154"/>
      <c r="BY57" s="160"/>
      <c r="BZ57" s="154"/>
      <c r="CA57" s="154"/>
      <c r="CB57" s="749"/>
      <c r="CC57" s="154"/>
      <c r="CD57" s="153"/>
      <c r="CE57" s="154"/>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row>
    <row r="58" spans="1:109" ht="15.75" customHeight="1" x14ac:dyDescent="0.25">
      <c r="A58" s="570"/>
      <c r="B58" s="571"/>
      <c r="C58" s="571"/>
      <c r="D58" s="571"/>
      <c r="E58" s="572"/>
      <c r="F58" s="571"/>
      <c r="G58" s="571"/>
      <c r="H58" s="571"/>
      <c r="I58" s="200"/>
      <c r="J58" s="200"/>
      <c r="K58" s="571"/>
      <c r="L58" s="572"/>
      <c r="M58" s="570"/>
      <c r="N58" s="576"/>
      <c r="O58" s="575"/>
      <c r="P58" s="581"/>
      <c r="Q58" s="575">
        <f t="shared" si="19"/>
        <v>0</v>
      </c>
      <c r="R58" s="576"/>
      <c r="S58" s="575"/>
      <c r="T58" s="577"/>
      <c r="U58" s="199">
        <v>6</v>
      </c>
      <c r="V58" s="202"/>
      <c r="W58" s="155" t="str">
        <f t="shared" si="14"/>
        <v/>
      </c>
      <c r="X58" s="155"/>
      <c r="Y58" s="155"/>
      <c r="Z58" s="155"/>
      <c r="AA58" s="155"/>
      <c r="AB58" s="203"/>
      <c r="AC58" s="203"/>
      <c r="AD58" s="156" t="str">
        <f t="shared" si="4"/>
        <v/>
      </c>
      <c r="AE58" s="203"/>
      <c r="AF58" s="203"/>
      <c r="AG58" s="203"/>
      <c r="AH58" s="163" t="str">
        <f>IFERROR(IF(AND(W57="Probabilidad",W58="Probabilidad"),(AJ57-(+AJ57*AD58)),IF(AND(W57="Impacto",W58="Probabilidad"),(AJ56-(+AJ56*AD58)),IF(W58="Impacto",AJ57,""))),"")</f>
        <v/>
      </c>
      <c r="AI58" s="158" t="str">
        <f t="shared" si="5"/>
        <v/>
      </c>
      <c r="AJ58" s="156" t="str">
        <f t="shared" si="15"/>
        <v/>
      </c>
      <c r="AK58" s="158" t="str">
        <f t="shared" si="7"/>
        <v/>
      </c>
      <c r="AL58" s="156" t="str">
        <f>IFERROR(IF(AND(W57="Impacto",W58="Impacto"),(AL57-(+AL57*AD58)),IF(AND(W57="Probabilidad",W58="Impacto"),(AL56-(+AL56*AD58)),IF(W58="Probabilidad",AL57,""))),"")</f>
        <v/>
      </c>
      <c r="AM58" s="159" t="str">
        <f t="shared" si="16"/>
        <v/>
      </c>
      <c r="AN58" s="580"/>
      <c r="AO58" s="200"/>
      <c r="AP58" s="199"/>
      <c r="AQ58" s="210"/>
      <c r="AR58" s="160"/>
      <c r="AS58" s="154"/>
      <c r="AT58" s="160"/>
      <c r="AU58" s="154"/>
      <c r="AV58" s="160"/>
      <c r="AW58" s="154"/>
      <c r="AX58" s="160"/>
      <c r="AY58" s="154"/>
      <c r="AZ58" s="153"/>
      <c r="BA58" s="154"/>
      <c r="BB58" s="154"/>
      <c r="BC58" s="153"/>
      <c r="BD58" s="160"/>
      <c r="BE58" s="160"/>
      <c r="BF58" s="154"/>
      <c r="BG58" s="154"/>
      <c r="BH58" s="153"/>
      <c r="BI58" s="160"/>
      <c r="BJ58" s="160"/>
      <c r="BK58" s="154"/>
      <c r="BL58" s="154"/>
      <c r="BM58" s="153"/>
      <c r="BN58" s="160"/>
      <c r="BO58" s="160"/>
      <c r="BP58" s="154"/>
      <c r="BQ58" s="154"/>
      <c r="BR58" s="153"/>
      <c r="BS58" s="160"/>
      <c r="BT58" s="160"/>
      <c r="BU58" s="160"/>
      <c r="BV58" s="154"/>
      <c r="BW58" s="154"/>
      <c r="BX58" s="154"/>
      <c r="BY58" s="160"/>
      <c r="BZ58" s="154"/>
      <c r="CA58" s="154"/>
      <c r="CB58" s="749"/>
      <c r="CC58" s="154"/>
      <c r="CD58" s="153"/>
      <c r="CE58" s="154"/>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row>
    <row r="59" spans="1:109" ht="15.75" customHeight="1" x14ac:dyDescent="0.25">
      <c r="A59" s="570">
        <v>10</v>
      </c>
      <c r="B59" s="571"/>
      <c r="C59" s="571"/>
      <c r="D59" s="571"/>
      <c r="E59" s="572"/>
      <c r="F59" s="571"/>
      <c r="G59" s="571"/>
      <c r="H59" s="571"/>
      <c r="I59" s="200"/>
      <c r="J59" s="200"/>
      <c r="K59" s="571"/>
      <c r="L59" s="572"/>
      <c r="M59" s="570"/>
      <c r="N59" s="576" t="str">
        <f>IF(M59&lt;=0,"",IF(M59&lt;=2,"Muy Baja",IF(M59&lt;=24,"Baja",IF(M59&lt;=500,"Media",IF(M59&lt;=5000,"Alta","Muy Alta")))))</f>
        <v/>
      </c>
      <c r="O59" s="575" t="str">
        <f>IF(N59="","",IF(N59="Muy Baja",0.2,IF(N59="Baja",0.4,IF(N59="Media",0.6,IF(N59="Alta",0.8,IF(N59="Muy Alta",1,))))))</f>
        <v/>
      </c>
      <c r="P59" s="581"/>
      <c r="Q59" s="575">
        <f>IF(NOT(ISERROR(MATCH(P59,'Tabla Impacto'!$B$221:$B$223,0))),'Tabla Impacto'!$F$223&amp;"Por favor no seleccionar los criterios de impacto(Afectación Económica o presupuestal y Pérdida Reputacional)",P59)</f>
        <v>0</v>
      </c>
      <c r="R59" s="576" t="str">
        <f>IF(OR(Q59='Tabla Impacto'!$C$11,Q59='Tabla Impacto'!$D$11),"Leve",IF(OR(Q59='Tabla Impacto'!$C$12,Q59='Tabla Impacto'!$D$12),"Menor",IF(OR(Q59='Tabla Impacto'!$C$13,Q59='Tabla Impacto'!$D$13),"Moderado",IF(OR(Q59='Tabla Impacto'!$C$14,Q59='Tabla Impacto'!$D$14),"Mayor",IF(OR(Q59='Tabla Impacto'!$C$15,Q59='Tabla Impacto'!$D$15),"Catastrófico","")))))</f>
        <v/>
      </c>
      <c r="S59" s="575" t="str">
        <f>IF(R59="","",IF(R59="Leve",0.2,IF(R59="Menor",0.4,IF(R59="Moderado",0.6,IF(R59="Mayor",0.8,IF(R59="Catastrófico",1,))))))</f>
        <v/>
      </c>
      <c r="T59" s="577"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99">
        <v>1</v>
      </c>
      <c r="V59" s="202"/>
      <c r="W59" s="155" t="str">
        <f t="shared" si="14"/>
        <v/>
      </c>
      <c r="X59" s="155"/>
      <c r="Y59" s="155"/>
      <c r="Z59" s="155"/>
      <c r="AA59" s="155"/>
      <c r="AB59" s="203"/>
      <c r="AC59" s="203"/>
      <c r="AD59" s="156" t="str">
        <f t="shared" si="4"/>
        <v/>
      </c>
      <c r="AE59" s="203"/>
      <c r="AF59" s="203"/>
      <c r="AG59" s="203"/>
      <c r="AH59" s="163" t="str">
        <f>IFERROR(IF(W59="Probabilidad",(O59-(+O59*AD59)),IF(W59="Impacto",O59,"")),"")</f>
        <v/>
      </c>
      <c r="AI59" s="158" t="str">
        <f>IFERROR(IF(AH59="","",IF(AH59&lt;=0.2,"Muy Baja",IF(AH59&lt;=0.4,"Baja",IF(AH59&lt;=0.6,"Media",IF(AH59&lt;=0.8,"Alta","Muy Alta"))))),"")</f>
        <v/>
      </c>
      <c r="AJ59" s="156" t="str">
        <f t="shared" si="15"/>
        <v/>
      </c>
      <c r="AK59" s="158" t="str">
        <f>IFERROR(IF(AL59="","",IF(AL59&lt;=0.2,"Leve",IF(AL59&lt;=0.4,"Menor",IF(AL59&lt;=0.6,"Moderado",IF(AL59&lt;=0.8,"Mayor","Catastrófico"))))),"")</f>
        <v/>
      </c>
      <c r="AL59" s="156" t="str">
        <f>IFERROR(IF(W59="Impacto",(S59-(+S59*AD59)),IF(W59="Probabilidad",S59,"")),"")</f>
        <v/>
      </c>
      <c r="AM59" s="159" t="str">
        <f t="shared" si="16"/>
        <v/>
      </c>
      <c r="AN59" s="578"/>
      <c r="AO59" s="200"/>
      <c r="AP59" s="199"/>
      <c r="AQ59" s="210"/>
      <c r="AR59" s="160"/>
      <c r="AS59" s="154"/>
      <c r="AT59" s="160"/>
      <c r="AU59" s="154"/>
      <c r="AV59" s="160"/>
      <c r="AW59" s="154"/>
      <c r="AX59" s="160"/>
      <c r="AY59" s="154"/>
      <c r="AZ59" s="153"/>
      <c r="BA59" s="154"/>
      <c r="BB59" s="154"/>
      <c r="BC59" s="153"/>
      <c r="BD59" s="160"/>
      <c r="BE59" s="160"/>
      <c r="BF59" s="154"/>
      <c r="BG59" s="154"/>
      <c r="BH59" s="153"/>
      <c r="BI59" s="160"/>
      <c r="BJ59" s="160"/>
      <c r="BK59" s="154"/>
      <c r="BL59" s="154"/>
      <c r="BM59" s="153"/>
      <c r="BN59" s="160"/>
      <c r="BO59" s="160"/>
      <c r="BP59" s="154"/>
      <c r="BQ59" s="154"/>
      <c r="BR59" s="153"/>
      <c r="BS59" s="160"/>
      <c r="BT59" s="160"/>
      <c r="BU59" s="160"/>
      <c r="BV59" s="154"/>
      <c r="BW59" s="154"/>
      <c r="BX59" s="154"/>
      <c r="BY59" s="160"/>
      <c r="BZ59" s="154"/>
      <c r="CA59" s="154"/>
      <c r="CB59" s="749"/>
      <c r="CC59" s="154"/>
      <c r="CD59" s="153"/>
      <c r="CE59" s="154"/>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row>
    <row r="60" spans="1:109" ht="15.75" customHeight="1" x14ac:dyDescent="0.25">
      <c r="A60" s="570"/>
      <c r="B60" s="571"/>
      <c r="C60" s="571"/>
      <c r="D60" s="571"/>
      <c r="E60" s="572"/>
      <c r="F60" s="571"/>
      <c r="G60" s="571"/>
      <c r="H60" s="571"/>
      <c r="I60" s="200"/>
      <c r="J60" s="200"/>
      <c r="K60" s="571"/>
      <c r="L60" s="572"/>
      <c r="M60" s="570"/>
      <c r="N60" s="576"/>
      <c r="O60" s="575"/>
      <c r="P60" s="581"/>
      <c r="Q60" s="575">
        <f>IF(NOT(ISERROR(MATCH(P60,_xlfn.ANCHORARRAY(E71),0))),O73&amp;"Por favor no seleccionar los criterios de impacto",P60)</f>
        <v>0</v>
      </c>
      <c r="R60" s="576"/>
      <c r="S60" s="575"/>
      <c r="T60" s="577"/>
      <c r="U60" s="199">
        <v>2</v>
      </c>
      <c r="V60" s="202"/>
      <c r="W60" s="155" t="str">
        <f t="shared" si="14"/>
        <v/>
      </c>
      <c r="X60" s="155"/>
      <c r="Y60" s="155"/>
      <c r="Z60" s="155"/>
      <c r="AA60" s="155"/>
      <c r="AB60" s="203"/>
      <c r="AC60" s="203"/>
      <c r="AD60" s="156" t="str">
        <f t="shared" si="4"/>
        <v/>
      </c>
      <c r="AE60" s="203"/>
      <c r="AF60" s="203"/>
      <c r="AG60" s="203"/>
      <c r="AH60" s="163" t="str">
        <f>IFERROR(IF(AND(W59="Probabilidad",W60="Probabilidad"),(AJ59-(+AJ59*AD60)),IF(W60="Probabilidad",(O59-(+O59*AD60)),IF(W60="Impacto",AJ59,""))),"")</f>
        <v/>
      </c>
      <c r="AI60" s="158" t="str">
        <f t="shared" si="5"/>
        <v/>
      </c>
      <c r="AJ60" s="156" t="str">
        <f t="shared" si="15"/>
        <v/>
      </c>
      <c r="AK60" s="158" t="str">
        <f t="shared" si="7"/>
        <v/>
      </c>
      <c r="AL60" s="156" t="str">
        <f>IFERROR(IF(AND(W59="Impacto",W60="Impacto"),(AL53-(+AL53*AD60)),IF(W60="Impacto",($S$59-(+$S$59*AD60)),IF(W60="Probabilidad",AL53,""))),"")</f>
        <v/>
      </c>
      <c r="AM60" s="159" t="str">
        <f t="shared" si="16"/>
        <v/>
      </c>
      <c r="AN60" s="579"/>
      <c r="AO60" s="200"/>
      <c r="AP60" s="199"/>
      <c r="AQ60" s="210"/>
      <c r="AR60" s="160"/>
      <c r="AS60" s="154"/>
      <c r="AT60" s="160"/>
      <c r="AU60" s="154"/>
      <c r="AV60" s="160"/>
      <c r="AW60" s="154"/>
      <c r="AX60" s="160"/>
      <c r="AY60" s="154"/>
      <c r="AZ60" s="153"/>
      <c r="BA60" s="154"/>
      <c r="BB60" s="154"/>
      <c r="BC60" s="153"/>
      <c r="BD60" s="160"/>
      <c r="BE60" s="160"/>
      <c r="BF60" s="154"/>
      <c r="BG60" s="154"/>
      <c r="BH60" s="153"/>
      <c r="BI60" s="160"/>
      <c r="BJ60" s="160"/>
      <c r="BK60" s="154"/>
      <c r="BL60" s="154"/>
      <c r="BM60" s="153"/>
      <c r="BN60" s="160"/>
      <c r="BO60" s="160"/>
      <c r="BP60" s="154"/>
      <c r="BQ60" s="154"/>
      <c r="BR60" s="153"/>
      <c r="BS60" s="160"/>
      <c r="BT60" s="160"/>
      <c r="BU60" s="160"/>
      <c r="BV60" s="154"/>
      <c r="BW60" s="154"/>
      <c r="BX60" s="154"/>
      <c r="BY60" s="160"/>
      <c r="BZ60" s="154"/>
      <c r="CA60" s="154"/>
      <c r="CB60" s="749"/>
      <c r="CC60" s="154"/>
      <c r="CD60" s="153"/>
      <c r="CE60" s="154"/>
    </row>
    <row r="61" spans="1:109" ht="15.75" customHeight="1" x14ac:dyDescent="0.25">
      <c r="A61" s="570"/>
      <c r="B61" s="571"/>
      <c r="C61" s="571"/>
      <c r="D61" s="571"/>
      <c r="E61" s="572"/>
      <c r="F61" s="571"/>
      <c r="G61" s="571"/>
      <c r="H61" s="571"/>
      <c r="I61" s="200"/>
      <c r="J61" s="200"/>
      <c r="K61" s="571"/>
      <c r="L61" s="572"/>
      <c r="M61" s="570"/>
      <c r="N61" s="576"/>
      <c r="O61" s="575"/>
      <c r="P61" s="581"/>
      <c r="Q61" s="575">
        <f>IF(NOT(ISERROR(MATCH(P61,_xlfn.ANCHORARRAY(E72),0))),O74&amp;"Por favor no seleccionar los criterios de impacto",P61)</f>
        <v>0</v>
      </c>
      <c r="R61" s="576"/>
      <c r="S61" s="575"/>
      <c r="T61" s="577"/>
      <c r="U61" s="199">
        <v>3</v>
      </c>
      <c r="V61" s="204"/>
      <c r="W61" s="155" t="str">
        <f t="shared" si="14"/>
        <v/>
      </c>
      <c r="X61" s="155"/>
      <c r="Y61" s="155"/>
      <c r="Z61" s="155"/>
      <c r="AA61" s="155"/>
      <c r="AB61" s="203"/>
      <c r="AC61" s="203"/>
      <c r="AD61" s="156" t="str">
        <f t="shared" si="4"/>
        <v/>
      </c>
      <c r="AE61" s="203"/>
      <c r="AF61" s="203"/>
      <c r="AG61" s="203"/>
      <c r="AH61" s="163" t="str">
        <f>IFERROR(IF(AND(W60="Probabilidad",W61="Probabilidad"),(AJ60-(+AJ60*AD61)),IF(AND(W60="Impacto",W61="Probabilidad"),(AJ59-(+AJ59*AD61)),IF(W61="Impacto",AJ60,""))),"")</f>
        <v/>
      </c>
      <c r="AI61" s="158" t="str">
        <f t="shared" si="5"/>
        <v/>
      </c>
      <c r="AJ61" s="156" t="str">
        <f t="shared" si="15"/>
        <v/>
      </c>
      <c r="AK61" s="158" t="str">
        <f t="shared" si="7"/>
        <v/>
      </c>
      <c r="AL61" s="156" t="str">
        <f>IFERROR(IF(AND(W60="Impacto",W61="Impacto"),(AL60-(+AL60*AD61)),IF(AND(W60="Probabilidad",W61="Impacto"),(AL59-(+AL59*AD61)),IF(W61="Probabilidad",AL60,""))),"")</f>
        <v/>
      </c>
      <c r="AM61" s="159" t="str">
        <f t="shared" si="16"/>
        <v/>
      </c>
      <c r="AN61" s="579"/>
      <c r="AO61" s="200"/>
      <c r="AP61" s="199"/>
      <c r="AQ61" s="210"/>
      <c r="AR61" s="160"/>
      <c r="AS61" s="154"/>
      <c r="AT61" s="160"/>
      <c r="AU61" s="154"/>
      <c r="AV61" s="160"/>
      <c r="AW61" s="154"/>
      <c r="AX61" s="160"/>
      <c r="AY61" s="154"/>
      <c r="AZ61" s="153"/>
      <c r="BA61" s="154"/>
      <c r="BB61" s="154"/>
      <c r="BC61" s="153"/>
      <c r="BD61" s="160"/>
      <c r="BE61" s="160"/>
      <c r="BF61" s="154"/>
      <c r="BG61" s="154"/>
      <c r="BH61" s="153"/>
      <c r="BI61" s="160"/>
      <c r="BJ61" s="160"/>
      <c r="BK61" s="154"/>
      <c r="BL61" s="154"/>
      <c r="BM61" s="153"/>
      <c r="BN61" s="160"/>
      <c r="BO61" s="160"/>
      <c r="BP61" s="154"/>
      <c r="BQ61" s="154"/>
      <c r="BR61" s="153"/>
      <c r="BS61" s="160"/>
      <c r="BT61" s="160"/>
      <c r="BU61" s="160"/>
      <c r="BV61" s="154"/>
      <c r="BW61" s="154"/>
      <c r="BX61" s="154"/>
      <c r="BY61" s="160"/>
      <c r="BZ61" s="154"/>
      <c r="CA61" s="154"/>
      <c r="CB61" s="749"/>
      <c r="CC61" s="154"/>
      <c r="CD61" s="153"/>
      <c r="CE61" s="154"/>
    </row>
    <row r="62" spans="1:109" ht="15.75" customHeight="1" x14ac:dyDescent="0.25">
      <c r="A62" s="570"/>
      <c r="B62" s="571"/>
      <c r="C62" s="571"/>
      <c r="D62" s="571"/>
      <c r="E62" s="572"/>
      <c r="F62" s="571"/>
      <c r="G62" s="571"/>
      <c r="H62" s="571"/>
      <c r="I62" s="200"/>
      <c r="J62" s="200"/>
      <c r="K62" s="571"/>
      <c r="L62" s="572"/>
      <c r="M62" s="570"/>
      <c r="N62" s="576"/>
      <c r="O62" s="575"/>
      <c r="P62" s="581"/>
      <c r="Q62" s="575">
        <f>IF(NOT(ISERROR(MATCH(P62,_xlfn.ANCHORARRAY(E73),0))),O75&amp;"Por favor no seleccionar los criterios de impacto",P62)</f>
        <v>0</v>
      </c>
      <c r="R62" s="576"/>
      <c r="S62" s="575"/>
      <c r="T62" s="577"/>
      <c r="U62" s="199">
        <v>4</v>
      </c>
      <c r="V62" s="202"/>
      <c r="W62" s="155" t="str">
        <f t="shared" si="14"/>
        <v/>
      </c>
      <c r="X62" s="155"/>
      <c r="Y62" s="155"/>
      <c r="Z62" s="155"/>
      <c r="AA62" s="155"/>
      <c r="AB62" s="203"/>
      <c r="AC62" s="203"/>
      <c r="AD62" s="156" t="str">
        <f t="shared" si="4"/>
        <v/>
      </c>
      <c r="AE62" s="203"/>
      <c r="AF62" s="203"/>
      <c r="AG62" s="203"/>
      <c r="AH62" s="163" t="str">
        <f>IFERROR(IF(AND(W61="Probabilidad",W62="Probabilidad"),(AJ61-(+AJ61*AD62)),IF(AND(W61="Impacto",W62="Probabilidad"),(AJ60-(+AJ60*AD62)),IF(W62="Impacto",AJ61,""))),"")</f>
        <v/>
      </c>
      <c r="AI62" s="158" t="str">
        <f t="shared" si="5"/>
        <v/>
      </c>
      <c r="AJ62" s="156" t="str">
        <f t="shared" si="15"/>
        <v/>
      </c>
      <c r="AK62" s="158" t="str">
        <f t="shared" si="7"/>
        <v/>
      </c>
      <c r="AL62" s="156" t="str">
        <f>IFERROR(IF(AND(W61="Impacto",W62="Impacto"),(AL61-(+AL61*AD62)),IF(AND(W61="Probabilidad",W62="Impacto"),(AL60-(+AL60*AD62)),IF(W62="Probabilidad",AL61,""))),"")</f>
        <v/>
      </c>
      <c r="AM62" s="159" t="str">
        <f t="shared" si="16"/>
        <v/>
      </c>
      <c r="AN62" s="579"/>
      <c r="AO62" s="200"/>
      <c r="AP62" s="199"/>
      <c r="AQ62" s="210"/>
      <c r="AR62" s="160"/>
      <c r="AS62" s="154"/>
      <c r="AT62" s="160"/>
      <c r="AU62" s="154"/>
      <c r="AV62" s="160"/>
      <c r="AW62" s="154"/>
      <c r="AX62" s="160"/>
      <c r="AY62" s="154"/>
      <c r="AZ62" s="153"/>
      <c r="BA62" s="154"/>
      <c r="BB62" s="154"/>
      <c r="BC62" s="153"/>
      <c r="BD62" s="160"/>
      <c r="BE62" s="160"/>
      <c r="BF62" s="154"/>
      <c r="BG62" s="154"/>
      <c r="BH62" s="153"/>
      <c r="BI62" s="160"/>
      <c r="BJ62" s="160"/>
      <c r="BK62" s="154"/>
      <c r="BL62" s="154"/>
      <c r="BM62" s="153"/>
      <c r="BN62" s="160"/>
      <c r="BO62" s="160"/>
      <c r="BP62" s="154"/>
      <c r="BQ62" s="154"/>
      <c r="BR62" s="153"/>
      <c r="BS62" s="160"/>
      <c r="BT62" s="160"/>
      <c r="BU62" s="160"/>
      <c r="BV62" s="154"/>
      <c r="BW62" s="154"/>
      <c r="BX62" s="154"/>
      <c r="BY62" s="160"/>
      <c r="BZ62" s="154"/>
      <c r="CA62" s="154"/>
      <c r="CB62" s="749"/>
      <c r="CC62" s="154"/>
      <c r="CD62" s="153"/>
      <c r="CE62" s="154"/>
    </row>
    <row r="63" spans="1:109" ht="15.75" customHeight="1" x14ac:dyDescent="0.25">
      <c r="A63" s="570"/>
      <c r="B63" s="571"/>
      <c r="C63" s="571"/>
      <c r="D63" s="571"/>
      <c r="E63" s="572"/>
      <c r="F63" s="571"/>
      <c r="G63" s="571"/>
      <c r="H63" s="571"/>
      <c r="I63" s="200"/>
      <c r="J63" s="200"/>
      <c r="K63" s="571"/>
      <c r="L63" s="572"/>
      <c r="M63" s="570"/>
      <c r="N63" s="576"/>
      <c r="O63" s="575"/>
      <c r="P63" s="581"/>
      <c r="Q63" s="575">
        <f>IF(NOT(ISERROR(MATCH(P63,_xlfn.ANCHORARRAY(E74),0))),O76&amp;"Por favor no seleccionar los criterios de impacto",P63)</f>
        <v>0</v>
      </c>
      <c r="R63" s="576"/>
      <c r="S63" s="575"/>
      <c r="T63" s="577"/>
      <c r="U63" s="199">
        <v>5</v>
      </c>
      <c r="V63" s="202"/>
      <c r="W63" s="155" t="str">
        <f t="shared" si="14"/>
        <v/>
      </c>
      <c r="X63" s="155"/>
      <c r="Y63" s="155"/>
      <c r="Z63" s="155"/>
      <c r="AA63" s="155"/>
      <c r="AB63" s="203"/>
      <c r="AC63" s="203"/>
      <c r="AD63" s="156" t="str">
        <f t="shared" si="4"/>
        <v/>
      </c>
      <c r="AE63" s="203"/>
      <c r="AF63" s="203"/>
      <c r="AG63" s="203"/>
      <c r="AH63" s="163" t="str">
        <f>IFERROR(IF(AND(W62="Probabilidad",W63="Probabilidad"),(AJ62-(+AJ62*AD63)),IF(AND(W62="Impacto",W63="Probabilidad"),(AJ61-(+AJ61*AD63)),IF(W63="Impacto",AJ62,""))),"")</f>
        <v/>
      </c>
      <c r="AI63" s="158" t="str">
        <f t="shared" si="5"/>
        <v/>
      </c>
      <c r="AJ63" s="156" t="str">
        <f t="shared" si="15"/>
        <v/>
      </c>
      <c r="AK63" s="158" t="str">
        <f t="shared" si="7"/>
        <v/>
      </c>
      <c r="AL63" s="156" t="str">
        <f>IFERROR(IF(AND(W62="Impacto",W63="Impacto"),(AL62-(+AL62*AD63)),IF(AND(W62="Probabilidad",W63="Impacto"),(AL61-(+AL61*AD63)),IF(W63="Probabilidad",AL62,""))),"")</f>
        <v/>
      </c>
      <c r="AM63" s="159" t="str">
        <f t="shared" si="16"/>
        <v/>
      </c>
      <c r="AN63" s="579"/>
      <c r="AO63" s="200"/>
      <c r="AP63" s="199"/>
      <c r="AQ63" s="210"/>
      <c r="AR63" s="160"/>
      <c r="AS63" s="154"/>
      <c r="AT63" s="160"/>
      <c r="AU63" s="154"/>
      <c r="AV63" s="160"/>
      <c r="AW63" s="154"/>
      <c r="AX63" s="160"/>
      <c r="AY63" s="154"/>
      <c r="AZ63" s="153"/>
      <c r="BA63" s="154"/>
      <c r="BB63" s="154"/>
      <c r="BC63" s="153"/>
      <c r="BD63" s="160"/>
      <c r="BE63" s="160"/>
      <c r="BF63" s="154"/>
      <c r="BG63" s="154"/>
      <c r="BH63" s="153"/>
      <c r="BI63" s="160"/>
      <c r="BJ63" s="160"/>
      <c r="BK63" s="154"/>
      <c r="BL63" s="154"/>
      <c r="BM63" s="153"/>
      <c r="BN63" s="160"/>
      <c r="BO63" s="160"/>
      <c r="BP63" s="154"/>
      <c r="BQ63" s="154"/>
      <c r="BR63" s="153"/>
      <c r="BS63" s="160"/>
      <c r="BT63" s="160"/>
      <c r="BU63" s="160"/>
      <c r="BV63" s="154"/>
      <c r="BW63" s="154"/>
      <c r="BX63" s="154"/>
      <c r="BY63" s="160"/>
      <c r="BZ63" s="154"/>
      <c r="CA63" s="154"/>
      <c r="CB63" s="749"/>
      <c r="CC63" s="154"/>
      <c r="CD63" s="153"/>
      <c r="CE63" s="154"/>
    </row>
    <row r="64" spans="1:109" ht="15.75" customHeight="1" x14ac:dyDescent="0.25">
      <c r="A64" s="570"/>
      <c r="B64" s="571"/>
      <c r="C64" s="571"/>
      <c r="D64" s="571"/>
      <c r="E64" s="572"/>
      <c r="F64" s="571"/>
      <c r="G64" s="571"/>
      <c r="H64" s="571"/>
      <c r="I64" s="200"/>
      <c r="J64" s="200"/>
      <c r="K64" s="571"/>
      <c r="L64" s="572"/>
      <c r="M64" s="570"/>
      <c r="N64" s="576"/>
      <c r="O64" s="575"/>
      <c r="P64" s="581"/>
      <c r="Q64" s="575">
        <f>IF(NOT(ISERROR(MATCH(P64,_xlfn.ANCHORARRAY(E75),0))),O77&amp;"Por favor no seleccionar los criterios de impacto",P64)</f>
        <v>0</v>
      </c>
      <c r="R64" s="576"/>
      <c r="S64" s="575"/>
      <c r="T64" s="577"/>
      <c r="U64" s="199">
        <v>6</v>
      </c>
      <c r="V64" s="202"/>
      <c r="W64" s="155" t="str">
        <f t="shared" si="14"/>
        <v/>
      </c>
      <c r="X64" s="155"/>
      <c r="Y64" s="155"/>
      <c r="Z64" s="155"/>
      <c r="AA64" s="155"/>
      <c r="AB64" s="203"/>
      <c r="AC64" s="203"/>
      <c r="AD64" s="156" t="str">
        <f t="shared" si="4"/>
        <v/>
      </c>
      <c r="AE64" s="203"/>
      <c r="AF64" s="203"/>
      <c r="AG64" s="203"/>
      <c r="AH64" s="163" t="str">
        <f>IFERROR(IF(AND(W63="Probabilidad",W64="Probabilidad"),(AJ63-(+AJ63*AD64)),IF(AND(W63="Impacto",W64="Probabilidad"),(AJ62-(+AJ62*AD64)),IF(W64="Impacto",AJ63,""))),"")</f>
        <v/>
      </c>
      <c r="AI64" s="158" t="str">
        <f t="shared" si="5"/>
        <v/>
      </c>
      <c r="AJ64" s="156" t="str">
        <f t="shared" si="15"/>
        <v/>
      </c>
      <c r="AK64" s="158" t="str">
        <f t="shared" si="7"/>
        <v/>
      </c>
      <c r="AL64" s="156" t="str">
        <f>IFERROR(IF(AND(W63="Impacto",W64="Impacto"),(AL63-(+AL63*AD64)),IF(AND(W63="Probabilidad",W64="Impacto"),(AL62-(+AL62*AD64)),IF(W64="Probabilidad",AL63,""))),"")</f>
        <v/>
      </c>
      <c r="AM64" s="159" t="str">
        <f t="shared" si="16"/>
        <v/>
      </c>
      <c r="AN64" s="580"/>
      <c r="AO64" s="200"/>
      <c r="AP64" s="199"/>
      <c r="AQ64" s="210"/>
      <c r="AR64" s="160"/>
      <c r="AS64" s="154"/>
      <c r="AT64" s="160"/>
      <c r="AU64" s="154"/>
      <c r="AV64" s="160"/>
      <c r="AW64" s="154"/>
      <c r="AX64" s="160"/>
      <c r="AY64" s="154"/>
      <c r="AZ64" s="153"/>
      <c r="BA64" s="154"/>
      <c r="BB64" s="154"/>
      <c r="BC64" s="153"/>
      <c r="BD64" s="160"/>
      <c r="BE64" s="160"/>
      <c r="BF64" s="154"/>
      <c r="BG64" s="154"/>
      <c r="BH64" s="153"/>
      <c r="BI64" s="160"/>
      <c r="BJ64" s="160"/>
      <c r="BK64" s="154"/>
      <c r="BL64" s="154"/>
      <c r="BM64" s="153"/>
      <c r="BN64" s="160"/>
      <c r="BO64" s="160"/>
      <c r="BP64" s="154"/>
      <c r="BQ64" s="154"/>
      <c r="BR64" s="153"/>
      <c r="BS64" s="160"/>
      <c r="BT64" s="160"/>
      <c r="BU64" s="160"/>
      <c r="BV64" s="154"/>
      <c r="BW64" s="154"/>
      <c r="BX64" s="154"/>
      <c r="BY64" s="160"/>
      <c r="BZ64" s="154"/>
      <c r="CA64" s="154"/>
      <c r="CB64" s="749"/>
      <c r="CC64" s="154"/>
      <c r="CD64" s="153"/>
      <c r="CE64" s="154"/>
    </row>
  </sheetData>
  <sheetProtection algorithmName="SHA-512" hashValue="DoM3EtGZj2RKsNNTk2+fFvit8Xe3w4IcwjMrrWyX1GjZgXJbkVwlEPA6QCTzkRTSWYDKmxLJW83QN0HNEsaX0w==" saltValue="PjTNkF8H+snFOvLWTKL/Hw=="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I1" zoomScaleNormal="100" workbookViewId="0">
      <selection activeCell="W5" sqref="W5"/>
    </sheetView>
  </sheetViews>
  <sheetFormatPr baseColWidth="10" defaultColWidth="11.42578125" defaultRowHeight="12.75" x14ac:dyDescent="0.2"/>
  <cols>
    <col min="1" max="1" width="4" style="185" bestFit="1" customWidth="1"/>
    <col min="2" max="4" width="18.7109375" style="186" customWidth="1"/>
    <col min="5" max="5" width="14.140625" style="185" customWidth="1"/>
    <col min="6" max="6" width="13.140625" style="185" customWidth="1"/>
    <col min="7" max="7" width="32.42578125" style="187" customWidth="1"/>
    <col min="8" max="8" width="23" style="187" customWidth="1"/>
    <col min="9" max="9" width="18.85546875" style="187" customWidth="1"/>
    <col min="10" max="10" width="22.140625" style="187" customWidth="1"/>
    <col min="11" max="11" width="20.5703125" style="144" hidden="1" customWidth="1"/>
    <col min="12" max="12" width="18.5703125" style="144" hidden="1" customWidth="1"/>
    <col min="13" max="13" width="20.5703125" style="144" customWidth="1"/>
    <col min="14" max="14" width="18.5703125" style="144" customWidth="1"/>
    <col min="15" max="15" width="20.5703125" style="144" customWidth="1"/>
    <col min="16" max="16" width="18.5703125" style="144" customWidth="1"/>
    <col min="17" max="17" width="20.5703125" style="144" hidden="1" customWidth="1"/>
    <col min="18" max="18" width="18.5703125" style="144" hidden="1" customWidth="1"/>
    <col min="19" max="19" width="21" style="144" hidden="1" customWidth="1"/>
    <col min="20" max="20" width="20.5703125" style="144" customWidth="1"/>
    <col min="21" max="21" width="23" style="144" hidden="1" customWidth="1"/>
    <col min="22" max="22" width="18.5703125" style="144" customWidth="1"/>
    <col min="23" max="23" width="20.5703125" style="144" customWidth="1"/>
    <col min="24" max="24" width="29.28515625" style="144" customWidth="1"/>
    <col min="25" max="25" width="30.140625" style="144" customWidth="1"/>
    <col min="26" max="16384" width="11.42578125" style="146"/>
  </cols>
  <sheetData>
    <row r="1" spans="1:25" x14ac:dyDescent="0.2">
      <c r="H1" s="145"/>
      <c r="I1" s="145"/>
      <c r="J1" s="145"/>
      <c r="K1" s="145"/>
      <c r="L1" s="145"/>
      <c r="M1" s="145"/>
      <c r="N1" s="145"/>
      <c r="O1" s="145"/>
      <c r="P1" s="145"/>
      <c r="Q1" s="145"/>
      <c r="R1" s="145"/>
      <c r="S1" s="145"/>
      <c r="T1" s="145"/>
      <c r="U1" s="145"/>
      <c r="V1" s="145"/>
      <c r="W1" s="145"/>
      <c r="X1" s="145"/>
      <c r="Y1" s="145"/>
    </row>
    <row r="2" spans="1:25" x14ac:dyDescent="0.2">
      <c r="A2" s="468" t="s">
        <v>399</v>
      </c>
      <c r="B2" s="469"/>
      <c r="C2" s="469"/>
      <c r="D2" s="469"/>
      <c r="E2" s="469"/>
      <c r="F2" s="469"/>
      <c r="G2" s="469"/>
      <c r="H2" s="544" t="s">
        <v>400</v>
      </c>
      <c r="I2" s="544"/>
      <c r="J2" s="544"/>
      <c r="K2" s="544"/>
      <c r="L2" s="544"/>
      <c r="M2" s="544"/>
      <c r="N2" s="544"/>
      <c r="O2" s="544"/>
      <c r="P2" s="544"/>
      <c r="Q2" s="544"/>
      <c r="R2" s="544"/>
      <c r="S2" s="544"/>
      <c r="T2" s="532" t="s">
        <v>155</v>
      </c>
      <c r="U2" s="532"/>
      <c r="V2" s="532"/>
      <c r="W2" s="582" t="s">
        <v>401</v>
      </c>
      <c r="X2" s="582"/>
      <c r="Y2" s="582"/>
    </row>
    <row r="3" spans="1:25" ht="15" customHeight="1" x14ac:dyDescent="0.2">
      <c r="A3" s="546" t="s">
        <v>157</v>
      </c>
      <c r="B3" s="501" t="s">
        <v>7</v>
      </c>
      <c r="C3" s="501" t="s">
        <v>9</v>
      </c>
      <c r="D3" s="501" t="s">
        <v>11</v>
      </c>
      <c r="E3" s="547" t="s">
        <v>15</v>
      </c>
      <c r="F3" s="501" t="s">
        <v>402</v>
      </c>
      <c r="G3" s="547" t="s">
        <v>403</v>
      </c>
      <c r="H3" s="482" t="s">
        <v>173</v>
      </c>
      <c r="I3" s="482" t="s">
        <v>174</v>
      </c>
      <c r="J3" s="482" t="s">
        <v>175</v>
      </c>
      <c r="K3" s="514" t="s">
        <v>176</v>
      </c>
      <c r="L3" s="514" t="s">
        <v>177</v>
      </c>
      <c r="M3" s="514" t="s">
        <v>176</v>
      </c>
      <c r="N3" s="514" t="s">
        <v>178</v>
      </c>
      <c r="O3" s="514" t="s">
        <v>176</v>
      </c>
      <c r="P3" s="514" t="s">
        <v>179</v>
      </c>
      <c r="Q3" s="514" t="s">
        <v>176</v>
      </c>
      <c r="R3" s="514" t="s">
        <v>180</v>
      </c>
      <c r="S3" s="514" t="s">
        <v>53</v>
      </c>
      <c r="T3" s="533" t="s">
        <v>176</v>
      </c>
      <c r="U3" s="533" t="s">
        <v>188</v>
      </c>
      <c r="V3" s="533" t="s">
        <v>404</v>
      </c>
      <c r="W3" s="537" t="s">
        <v>176</v>
      </c>
      <c r="X3" s="537" t="s">
        <v>405</v>
      </c>
      <c r="Y3" s="537" t="s">
        <v>53</v>
      </c>
    </row>
    <row r="4" spans="1:25" ht="13.5" customHeight="1" x14ac:dyDescent="0.2">
      <c r="A4" s="546"/>
      <c r="B4" s="501"/>
      <c r="C4" s="501"/>
      <c r="D4" s="501"/>
      <c r="E4" s="547"/>
      <c r="F4" s="501"/>
      <c r="G4" s="547"/>
      <c r="H4" s="482"/>
      <c r="I4" s="482"/>
      <c r="J4" s="482"/>
      <c r="K4" s="514"/>
      <c r="L4" s="514"/>
      <c r="M4" s="514"/>
      <c r="N4" s="514"/>
      <c r="O4" s="514"/>
      <c r="P4" s="514"/>
      <c r="Q4" s="514"/>
      <c r="R4" s="514"/>
      <c r="S4" s="514"/>
      <c r="T4" s="533"/>
      <c r="U4" s="533"/>
      <c r="V4" s="533"/>
      <c r="W4" s="537"/>
      <c r="X4" s="537"/>
      <c r="Y4" s="537"/>
    </row>
    <row r="5" spans="1:25" ht="180.75" customHeight="1" x14ac:dyDescent="0.2">
      <c r="A5" s="463">
        <v>1</v>
      </c>
      <c r="B5" s="464" t="s">
        <v>73</v>
      </c>
      <c r="C5" s="464" t="s">
        <v>202</v>
      </c>
      <c r="D5" s="492"/>
      <c r="E5" s="464" t="s">
        <v>406</v>
      </c>
      <c r="F5" s="464" t="s">
        <v>407</v>
      </c>
      <c r="G5" s="492" t="s">
        <v>136</v>
      </c>
      <c r="H5" s="189" t="s">
        <v>408</v>
      </c>
      <c r="I5" s="189" t="s">
        <v>409</v>
      </c>
      <c r="J5" s="191">
        <v>45291</v>
      </c>
      <c r="K5" s="191">
        <v>44993</v>
      </c>
      <c r="L5" s="315" t="s">
        <v>410</v>
      </c>
      <c r="M5" s="360" t="s">
        <v>230</v>
      </c>
      <c r="N5" s="330" t="s">
        <v>411</v>
      </c>
      <c r="O5" s="373" t="s">
        <v>233</v>
      </c>
      <c r="P5" s="372" t="s">
        <v>412</v>
      </c>
      <c r="Q5" s="148"/>
      <c r="R5" s="143"/>
      <c r="S5" s="147"/>
      <c r="T5" s="309" t="s">
        <v>236</v>
      </c>
      <c r="V5" s="143" t="s">
        <v>413</v>
      </c>
      <c r="W5" s="745" t="s">
        <v>710</v>
      </c>
      <c r="X5" s="403" t="s">
        <v>714</v>
      </c>
      <c r="Y5" s="403" t="s">
        <v>715</v>
      </c>
    </row>
    <row r="6" spans="1:25" ht="15" customHeight="1" x14ac:dyDescent="0.2">
      <c r="A6" s="463"/>
      <c r="B6" s="464"/>
      <c r="C6" s="464"/>
      <c r="D6" s="492"/>
      <c r="E6" s="464"/>
      <c r="F6" s="464"/>
      <c r="G6" s="492"/>
      <c r="H6" s="189"/>
      <c r="I6" s="188"/>
      <c r="J6" s="191"/>
      <c r="K6" s="148"/>
      <c r="L6" s="143"/>
      <c r="M6" s="191"/>
      <c r="N6" s="189"/>
      <c r="O6" s="148"/>
      <c r="P6" s="143"/>
      <c r="Q6" s="148"/>
      <c r="R6" s="143"/>
      <c r="S6" s="147"/>
      <c r="T6" s="148"/>
      <c r="V6" s="143"/>
      <c r="W6" s="148"/>
      <c r="X6" s="143"/>
      <c r="Y6" s="147"/>
    </row>
    <row r="7" spans="1:25" ht="15" customHeight="1" x14ac:dyDescent="0.2">
      <c r="A7" s="463"/>
      <c r="B7" s="464"/>
      <c r="C7" s="464"/>
      <c r="D7" s="492"/>
      <c r="E7" s="464"/>
      <c r="F7" s="464"/>
      <c r="G7" s="492"/>
      <c r="H7" s="189"/>
      <c r="I7" s="188"/>
      <c r="J7" s="191"/>
      <c r="K7" s="148"/>
      <c r="L7" s="143"/>
      <c r="M7" s="191"/>
      <c r="N7" s="189"/>
      <c r="O7" s="148"/>
      <c r="P7" s="143"/>
      <c r="Q7" s="148"/>
      <c r="R7" s="143"/>
      <c r="S7" s="147"/>
      <c r="T7" s="148"/>
      <c r="U7" s="143"/>
      <c r="V7" s="143"/>
      <c r="W7" s="148"/>
      <c r="X7" s="143"/>
      <c r="Y7" s="147"/>
    </row>
    <row r="8" spans="1:25" ht="15" customHeight="1" x14ac:dyDescent="0.2">
      <c r="A8" s="463"/>
      <c r="B8" s="464"/>
      <c r="C8" s="464"/>
      <c r="D8" s="492"/>
      <c r="E8" s="464"/>
      <c r="F8" s="464"/>
      <c r="G8" s="492"/>
      <c r="H8" s="189"/>
      <c r="I8" s="188"/>
      <c r="J8" s="191"/>
      <c r="K8" s="148"/>
      <c r="L8" s="143"/>
      <c r="M8" s="191"/>
      <c r="N8" s="189"/>
      <c r="O8" s="148"/>
      <c r="P8" s="143"/>
      <c r="Q8" s="148"/>
      <c r="R8" s="143"/>
      <c r="S8" s="147"/>
      <c r="T8" s="148"/>
      <c r="U8" s="143"/>
      <c r="V8" s="143"/>
      <c r="W8" s="148"/>
      <c r="X8" s="143"/>
      <c r="Y8" s="147"/>
    </row>
    <row r="9" spans="1:25" ht="15" customHeight="1" x14ac:dyDescent="0.2">
      <c r="A9" s="463"/>
      <c r="B9" s="464"/>
      <c r="C9" s="464"/>
      <c r="D9" s="492"/>
      <c r="E9" s="464"/>
      <c r="F9" s="464"/>
      <c r="G9" s="492"/>
      <c r="H9" s="189"/>
      <c r="I9" s="188"/>
      <c r="J9" s="191"/>
      <c r="K9" s="148"/>
      <c r="L9" s="143"/>
      <c r="M9" s="191"/>
      <c r="N9" s="189"/>
      <c r="O9" s="148"/>
      <c r="P9" s="143"/>
      <c r="Q9" s="148"/>
      <c r="R9" s="143"/>
      <c r="S9" s="147"/>
      <c r="T9" s="148"/>
      <c r="U9" s="143"/>
      <c r="V9" s="143"/>
      <c r="W9" s="148"/>
      <c r="X9" s="143"/>
      <c r="Y9" s="147"/>
    </row>
    <row r="10" spans="1:25" ht="153" customHeight="1" x14ac:dyDescent="0.2">
      <c r="A10" s="463"/>
      <c r="B10" s="464"/>
      <c r="C10" s="464"/>
      <c r="D10" s="492"/>
      <c r="E10" s="464"/>
      <c r="F10" s="464"/>
      <c r="G10" s="492"/>
      <c r="H10" s="189"/>
      <c r="I10" s="188"/>
      <c r="J10" s="191"/>
      <c r="K10" s="148"/>
      <c r="L10" s="143"/>
      <c r="M10" s="191"/>
      <c r="N10" s="189"/>
      <c r="O10" s="148"/>
      <c r="P10" s="143"/>
      <c r="Q10" s="148"/>
      <c r="R10" s="143"/>
      <c r="S10" s="147"/>
      <c r="T10" s="148"/>
      <c r="U10" s="143"/>
      <c r="V10" s="143"/>
      <c r="W10" s="148"/>
      <c r="X10" s="143"/>
      <c r="Y10" s="147"/>
    </row>
    <row r="11" spans="1:25" ht="15" customHeight="1" x14ac:dyDescent="0.2">
      <c r="A11" s="463">
        <v>2</v>
      </c>
      <c r="B11" s="464"/>
      <c r="C11" s="464"/>
      <c r="D11" s="464"/>
      <c r="E11" s="464"/>
      <c r="F11" s="464"/>
      <c r="G11" s="492"/>
      <c r="H11" s="189"/>
      <c r="I11" s="188"/>
      <c r="J11" s="191"/>
      <c r="K11" s="148"/>
      <c r="L11" s="143"/>
      <c r="M11" s="191"/>
      <c r="N11" s="189"/>
      <c r="O11" s="148"/>
      <c r="P11" s="143"/>
      <c r="Q11" s="148"/>
      <c r="R11" s="143"/>
      <c r="S11" s="147"/>
      <c r="T11" s="148"/>
      <c r="U11" s="143"/>
      <c r="V11" s="143"/>
      <c r="W11" s="148"/>
      <c r="X11" s="143"/>
      <c r="Y11" s="147"/>
    </row>
    <row r="12" spans="1:25" ht="15" customHeight="1" x14ac:dyDescent="0.2">
      <c r="A12" s="463"/>
      <c r="B12" s="464"/>
      <c r="C12" s="464"/>
      <c r="D12" s="464"/>
      <c r="E12" s="464"/>
      <c r="F12" s="464"/>
      <c r="G12" s="492"/>
      <c r="H12" s="189"/>
      <c r="I12" s="188"/>
      <c r="J12" s="191"/>
      <c r="K12" s="148"/>
      <c r="L12" s="143"/>
      <c r="M12" s="191"/>
      <c r="N12" s="189"/>
      <c r="O12" s="148"/>
      <c r="P12" s="143"/>
      <c r="Q12" s="148"/>
      <c r="R12" s="143"/>
      <c r="S12" s="147"/>
      <c r="T12" s="148"/>
      <c r="U12" s="143"/>
      <c r="V12" s="143"/>
      <c r="W12" s="148"/>
      <c r="X12" s="143"/>
      <c r="Y12" s="147"/>
    </row>
    <row r="13" spans="1:25" ht="15" customHeight="1" x14ac:dyDescent="0.2">
      <c r="A13" s="463"/>
      <c r="B13" s="464"/>
      <c r="C13" s="464"/>
      <c r="D13" s="464"/>
      <c r="E13" s="464"/>
      <c r="F13" s="464"/>
      <c r="G13" s="492"/>
      <c r="H13" s="189"/>
      <c r="I13" s="188"/>
      <c r="J13" s="191"/>
      <c r="K13" s="148"/>
      <c r="L13" s="143"/>
      <c r="M13" s="191"/>
      <c r="N13" s="189"/>
      <c r="O13" s="148"/>
      <c r="P13" s="143"/>
      <c r="Q13" s="148"/>
      <c r="R13" s="143"/>
      <c r="S13" s="147"/>
      <c r="T13" s="148"/>
      <c r="U13" s="143"/>
      <c r="V13" s="143"/>
      <c r="W13" s="148"/>
      <c r="X13" s="143"/>
      <c r="Y13" s="147"/>
    </row>
    <row r="14" spans="1:25" ht="15" customHeight="1" x14ac:dyDescent="0.2">
      <c r="A14" s="463"/>
      <c r="B14" s="464"/>
      <c r="C14" s="464"/>
      <c r="D14" s="464"/>
      <c r="E14" s="464"/>
      <c r="F14" s="464"/>
      <c r="G14" s="492"/>
      <c r="H14" s="189"/>
      <c r="I14" s="188"/>
      <c r="J14" s="191"/>
      <c r="K14" s="148"/>
      <c r="L14" s="143"/>
      <c r="M14" s="191"/>
      <c r="N14" s="189"/>
      <c r="O14" s="148"/>
      <c r="P14" s="143"/>
      <c r="Q14" s="148"/>
      <c r="R14" s="143"/>
      <c r="S14" s="147"/>
      <c r="T14" s="148"/>
      <c r="U14" s="143"/>
      <c r="V14" s="143"/>
      <c r="W14" s="148"/>
      <c r="X14" s="143"/>
      <c r="Y14" s="147"/>
    </row>
    <row r="15" spans="1:25" ht="15" customHeight="1" x14ac:dyDescent="0.2">
      <c r="A15" s="463"/>
      <c r="B15" s="464"/>
      <c r="C15" s="464"/>
      <c r="D15" s="464"/>
      <c r="E15" s="464"/>
      <c r="F15" s="464"/>
      <c r="G15" s="492"/>
      <c r="H15" s="189"/>
      <c r="I15" s="188"/>
      <c r="J15" s="191"/>
      <c r="K15" s="148"/>
      <c r="L15" s="143"/>
      <c r="M15" s="191"/>
      <c r="N15" s="189"/>
      <c r="O15" s="148"/>
      <c r="P15" s="143"/>
      <c r="Q15" s="148"/>
      <c r="R15" s="143"/>
      <c r="S15" s="147"/>
      <c r="T15" s="148"/>
      <c r="U15" s="143"/>
      <c r="V15" s="143"/>
      <c r="W15" s="148"/>
      <c r="X15" s="143"/>
      <c r="Y15" s="147"/>
    </row>
    <row r="16" spans="1:25" ht="15" customHeight="1" x14ac:dyDescent="0.2">
      <c r="A16" s="463"/>
      <c r="B16" s="464"/>
      <c r="C16" s="464"/>
      <c r="D16" s="464"/>
      <c r="E16" s="464"/>
      <c r="F16" s="464"/>
      <c r="G16" s="492"/>
      <c r="H16" s="189"/>
      <c r="I16" s="188"/>
      <c r="J16" s="191"/>
      <c r="K16" s="148"/>
      <c r="L16" s="143"/>
      <c r="M16" s="191"/>
      <c r="N16" s="189"/>
      <c r="O16" s="148"/>
      <c r="P16" s="143"/>
      <c r="Q16" s="148"/>
      <c r="R16" s="143"/>
      <c r="S16" s="147"/>
      <c r="T16" s="148"/>
      <c r="U16" s="143"/>
      <c r="V16" s="143"/>
      <c r="W16" s="148"/>
      <c r="X16" s="143"/>
      <c r="Y16" s="147"/>
    </row>
    <row r="17" spans="1:25" ht="15" customHeight="1" x14ac:dyDescent="0.2">
      <c r="A17" s="463">
        <v>3</v>
      </c>
      <c r="B17" s="464"/>
      <c r="C17" s="464"/>
      <c r="D17" s="464"/>
      <c r="E17" s="464"/>
      <c r="F17" s="464"/>
      <c r="G17" s="492"/>
      <c r="H17" s="189"/>
      <c r="I17" s="188"/>
      <c r="J17" s="191"/>
      <c r="K17" s="148"/>
      <c r="L17" s="143"/>
      <c r="M17" s="191"/>
      <c r="N17" s="189"/>
      <c r="O17" s="148"/>
      <c r="P17" s="143"/>
      <c r="Q17" s="148"/>
      <c r="R17" s="143"/>
      <c r="S17" s="147"/>
      <c r="T17" s="148"/>
      <c r="U17" s="143"/>
      <c r="V17" s="143"/>
      <c r="W17" s="148"/>
      <c r="X17" s="143"/>
      <c r="Y17" s="147"/>
    </row>
    <row r="18" spans="1:25" ht="15" customHeight="1" x14ac:dyDescent="0.2">
      <c r="A18" s="463"/>
      <c r="B18" s="464"/>
      <c r="C18" s="464"/>
      <c r="D18" s="464"/>
      <c r="E18" s="464"/>
      <c r="F18" s="464"/>
      <c r="G18" s="492"/>
      <c r="H18" s="189"/>
      <c r="I18" s="188"/>
      <c r="J18" s="191"/>
      <c r="K18" s="148"/>
      <c r="L18" s="143"/>
      <c r="M18" s="191"/>
      <c r="N18" s="189"/>
      <c r="O18" s="148"/>
      <c r="P18" s="143"/>
      <c r="Q18" s="148"/>
      <c r="R18" s="143"/>
      <c r="S18" s="147"/>
      <c r="T18" s="148"/>
      <c r="U18" s="143"/>
      <c r="V18" s="143"/>
      <c r="W18" s="148"/>
      <c r="X18" s="143"/>
      <c r="Y18" s="147"/>
    </row>
    <row r="19" spans="1:25" ht="15" customHeight="1" x14ac:dyDescent="0.2">
      <c r="A19" s="463"/>
      <c r="B19" s="464"/>
      <c r="C19" s="464"/>
      <c r="D19" s="464"/>
      <c r="E19" s="464"/>
      <c r="F19" s="464"/>
      <c r="G19" s="492"/>
      <c r="H19" s="189"/>
      <c r="I19" s="188"/>
      <c r="J19" s="191"/>
      <c r="K19" s="148"/>
      <c r="L19" s="143"/>
      <c r="M19" s="191"/>
      <c r="N19" s="189"/>
      <c r="O19" s="148"/>
      <c r="P19" s="143"/>
      <c r="Q19" s="148"/>
      <c r="R19" s="143"/>
      <c r="S19" s="147"/>
      <c r="T19" s="148"/>
      <c r="U19" s="143"/>
      <c r="V19" s="143"/>
      <c r="W19" s="148"/>
      <c r="X19" s="143"/>
      <c r="Y19" s="147"/>
    </row>
    <row r="20" spans="1:25" ht="15" customHeight="1" x14ac:dyDescent="0.2">
      <c r="A20" s="463"/>
      <c r="B20" s="464"/>
      <c r="C20" s="464"/>
      <c r="D20" s="464"/>
      <c r="E20" s="464"/>
      <c r="F20" s="464"/>
      <c r="G20" s="492"/>
      <c r="H20" s="189"/>
      <c r="I20" s="188"/>
      <c r="J20" s="191"/>
      <c r="K20" s="148"/>
      <c r="L20" s="143"/>
      <c r="M20" s="191"/>
      <c r="N20" s="189"/>
      <c r="O20" s="148"/>
      <c r="P20" s="143"/>
      <c r="Q20" s="148"/>
      <c r="R20" s="143"/>
      <c r="S20" s="147"/>
      <c r="T20" s="148"/>
      <c r="U20" s="143"/>
      <c r="V20" s="143"/>
      <c r="W20" s="148"/>
      <c r="X20" s="143"/>
      <c r="Y20" s="147"/>
    </row>
    <row r="21" spans="1:25" ht="15" customHeight="1" x14ac:dyDescent="0.2">
      <c r="A21" s="463"/>
      <c r="B21" s="464"/>
      <c r="C21" s="464"/>
      <c r="D21" s="464"/>
      <c r="E21" s="464"/>
      <c r="F21" s="464"/>
      <c r="G21" s="492"/>
      <c r="H21" s="189"/>
      <c r="I21" s="188"/>
      <c r="J21" s="191"/>
      <c r="K21" s="148"/>
      <c r="L21" s="143"/>
      <c r="M21" s="191"/>
      <c r="N21" s="189"/>
      <c r="O21" s="148"/>
      <c r="P21" s="143"/>
      <c r="Q21" s="148"/>
      <c r="R21" s="143"/>
      <c r="S21" s="147"/>
      <c r="T21" s="148"/>
      <c r="U21" s="143"/>
      <c r="V21" s="143"/>
      <c r="W21" s="148"/>
      <c r="X21" s="143"/>
      <c r="Y21" s="147"/>
    </row>
    <row r="22" spans="1:25" ht="15" customHeight="1" x14ac:dyDescent="0.2">
      <c r="A22" s="463"/>
      <c r="B22" s="464"/>
      <c r="C22" s="464"/>
      <c r="D22" s="464"/>
      <c r="E22" s="464"/>
      <c r="F22" s="464"/>
      <c r="G22" s="492"/>
      <c r="H22" s="189"/>
      <c r="I22" s="188"/>
      <c r="J22" s="191"/>
      <c r="K22" s="148"/>
      <c r="L22" s="143"/>
      <c r="M22" s="191"/>
      <c r="N22" s="189"/>
      <c r="O22" s="148"/>
      <c r="P22" s="143"/>
      <c r="Q22" s="148"/>
      <c r="R22" s="143"/>
      <c r="S22" s="147"/>
      <c r="T22" s="148"/>
      <c r="U22" s="143"/>
      <c r="V22" s="143"/>
      <c r="W22" s="148"/>
      <c r="X22" s="143"/>
      <c r="Y22" s="147"/>
    </row>
    <row r="23" spans="1:25" ht="15" customHeight="1" x14ac:dyDescent="0.2">
      <c r="A23" s="463">
        <v>4</v>
      </c>
      <c r="B23" s="464"/>
      <c r="C23" s="464"/>
      <c r="D23" s="464"/>
      <c r="E23" s="464"/>
      <c r="F23" s="464"/>
      <c r="G23" s="492"/>
      <c r="H23" s="189"/>
      <c r="I23" s="188"/>
      <c r="J23" s="191"/>
      <c r="K23" s="148"/>
      <c r="L23" s="143"/>
      <c r="M23" s="191"/>
      <c r="N23" s="189"/>
      <c r="O23" s="148"/>
      <c r="P23" s="143"/>
      <c r="Q23" s="148"/>
      <c r="R23" s="143"/>
      <c r="S23" s="147"/>
      <c r="T23" s="148"/>
      <c r="U23" s="143"/>
      <c r="V23" s="143"/>
      <c r="W23" s="148"/>
      <c r="X23" s="143"/>
      <c r="Y23" s="147"/>
    </row>
    <row r="24" spans="1:25" ht="15" customHeight="1" x14ac:dyDescent="0.2">
      <c r="A24" s="463"/>
      <c r="B24" s="464"/>
      <c r="C24" s="464"/>
      <c r="D24" s="464"/>
      <c r="E24" s="464"/>
      <c r="F24" s="464"/>
      <c r="G24" s="492"/>
      <c r="H24" s="189"/>
      <c r="I24" s="188"/>
      <c r="J24" s="191"/>
      <c r="K24" s="148"/>
      <c r="L24" s="143"/>
      <c r="M24" s="191"/>
      <c r="N24" s="189"/>
      <c r="O24" s="148"/>
      <c r="P24" s="143"/>
      <c r="Q24" s="148"/>
      <c r="R24" s="143"/>
      <c r="S24" s="147"/>
      <c r="T24" s="148"/>
      <c r="U24" s="143"/>
      <c r="V24" s="143"/>
      <c r="W24" s="148"/>
      <c r="X24" s="143"/>
      <c r="Y24" s="147"/>
    </row>
    <row r="25" spans="1:25" ht="15" customHeight="1" x14ac:dyDescent="0.2">
      <c r="A25" s="463"/>
      <c r="B25" s="464"/>
      <c r="C25" s="464"/>
      <c r="D25" s="464"/>
      <c r="E25" s="464"/>
      <c r="F25" s="464"/>
      <c r="G25" s="492"/>
      <c r="H25" s="189"/>
      <c r="I25" s="188"/>
      <c r="J25" s="191"/>
      <c r="K25" s="148"/>
      <c r="L25" s="143"/>
      <c r="M25" s="191"/>
      <c r="N25" s="189"/>
      <c r="O25" s="148"/>
      <c r="P25" s="143"/>
      <c r="Q25" s="148"/>
      <c r="R25" s="143"/>
      <c r="S25" s="147"/>
      <c r="T25" s="148"/>
      <c r="U25" s="143"/>
      <c r="V25" s="143"/>
      <c r="W25" s="148"/>
      <c r="X25" s="143"/>
      <c r="Y25" s="147"/>
    </row>
    <row r="26" spans="1:25" ht="15" customHeight="1" x14ac:dyDescent="0.2">
      <c r="A26" s="463"/>
      <c r="B26" s="464"/>
      <c r="C26" s="464"/>
      <c r="D26" s="464"/>
      <c r="E26" s="464"/>
      <c r="F26" s="464"/>
      <c r="G26" s="492"/>
      <c r="H26" s="189"/>
      <c r="I26" s="188"/>
      <c r="J26" s="191"/>
      <c r="K26" s="148"/>
      <c r="L26" s="143"/>
      <c r="M26" s="191"/>
      <c r="N26" s="189"/>
      <c r="O26" s="148"/>
      <c r="P26" s="143"/>
      <c r="Q26" s="148"/>
      <c r="R26" s="143"/>
      <c r="S26" s="147"/>
      <c r="T26" s="148"/>
      <c r="U26" s="143"/>
      <c r="V26" s="143"/>
      <c r="W26" s="148"/>
      <c r="X26" s="143"/>
      <c r="Y26" s="147"/>
    </row>
    <row r="27" spans="1:25" ht="15" customHeight="1" x14ac:dyDescent="0.2">
      <c r="A27" s="463"/>
      <c r="B27" s="464"/>
      <c r="C27" s="464"/>
      <c r="D27" s="464"/>
      <c r="E27" s="464"/>
      <c r="F27" s="464"/>
      <c r="G27" s="492"/>
      <c r="H27" s="189"/>
      <c r="I27" s="188"/>
      <c r="J27" s="191"/>
      <c r="K27" s="148"/>
      <c r="L27" s="143"/>
      <c r="M27" s="191"/>
      <c r="N27" s="189"/>
      <c r="O27" s="148"/>
      <c r="P27" s="143"/>
      <c r="Q27" s="148"/>
      <c r="R27" s="143"/>
      <c r="S27" s="147"/>
      <c r="T27" s="148"/>
      <c r="U27" s="143"/>
      <c r="V27" s="143"/>
      <c r="W27" s="148"/>
      <c r="X27" s="143"/>
      <c r="Y27" s="147"/>
    </row>
    <row r="28" spans="1:25" ht="15" customHeight="1" x14ac:dyDescent="0.2">
      <c r="A28" s="463"/>
      <c r="B28" s="464"/>
      <c r="C28" s="464"/>
      <c r="D28" s="464"/>
      <c r="E28" s="464"/>
      <c r="F28" s="464"/>
      <c r="G28" s="492"/>
      <c r="H28" s="189"/>
      <c r="I28" s="188"/>
      <c r="J28" s="191"/>
      <c r="K28" s="148"/>
      <c r="L28" s="143"/>
      <c r="M28" s="191"/>
      <c r="N28" s="189"/>
      <c r="O28" s="148"/>
      <c r="P28" s="143"/>
      <c r="Q28" s="148"/>
      <c r="R28" s="143"/>
      <c r="S28" s="147"/>
      <c r="T28" s="148"/>
      <c r="U28" s="143"/>
      <c r="V28" s="143"/>
      <c r="W28" s="148"/>
      <c r="X28" s="143"/>
      <c r="Y28" s="147"/>
    </row>
    <row r="29" spans="1:25" ht="15" customHeight="1" x14ac:dyDescent="0.2">
      <c r="A29" s="463">
        <v>5</v>
      </c>
      <c r="B29" s="464"/>
      <c r="C29" s="464"/>
      <c r="D29" s="464"/>
      <c r="E29" s="464"/>
      <c r="F29" s="464"/>
      <c r="G29" s="492"/>
      <c r="H29" s="189"/>
      <c r="I29" s="188"/>
      <c r="J29" s="191"/>
      <c r="K29" s="148"/>
      <c r="L29" s="143"/>
      <c r="M29" s="191"/>
      <c r="N29" s="189"/>
      <c r="O29" s="148"/>
      <c r="P29" s="143"/>
      <c r="Q29" s="148"/>
      <c r="R29" s="143"/>
      <c r="S29" s="147"/>
      <c r="T29" s="148"/>
      <c r="U29" s="143"/>
      <c r="V29" s="143"/>
      <c r="W29" s="148"/>
      <c r="X29" s="143"/>
      <c r="Y29" s="147"/>
    </row>
    <row r="30" spans="1:25" ht="15" customHeight="1" x14ac:dyDescent="0.2">
      <c r="A30" s="463"/>
      <c r="B30" s="464"/>
      <c r="C30" s="464"/>
      <c r="D30" s="464"/>
      <c r="E30" s="464"/>
      <c r="F30" s="464"/>
      <c r="G30" s="492"/>
      <c r="H30" s="189"/>
      <c r="I30" s="188"/>
      <c r="J30" s="191"/>
      <c r="K30" s="148"/>
      <c r="L30" s="143"/>
      <c r="M30" s="191"/>
      <c r="N30" s="189"/>
      <c r="O30" s="148"/>
      <c r="P30" s="143"/>
      <c r="Q30" s="148"/>
      <c r="R30" s="143"/>
      <c r="S30" s="147"/>
      <c r="T30" s="148"/>
      <c r="U30" s="143"/>
      <c r="V30" s="143"/>
      <c r="W30" s="148"/>
      <c r="X30" s="143"/>
      <c r="Y30" s="147"/>
    </row>
    <row r="31" spans="1:25" ht="15" customHeight="1" x14ac:dyDescent="0.2">
      <c r="A31" s="463"/>
      <c r="B31" s="464"/>
      <c r="C31" s="464"/>
      <c r="D31" s="464"/>
      <c r="E31" s="464"/>
      <c r="F31" s="464"/>
      <c r="G31" s="492"/>
      <c r="H31" s="189"/>
      <c r="I31" s="188"/>
      <c r="J31" s="191"/>
      <c r="K31" s="148"/>
      <c r="L31" s="143"/>
      <c r="M31" s="191"/>
      <c r="N31" s="189"/>
      <c r="O31" s="148"/>
      <c r="P31" s="143"/>
      <c r="Q31" s="148"/>
      <c r="R31" s="143"/>
      <c r="S31" s="147"/>
      <c r="T31" s="148"/>
      <c r="U31" s="143"/>
      <c r="V31" s="143"/>
      <c r="W31" s="148"/>
      <c r="X31" s="143"/>
      <c r="Y31" s="147"/>
    </row>
    <row r="32" spans="1:25" ht="15" customHeight="1" x14ac:dyDescent="0.2">
      <c r="A32" s="463"/>
      <c r="B32" s="464"/>
      <c r="C32" s="464"/>
      <c r="D32" s="464"/>
      <c r="E32" s="464"/>
      <c r="F32" s="464"/>
      <c r="G32" s="492"/>
      <c r="H32" s="189"/>
      <c r="I32" s="188"/>
      <c r="J32" s="191"/>
      <c r="K32" s="148"/>
      <c r="L32" s="143"/>
      <c r="M32" s="191"/>
      <c r="N32" s="189"/>
      <c r="O32" s="148"/>
      <c r="P32" s="143"/>
      <c r="Q32" s="148"/>
      <c r="R32" s="143"/>
      <c r="S32" s="147"/>
      <c r="T32" s="148"/>
      <c r="U32" s="143"/>
      <c r="V32" s="143"/>
      <c r="W32" s="148"/>
      <c r="X32" s="143"/>
      <c r="Y32" s="147"/>
    </row>
    <row r="33" spans="1:25" ht="15" customHeight="1" x14ac:dyDescent="0.2">
      <c r="A33" s="463"/>
      <c r="B33" s="464"/>
      <c r="C33" s="464"/>
      <c r="D33" s="464"/>
      <c r="E33" s="464"/>
      <c r="F33" s="464"/>
      <c r="G33" s="492"/>
      <c r="H33" s="189"/>
      <c r="I33" s="188"/>
      <c r="J33" s="191"/>
      <c r="K33" s="148"/>
      <c r="L33" s="143"/>
      <c r="M33" s="191"/>
      <c r="N33" s="189"/>
      <c r="O33" s="148"/>
      <c r="P33" s="143"/>
      <c r="Q33" s="148"/>
      <c r="R33" s="143"/>
      <c r="S33" s="147"/>
      <c r="T33" s="148"/>
      <c r="U33" s="143"/>
      <c r="V33" s="143"/>
      <c r="W33" s="148"/>
      <c r="X33" s="143"/>
      <c r="Y33" s="147"/>
    </row>
    <row r="34" spans="1:25" ht="15" customHeight="1" x14ac:dyDescent="0.2">
      <c r="A34" s="463"/>
      <c r="B34" s="464"/>
      <c r="C34" s="464"/>
      <c r="D34" s="464"/>
      <c r="E34" s="464"/>
      <c r="F34" s="464"/>
      <c r="G34" s="492"/>
      <c r="H34" s="189"/>
      <c r="I34" s="188"/>
      <c r="J34" s="191"/>
      <c r="K34" s="148"/>
      <c r="L34" s="143"/>
      <c r="M34" s="191"/>
      <c r="N34" s="189"/>
      <c r="O34" s="148"/>
      <c r="P34" s="143"/>
      <c r="Q34" s="148"/>
      <c r="R34" s="143"/>
      <c r="S34" s="147"/>
      <c r="T34" s="148"/>
      <c r="U34" s="143"/>
      <c r="V34" s="143"/>
      <c r="W34" s="148"/>
      <c r="X34" s="143"/>
      <c r="Y34" s="147"/>
    </row>
    <row r="35" spans="1:25" ht="15" customHeight="1" x14ac:dyDescent="0.2">
      <c r="A35" s="463">
        <v>6</v>
      </c>
      <c r="B35" s="464"/>
      <c r="C35" s="464"/>
      <c r="D35" s="464"/>
      <c r="E35" s="464"/>
      <c r="F35" s="464"/>
      <c r="G35" s="492"/>
      <c r="H35" s="189"/>
      <c r="I35" s="188"/>
      <c r="J35" s="191"/>
      <c r="K35" s="148"/>
      <c r="L35" s="143"/>
      <c r="M35" s="191"/>
      <c r="N35" s="189"/>
      <c r="O35" s="148"/>
      <c r="P35" s="143"/>
      <c r="Q35" s="148"/>
      <c r="R35" s="143"/>
      <c r="S35" s="147"/>
      <c r="T35" s="148"/>
      <c r="U35" s="143"/>
      <c r="V35" s="143"/>
      <c r="W35" s="148"/>
      <c r="X35" s="143"/>
      <c r="Y35" s="147"/>
    </row>
    <row r="36" spans="1:25" ht="15" customHeight="1" x14ac:dyDescent="0.2">
      <c r="A36" s="463"/>
      <c r="B36" s="464"/>
      <c r="C36" s="464"/>
      <c r="D36" s="464"/>
      <c r="E36" s="464"/>
      <c r="F36" s="464"/>
      <c r="G36" s="492"/>
      <c r="H36" s="189"/>
      <c r="I36" s="188"/>
      <c r="J36" s="191"/>
      <c r="K36" s="148"/>
      <c r="L36" s="143"/>
      <c r="M36" s="148"/>
      <c r="N36" s="143"/>
      <c r="O36" s="148"/>
      <c r="P36" s="143"/>
      <c r="Q36" s="148"/>
      <c r="R36" s="143"/>
      <c r="S36" s="147"/>
      <c r="T36" s="148"/>
      <c r="U36" s="143"/>
      <c r="V36" s="143"/>
      <c r="W36" s="148"/>
      <c r="X36" s="143"/>
      <c r="Y36" s="147"/>
    </row>
    <row r="37" spans="1:25" ht="15" customHeight="1" x14ac:dyDescent="0.2">
      <c r="A37" s="463"/>
      <c r="B37" s="464"/>
      <c r="C37" s="464"/>
      <c r="D37" s="464"/>
      <c r="E37" s="464"/>
      <c r="F37" s="464"/>
      <c r="G37" s="492"/>
      <c r="H37" s="189"/>
      <c r="I37" s="188"/>
      <c r="J37" s="191"/>
      <c r="K37" s="148"/>
      <c r="L37" s="143"/>
      <c r="M37" s="148"/>
      <c r="N37" s="143"/>
      <c r="O37" s="148"/>
      <c r="P37" s="143"/>
      <c r="Q37" s="148"/>
      <c r="R37" s="143"/>
      <c r="S37" s="147"/>
      <c r="T37" s="148"/>
      <c r="U37" s="143"/>
      <c r="V37" s="143"/>
      <c r="W37" s="148"/>
      <c r="X37" s="143"/>
      <c r="Y37" s="147"/>
    </row>
    <row r="38" spans="1:25" ht="15" customHeight="1" x14ac:dyDescent="0.2">
      <c r="A38" s="463"/>
      <c r="B38" s="464"/>
      <c r="C38" s="464"/>
      <c r="D38" s="464"/>
      <c r="E38" s="464"/>
      <c r="F38" s="464"/>
      <c r="G38" s="492"/>
      <c r="H38" s="189"/>
      <c r="I38" s="188"/>
      <c r="J38" s="191"/>
      <c r="K38" s="148"/>
      <c r="L38" s="143"/>
      <c r="M38" s="148"/>
      <c r="N38" s="143"/>
      <c r="O38" s="148"/>
      <c r="P38" s="143"/>
      <c r="Q38" s="148"/>
      <c r="R38" s="143"/>
      <c r="S38" s="147"/>
      <c r="T38" s="148"/>
      <c r="U38" s="143"/>
      <c r="V38" s="143"/>
      <c r="W38" s="148"/>
      <c r="X38" s="143"/>
      <c r="Y38" s="147"/>
    </row>
    <row r="39" spans="1:25" ht="15" customHeight="1" x14ac:dyDescent="0.2">
      <c r="A39" s="463"/>
      <c r="B39" s="464"/>
      <c r="C39" s="464"/>
      <c r="D39" s="464"/>
      <c r="E39" s="464"/>
      <c r="F39" s="464"/>
      <c r="G39" s="492"/>
      <c r="H39" s="189"/>
      <c r="I39" s="188"/>
      <c r="J39" s="191"/>
      <c r="K39" s="148"/>
      <c r="L39" s="143"/>
      <c r="M39" s="148"/>
      <c r="N39" s="143"/>
      <c r="O39" s="148"/>
      <c r="P39" s="143"/>
      <c r="Q39" s="148"/>
      <c r="R39" s="143"/>
      <c r="S39" s="147"/>
      <c r="T39" s="148"/>
      <c r="U39" s="143"/>
      <c r="V39" s="143"/>
      <c r="W39" s="148"/>
      <c r="X39" s="143"/>
      <c r="Y39" s="147"/>
    </row>
    <row r="40" spans="1:25" ht="15" customHeight="1" x14ac:dyDescent="0.2">
      <c r="A40" s="463"/>
      <c r="B40" s="464"/>
      <c r="C40" s="464"/>
      <c r="D40" s="464"/>
      <c r="E40" s="464"/>
      <c r="F40" s="464"/>
      <c r="G40" s="492"/>
      <c r="H40" s="189"/>
      <c r="I40" s="188"/>
      <c r="J40" s="191"/>
      <c r="K40" s="148"/>
      <c r="L40" s="143"/>
      <c r="M40" s="148"/>
      <c r="N40" s="143"/>
      <c r="O40" s="148"/>
      <c r="P40" s="143"/>
      <c r="Q40" s="148"/>
      <c r="R40" s="143"/>
      <c r="S40" s="147"/>
      <c r="T40" s="148"/>
      <c r="U40" s="143"/>
      <c r="V40" s="143"/>
      <c r="W40" s="148"/>
      <c r="X40" s="143"/>
      <c r="Y40" s="147"/>
    </row>
    <row r="41" spans="1:25" ht="15" customHeight="1" x14ac:dyDescent="0.2">
      <c r="A41" s="463">
        <v>7</v>
      </c>
      <c r="B41" s="464"/>
      <c r="C41" s="464"/>
      <c r="D41" s="464"/>
      <c r="E41" s="464"/>
      <c r="F41" s="464"/>
      <c r="G41" s="492"/>
      <c r="H41" s="189"/>
      <c r="I41" s="188"/>
      <c r="J41" s="191"/>
      <c r="K41" s="148"/>
      <c r="L41" s="143"/>
      <c r="M41" s="148"/>
      <c r="N41" s="143"/>
      <c r="O41" s="148"/>
      <c r="P41" s="143"/>
      <c r="Q41" s="148"/>
      <c r="R41" s="143"/>
      <c r="S41" s="147"/>
      <c r="T41" s="148"/>
      <c r="U41" s="143"/>
      <c r="V41" s="143"/>
      <c r="W41" s="148"/>
      <c r="X41" s="143"/>
      <c r="Y41" s="147"/>
    </row>
    <row r="42" spans="1:25" ht="15" customHeight="1" x14ac:dyDescent="0.2">
      <c r="A42" s="463"/>
      <c r="B42" s="464"/>
      <c r="C42" s="464"/>
      <c r="D42" s="464"/>
      <c r="E42" s="464"/>
      <c r="F42" s="464"/>
      <c r="G42" s="492"/>
      <c r="H42" s="189"/>
      <c r="I42" s="188"/>
      <c r="J42" s="191"/>
      <c r="K42" s="148"/>
      <c r="L42" s="143"/>
      <c r="M42" s="148"/>
      <c r="N42" s="143"/>
      <c r="O42" s="148"/>
      <c r="P42" s="143"/>
      <c r="Q42" s="148"/>
      <c r="R42" s="143"/>
      <c r="S42" s="147"/>
      <c r="T42" s="148"/>
      <c r="U42" s="143"/>
      <c r="V42" s="143"/>
      <c r="W42" s="148"/>
      <c r="X42" s="143"/>
      <c r="Y42" s="147"/>
    </row>
    <row r="43" spans="1:25" ht="15" customHeight="1" x14ac:dyDescent="0.2">
      <c r="A43" s="463"/>
      <c r="B43" s="464"/>
      <c r="C43" s="464"/>
      <c r="D43" s="464"/>
      <c r="E43" s="464"/>
      <c r="F43" s="464"/>
      <c r="G43" s="492"/>
      <c r="H43" s="189"/>
      <c r="I43" s="188"/>
      <c r="J43" s="191"/>
      <c r="K43" s="148"/>
      <c r="L43" s="143"/>
      <c r="M43" s="148"/>
      <c r="N43" s="143"/>
      <c r="O43" s="148"/>
      <c r="P43" s="143"/>
      <c r="Q43" s="148"/>
      <c r="R43" s="143"/>
      <c r="S43" s="147"/>
      <c r="T43" s="148"/>
      <c r="U43" s="143"/>
      <c r="V43" s="143"/>
      <c r="W43" s="148"/>
      <c r="X43" s="143"/>
      <c r="Y43" s="147"/>
    </row>
    <row r="44" spans="1:25" ht="15" customHeight="1" x14ac:dyDescent="0.2">
      <c r="A44" s="463"/>
      <c r="B44" s="464"/>
      <c r="C44" s="464"/>
      <c r="D44" s="464"/>
      <c r="E44" s="464"/>
      <c r="F44" s="464"/>
      <c r="G44" s="492"/>
      <c r="H44" s="189"/>
      <c r="I44" s="188"/>
      <c r="J44" s="191"/>
      <c r="K44" s="148"/>
      <c r="L44" s="143"/>
      <c r="M44" s="148"/>
      <c r="N44" s="143"/>
      <c r="O44" s="148"/>
      <c r="P44" s="143"/>
      <c r="Q44" s="148"/>
      <c r="R44" s="143"/>
      <c r="S44" s="147"/>
      <c r="T44" s="148"/>
      <c r="U44" s="143"/>
      <c r="V44" s="143"/>
      <c r="W44" s="148"/>
      <c r="X44" s="143"/>
      <c r="Y44" s="147"/>
    </row>
    <row r="45" spans="1:25" ht="15" customHeight="1" x14ac:dyDescent="0.2">
      <c r="A45" s="463"/>
      <c r="B45" s="464"/>
      <c r="C45" s="464"/>
      <c r="D45" s="464"/>
      <c r="E45" s="464"/>
      <c r="F45" s="464"/>
      <c r="G45" s="492"/>
      <c r="H45" s="189"/>
      <c r="I45" s="188"/>
      <c r="J45" s="191"/>
      <c r="K45" s="148"/>
      <c r="L45" s="143"/>
      <c r="M45" s="148"/>
      <c r="N45" s="143"/>
      <c r="O45" s="148"/>
      <c r="P45" s="143"/>
      <c r="Q45" s="148"/>
      <c r="R45" s="143"/>
      <c r="S45" s="147"/>
      <c r="T45" s="148"/>
      <c r="U45" s="143"/>
      <c r="V45" s="143"/>
      <c r="W45" s="148"/>
      <c r="X45" s="143"/>
      <c r="Y45" s="147"/>
    </row>
    <row r="46" spans="1:25" ht="15" customHeight="1" x14ac:dyDescent="0.2">
      <c r="A46" s="463"/>
      <c r="B46" s="464"/>
      <c r="C46" s="464"/>
      <c r="D46" s="464"/>
      <c r="E46" s="464"/>
      <c r="F46" s="464"/>
      <c r="G46" s="492"/>
      <c r="H46" s="189"/>
      <c r="I46" s="188"/>
      <c r="J46" s="191"/>
      <c r="K46" s="148"/>
      <c r="L46" s="143"/>
      <c r="M46" s="148"/>
      <c r="N46" s="143"/>
      <c r="O46" s="148"/>
      <c r="P46" s="143"/>
      <c r="Q46" s="148"/>
      <c r="R46" s="143"/>
      <c r="S46" s="147"/>
      <c r="T46" s="148"/>
      <c r="U46" s="143"/>
      <c r="V46" s="143"/>
      <c r="W46" s="148"/>
      <c r="X46" s="143"/>
      <c r="Y46" s="147"/>
    </row>
    <row r="47" spans="1:25" ht="15" customHeight="1" x14ac:dyDescent="0.2">
      <c r="A47" s="463">
        <v>8</v>
      </c>
      <c r="B47" s="464"/>
      <c r="C47" s="464"/>
      <c r="D47" s="464"/>
      <c r="E47" s="464"/>
      <c r="F47" s="464"/>
      <c r="G47" s="492"/>
      <c r="H47" s="189"/>
      <c r="I47" s="188"/>
      <c r="J47" s="191"/>
      <c r="K47" s="148"/>
      <c r="L47" s="143"/>
      <c r="M47" s="148"/>
      <c r="N47" s="143"/>
      <c r="O47" s="148"/>
      <c r="P47" s="143"/>
      <c r="Q47" s="148"/>
      <c r="R47" s="143"/>
      <c r="S47" s="147"/>
      <c r="T47" s="148"/>
      <c r="U47" s="143"/>
      <c r="V47" s="143"/>
      <c r="W47" s="148"/>
      <c r="X47" s="143"/>
      <c r="Y47" s="147"/>
    </row>
    <row r="48" spans="1:25" ht="15" customHeight="1" x14ac:dyDescent="0.2">
      <c r="A48" s="463"/>
      <c r="B48" s="464"/>
      <c r="C48" s="464"/>
      <c r="D48" s="464"/>
      <c r="E48" s="464"/>
      <c r="F48" s="464"/>
      <c r="G48" s="492"/>
      <c r="H48" s="189"/>
      <c r="I48" s="188"/>
      <c r="J48" s="191"/>
      <c r="K48" s="148"/>
      <c r="L48" s="143"/>
      <c r="M48" s="148"/>
      <c r="N48" s="143"/>
      <c r="O48" s="148"/>
      <c r="P48" s="143"/>
      <c r="Q48" s="148"/>
      <c r="R48" s="143"/>
      <c r="S48" s="147"/>
      <c r="T48" s="148"/>
      <c r="U48" s="143"/>
      <c r="V48" s="143"/>
      <c r="W48" s="148"/>
      <c r="X48" s="143"/>
      <c r="Y48" s="147"/>
    </row>
    <row r="49" spans="1:25" ht="15" customHeight="1" x14ac:dyDescent="0.2">
      <c r="A49" s="463"/>
      <c r="B49" s="464"/>
      <c r="C49" s="464"/>
      <c r="D49" s="464"/>
      <c r="E49" s="464"/>
      <c r="F49" s="464"/>
      <c r="G49" s="492"/>
      <c r="H49" s="189"/>
      <c r="I49" s="188"/>
      <c r="J49" s="191"/>
      <c r="K49" s="148"/>
      <c r="L49" s="143"/>
      <c r="M49" s="148"/>
      <c r="N49" s="143"/>
      <c r="O49" s="148"/>
      <c r="P49" s="143"/>
      <c r="Q49" s="148"/>
      <c r="R49" s="143"/>
      <c r="S49" s="147"/>
      <c r="T49" s="148"/>
      <c r="U49" s="143"/>
      <c r="V49" s="143"/>
      <c r="W49" s="148"/>
      <c r="X49" s="143"/>
      <c r="Y49" s="147"/>
    </row>
    <row r="50" spans="1:25" ht="15" customHeight="1" x14ac:dyDescent="0.2">
      <c r="A50" s="463"/>
      <c r="B50" s="464"/>
      <c r="C50" s="464"/>
      <c r="D50" s="464"/>
      <c r="E50" s="464"/>
      <c r="F50" s="464"/>
      <c r="G50" s="492"/>
      <c r="H50" s="189"/>
      <c r="I50" s="188"/>
      <c r="J50" s="191"/>
      <c r="K50" s="148"/>
      <c r="L50" s="143"/>
      <c r="M50" s="148"/>
      <c r="N50" s="143"/>
      <c r="O50" s="148"/>
      <c r="P50" s="143"/>
      <c r="Q50" s="148"/>
      <c r="R50" s="143"/>
      <c r="S50" s="147"/>
      <c r="T50" s="148"/>
      <c r="U50" s="143"/>
      <c r="V50" s="143"/>
      <c r="W50" s="148"/>
      <c r="X50" s="143"/>
      <c r="Y50" s="147"/>
    </row>
    <row r="51" spans="1:25" ht="15" customHeight="1" x14ac:dyDescent="0.2">
      <c r="A51" s="463"/>
      <c r="B51" s="464"/>
      <c r="C51" s="464"/>
      <c r="D51" s="464"/>
      <c r="E51" s="464"/>
      <c r="F51" s="464"/>
      <c r="G51" s="492"/>
      <c r="H51" s="189"/>
      <c r="I51" s="188"/>
      <c r="J51" s="191"/>
      <c r="K51" s="148"/>
      <c r="L51" s="143"/>
      <c r="M51" s="148"/>
      <c r="N51" s="143"/>
      <c r="O51" s="148"/>
      <c r="P51" s="143"/>
      <c r="Q51" s="148"/>
      <c r="R51" s="143"/>
      <c r="S51" s="147"/>
      <c r="T51" s="148"/>
      <c r="U51" s="143"/>
      <c r="V51" s="143"/>
      <c r="W51" s="148"/>
      <c r="X51" s="143"/>
      <c r="Y51" s="147"/>
    </row>
    <row r="52" spans="1:25" ht="15" customHeight="1" x14ac:dyDescent="0.2">
      <c r="A52" s="463"/>
      <c r="B52" s="464"/>
      <c r="C52" s="464"/>
      <c r="D52" s="464"/>
      <c r="E52" s="464"/>
      <c r="F52" s="464"/>
      <c r="G52" s="492"/>
      <c r="H52" s="189"/>
      <c r="I52" s="188"/>
      <c r="J52" s="191"/>
      <c r="K52" s="148"/>
      <c r="L52" s="143"/>
      <c r="M52" s="148"/>
      <c r="N52" s="143"/>
      <c r="O52" s="148"/>
      <c r="P52" s="143"/>
      <c r="Q52" s="148"/>
      <c r="R52" s="143"/>
      <c r="S52" s="147"/>
      <c r="T52" s="148"/>
      <c r="U52" s="143"/>
      <c r="V52" s="143"/>
      <c r="W52" s="148"/>
      <c r="X52" s="143"/>
      <c r="Y52" s="147"/>
    </row>
    <row r="53" spans="1:25" ht="15" customHeight="1" x14ac:dyDescent="0.2">
      <c r="A53" s="463">
        <v>9</v>
      </c>
      <c r="B53" s="464"/>
      <c r="C53" s="464"/>
      <c r="D53" s="464"/>
      <c r="E53" s="464"/>
      <c r="F53" s="464"/>
      <c r="G53" s="492"/>
      <c r="H53" s="189"/>
      <c r="I53" s="188"/>
      <c r="J53" s="191"/>
      <c r="K53" s="148"/>
      <c r="L53" s="143"/>
      <c r="M53" s="148"/>
      <c r="N53" s="143"/>
      <c r="O53" s="148"/>
      <c r="P53" s="143"/>
      <c r="Q53" s="148"/>
      <c r="R53" s="143"/>
      <c r="S53" s="147"/>
      <c r="T53" s="148"/>
      <c r="U53" s="143"/>
      <c r="V53" s="143"/>
      <c r="W53" s="148"/>
      <c r="X53" s="143"/>
      <c r="Y53" s="147"/>
    </row>
    <row r="54" spans="1:25" ht="15" customHeight="1" x14ac:dyDescent="0.2">
      <c r="A54" s="463"/>
      <c r="B54" s="464"/>
      <c r="C54" s="464"/>
      <c r="D54" s="464"/>
      <c r="E54" s="464"/>
      <c r="F54" s="464"/>
      <c r="G54" s="492"/>
      <c r="H54" s="189"/>
      <c r="I54" s="188"/>
      <c r="J54" s="191"/>
      <c r="K54" s="148"/>
      <c r="L54" s="143"/>
      <c r="M54" s="148"/>
      <c r="N54" s="143"/>
      <c r="O54" s="148"/>
      <c r="P54" s="143"/>
      <c r="Q54" s="148"/>
      <c r="R54" s="143"/>
      <c r="S54" s="147"/>
      <c r="T54" s="148"/>
      <c r="U54" s="143"/>
      <c r="V54" s="143"/>
      <c r="W54" s="148"/>
      <c r="X54" s="143"/>
      <c r="Y54" s="147"/>
    </row>
    <row r="55" spans="1:25" ht="15" customHeight="1" x14ac:dyDescent="0.2">
      <c r="A55" s="463"/>
      <c r="B55" s="464"/>
      <c r="C55" s="464"/>
      <c r="D55" s="464"/>
      <c r="E55" s="464"/>
      <c r="F55" s="464"/>
      <c r="G55" s="492"/>
      <c r="H55" s="189"/>
      <c r="I55" s="188"/>
      <c r="J55" s="191"/>
      <c r="K55" s="148"/>
      <c r="L55" s="143"/>
      <c r="M55" s="148"/>
      <c r="N55" s="143"/>
      <c r="O55" s="148"/>
      <c r="P55" s="143"/>
      <c r="Q55" s="148"/>
      <c r="R55" s="143"/>
      <c r="S55" s="147"/>
      <c r="T55" s="148"/>
      <c r="U55" s="143"/>
      <c r="V55" s="143"/>
      <c r="W55" s="148"/>
      <c r="X55" s="143"/>
      <c r="Y55" s="147"/>
    </row>
    <row r="56" spans="1:25" ht="15" customHeight="1" x14ac:dyDescent="0.2">
      <c r="A56" s="463"/>
      <c r="B56" s="464"/>
      <c r="C56" s="464"/>
      <c r="D56" s="464"/>
      <c r="E56" s="464"/>
      <c r="F56" s="464"/>
      <c r="G56" s="492"/>
      <c r="H56" s="189"/>
      <c r="I56" s="188"/>
      <c r="J56" s="191"/>
      <c r="K56" s="148"/>
      <c r="L56" s="143"/>
      <c r="M56" s="148"/>
      <c r="N56" s="143"/>
      <c r="O56" s="148"/>
      <c r="P56" s="143"/>
      <c r="Q56" s="148"/>
      <c r="R56" s="143"/>
      <c r="S56" s="147"/>
      <c r="T56" s="148"/>
      <c r="U56" s="143"/>
      <c r="V56" s="143"/>
      <c r="W56" s="148"/>
      <c r="X56" s="143"/>
      <c r="Y56" s="147"/>
    </row>
    <row r="57" spans="1:25" ht="15" customHeight="1" x14ac:dyDescent="0.2">
      <c r="A57" s="463"/>
      <c r="B57" s="464"/>
      <c r="C57" s="464"/>
      <c r="D57" s="464"/>
      <c r="E57" s="464"/>
      <c r="F57" s="464"/>
      <c r="G57" s="492"/>
      <c r="H57" s="189"/>
      <c r="I57" s="188"/>
      <c r="J57" s="191"/>
      <c r="K57" s="148"/>
      <c r="L57" s="143"/>
      <c r="M57" s="148"/>
      <c r="N57" s="143"/>
      <c r="O57" s="148"/>
      <c r="P57" s="143"/>
      <c r="Q57" s="148"/>
      <c r="R57" s="143"/>
      <c r="S57" s="147"/>
      <c r="T57" s="148"/>
      <c r="U57" s="143"/>
      <c r="V57" s="143"/>
      <c r="W57" s="148"/>
      <c r="X57" s="143"/>
      <c r="Y57" s="147"/>
    </row>
    <row r="58" spans="1:25" ht="15" customHeight="1" x14ac:dyDescent="0.2">
      <c r="A58" s="463"/>
      <c r="B58" s="464"/>
      <c r="C58" s="464"/>
      <c r="D58" s="464"/>
      <c r="E58" s="464"/>
      <c r="F58" s="464"/>
      <c r="G58" s="492"/>
      <c r="H58" s="189"/>
      <c r="I58" s="188"/>
      <c r="J58" s="191"/>
      <c r="K58" s="148"/>
      <c r="L58" s="143"/>
      <c r="M58" s="148"/>
      <c r="N58" s="143"/>
      <c r="O58" s="148"/>
      <c r="P58" s="143"/>
      <c r="Q58" s="148"/>
      <c r="R58" s="143"/>
      <c r="S58" s="147"/>
      <c r="T58" s="148"/>
      <c r="U58" s="143"/>
      <c r="V58" s="143"/>
      <c r="W58" s="148"/>
      <c r="X58" s="143"/>
      <c r="Y58" s="147"/>
    </row>
    <row r="59" spans="1:25" ht="15" customHeight="1" x14ac:dyDescent="0.2">
      <c r="A59" s="463">
        <v>10</v>
      </c>
      <c r="B59" s="464"/>
      <c r="C59" s="464"/>
      <c r="D59" s="464"/>
      <c r="E59" s="464"/>
      <c r="F59" s="464"/>
      <c r="G59" s="492"/>
      <c r="H59" s="189"/>
      <c r="I59" s="188"/>
      <c r="J59" s="191"/>
      <c r="K59" s="148"/>
      <c r="L59" s="143"/>
      <c r="M59" s="148"/>
      <c r="N59" s="143"/>
      <c r="O59" s="148"/>
      <c r="P59" s="143"/>
      <c r="Q59" s="148"/>
      <c r="R59" s="143"/>
      <c r="S59" s="147"/>
      <c r="T59" s="148"/>
      <c r="U59" s="143"/>
      <c r="V59" s="143"/>
      <c r="W59" s="148"/>
      <c r="X59" s="143"/>
      <c r="Y59" s="147"/>
    </row>
    <row r="60" spans="1:25" ht="15" customHeight="1" x14ac:dyDescent="0.2">
      <c r="A60" s="463"/>
      <c r="B60" s="464"/>
      <c r="C60" s="464"/>
      <c r="D60" s="464"/>
      <c r="E60" s="464"/>
      <c r="F60" s="464"/>
      <c r="G60" s="492"/>
      <c r="H60" s="189"/>
      <c r="I60" s="188"/>
      <c r="J60" s="191"/>
      <c r="K60" s="148"/>
      <c r="L60" s="143"/>
      <c r="M60" s="148"/>
      <c r="N60" s="143"/>
      <c r="O60" s="148"/>
      <c r="P60" s="143"/>
      <c r="Q60" s="148"/>
      <c r="R60" s="143"/>
      <c r="S60" s="147"/>
      <c r="T60" s="148"/>
      <c r="U60" s="143"/>
      <c r="V60" s="143"/>
      <c r="W60" s="148"/>
      <c r="X60" s="143"/>
      <c r="Y60" s="147"/>
    </row>
    <row r="61" spans="1:25" ht="15" customHeight="1" x14ac:dyDescent="0.2">
      <c r="A61" s="463"/>
      <c r="B61" s="464"/>
      <c r="C61" s="464"/>
      <c r="D61" s="464"/>
      <c r="E61" s="464"/>
      <c r="F61" s="464"/>
      <c r="G61" s="492"/>
      <c r="H61" s="189"/>
      <c r="I61" s="188"/>
      <c r="J61" s="191"/>
      <c r="K61" s="148"/>
      <c r="L61" s="143"/>
      <c r="M61" s="148"/>
      <c r="N61" s="143"/>
      <c r="O61" s="148"/>
      <c r="P61" s="143"/>
      <c r="Q61" s="148"/>
      <c r="R61" s="143"/>
      <c r="S61" s="147"/>
      <c r="T61" s="148"/>
      <c r="U61" s="143"/>
      <c r="V61" s="143"/>
      <c r="W61" s="148"/>
      <c r="X61" s="143"/>
      <c r="Y61" s="147"/>
    </row>
    <row r="62" spans="1:25" ht="15" customHeight="1" x14ac:dyDescent="0.2">
      <c r="A62" s="463"/>
      <c r="B62" s="464"/>
      <c r="C62" s="464"/>
      <c r="D62" s="464"/>
      <c r="E62" s="464"/>
      <c r="F62" s="464"/>
      <c r="G62" s="492"/>
      <c r="H62" s="189"/>
      <c r="I62" s="188"/>
      <c r="J62" s="191"/>
      <c r="K62" s="148"/>
      <c r="L62" s="143"/>
      <c r="M62" s="148"/>
      <c r="N62" s="143"/>
      <c r="O62" s="148"/>
      <c r="P62" s="143"/>
      <c r="Q62" s="148"/>
      <c r="R62" s="143"/>
      <c r="S62" s="147"/>
      <c r="T62" s="148"/>
      <c r="U62" s="143"/>
      <c r="V62" s="143"/>
      <c r="W62" s="148"/>
      <c r="X62" s="143"/>
      <c r="Y62" s="147"/>
    </row>
    <row r="63" spans="1:25" ht="15" customHeight="1" x14ac:dyDescent="0.2">
      <c r="A63" s="463"/>
      <c r="B63" s="464"/>
      <c r="C63" s="464"/>
      <c r="D63" s="464"/>
      <c r="E63" s="464"/>
      <c r="F63" s="464"/>
      <c r="G63" s="492"/>
      <c r="H63" s="189"/>
      <c r="I63" s="188"/>
      <c r="J63" s="191"/>
      <c r="K63" s="148"/>
      <c r="L63" s="143"/>
      <c r="M63" s="148"/>
      <c r="N63" s="143"/>
      <c r="O63" s="148"/>
      <c r="P63" s="143"/>
      <c r="Q63" s="148"/>
      <c r="R63" s="143"/>
      <c r="S63" s="147"/>
      <c r="T63" s="148"/>
      <c r="U63" s="143"/>
      <c r="V63" s="143"/>
      <c r="W63" s="148"/>
      <c r="X63" s="143"/>
      <c r="Y63" s="147"/>
    </row>
    <row r="64" spans="1:25" ht="15" customHeight="1" x14ac:dyDescent="0.2">
      <c r="A64" s="463"/>
      <c r="B64" s="464"/>
      <c r="C64" s="464"/>
      <c r="D64" s="464"/>
      <c r="E64" s="464"/>
      <c r="F64" s="464"/>
      <c r="G64" s="492"/>
      <c r="H64" s="189"/>
      <c r="I64" s="188"/>
      <c r="J64" s="191"/>
      <c r="K64" s="148"/>
      <c r="L64" s="143"/>
      <c r="M64" s="148"/>
      <c r="N64" s="143"/>
      <c r="O64" s="148"/>
      <c r="P64" s="143"/>
      <c r="Q64" s="148"/>
      <c r="R64" s="143"/>
      <c r="S64" s="147"/>
      <c r="T64" s="148"/>
      <c r="U64" s="143"/>
      <c r="V64" s="143"/>
      <c r="W64" s="148"/>
      <c r="X64" s="143"/>
      <c r="Y64" s="147"/>
    </row>
  </sheetData>
  <sheetProtection algorithmName="SHA-512" hashValue="/pnAObK20uhuPDA0rjyRc52arWWQ9R730tOEEtQnmszr9Vjz8riznHFKiiw669RzNiX1brtFi01H+iUsqKr/Eg==" saltValue="1UqngFHwnsi2GGMvO/RSwQ=="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668" t="s">
        <v>414</v>
      </c>
      <c r="C2" s="668"/>
      <c r="D2" s="668"/>
      <c r="E2" s="668"/>
      <c r="F2" s="668"/>
      <c r="G2" s="668"/>
      <c r="H2" s="668"/>
      <c r="I2" s="668"/>
      <c r="J2" s="636" t="s">
        <v>15</v>
      </c>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668"/>
      <c r="C3" s="668"/>
      <c r="D3" s="668"/>
      <c r="E3" s="668"/>
      <c r="F3" s="668"/>
      <c r="G3" s="668"/>
      <c r="H3" s="668"/>
      <c r="I3" s="668"/>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668"/>
      <c r="C4" s="668"/>
      <c r="D4" s="668"/>
      <c r="E4" s="668"/>
      <c r="F4" s="668"/>
      <c r="G4" s="668"/>
      <c r="H4" s="668"/>
      <c r="I4" s="668"/>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583" t="s">
        <v>264</v>
      </c>
      <c r="C6" s="583"/>
      <c r="D6" s="584"/>
      <c r="E6" s="621" t="s">
        <v>415</v>
      </c>
      <c r="F6" s="622"/>
      <c r="G6" s="622"/>
      <c r="H6" s="622"/>
      <c r="I6" s="623"/>
      <c r="J6" s="632" t="e">
        <f>IF(AND(' RIESGOS DE GESTION'!#REF!="Muy Alta",' RIESGOS DE GESTION'!#REF!="Leve"),CONCATENATE("R",' RIESGOS DE GESTION'!#REF!),"")</f>
        <v>#REF!</v>
      </c>
      <c r="K6" s="633"/>
      <c r="L6" s="633" t="e">
        <f>IF(AND(' RIESGOS DE GESTION'!#REF!="Muy Alta",' RIESGOS DE GESTION'!#REF!="Leve"),CONCATENATE("R",' RIESGOS DE GESTION'!#REF!),"")</f>
        <v>#REF!</v>
      </c>
      <c r="M6" s="633"/>
      <c r="N6" s="633" t="e">
        <f>IF(AND(' RIESGOS DE GESTION'!#REF!="Muy Alta",' RIESGOS DE GESTION'!#REF!="Leve"),CONCATENATE("R",' RIESGOS DE GESTION'!#REF!),"")</f>
        <v>#REF!</v>
      </c>
      <c r="O6" s="635"/>
      <c r="P6" s="632" t="e">
        <f>IF(AND(' RIESGOS DE GESTION'!#REF!="Muy Alta",' RIESGOS DE GESTION'!#REF!="Menor"),CONCATENATE("R",' RIESGOS DE GESTION'!#REF!),"")</f>
        <v>#REF!</v>
      </c>
      <c r="Q6" s="633"/>
      <c r="R6" s="633" t="e">
        <f>IF(AND(' RIESGOS DE GESTION'!#REF!="Muy Alta",' RIESGOS DE GESTION'!#REF!="Menor"),CONCATENATE("R",' RIESGOS DE GESTION'!#REF!),"")</f>
        <v>#REF!</v>
      </c>
      <c r="S6" s="633"/>
      <c r="T6" s="633" t="e">
        <f>IF(AND(' RIESGOS DE GESTION'!#REF!="Muy Alta",' RIESGOS DE GESTION'!#REF!="Menor"),CONCATENATE("R",' RIESGOS DE GESTION'!#REF!),"")</f>
        <v>#REF!</v>
      </c>
      <c r="U6" s="635"/>
      <c r="V6" s="632" t="e">
        <f>IF(AND(' RIESGOS DE GESTION'!#REF!="Muy Alta",' RIESGOS DE GESTION'!#REF!="Moderado"),CONCATENATE("R",' RIESGOS DE GESTION'!#REF!),"")</f>
        <v>#REF!</v>
      </c>
      <c r="W6" s="633"/>
      <c r="X6" s="633" t="e">
        <f>IF(AND(' RIESGOS DE GESTION'!#REF!="Muy Alta",' RIESGOS DE GESTION'!#REF!="Moderado"),CONCATENATE("R",' RIESGOS DE GESTION'!#REF!),"")</f>
        <v>#REF!</v>
      </c>
      <c r="Y6" s="633"/>
      <c r="Z6" s="633" t="e">
        <f>IF(AND(' RIESGOS DE GESTION'!#REF!="Muy Alta",' RIESGOS DE GESTION'!#REF!="Moderado"),CONCATENATE("R",' RIESGOS DE GESTION'!#REF!),"")</f>
        <v>#REF!</v>
      </c>
      <c r="AA6" s="635"/>
      <c r="AB6" s="632" t="e">
        <f>IF(AND(' RIESGOS DE GESTION'!#REF!="Muy Alta",' RIESGOS DE GESTION'!#REF!="Mayor"),CONCATENATE("R",' RIESGOS DE GESTION'!#REF!),"")</f>
        <v>#REF!</v>
      </c>
      <c r="AC6" s="633"/>
      <c r="AD6" s="633" t="e">
        <f>IF(AND(' RIESGOS DE GESTION'!#REF!="Muy Alta",' RIESGOS DE GESTION'!#REF!="Mayor"),CONCATENATE("R",' RIESGOS DE GESTION'!#REF!),"")</f>
        <v>#REF!</v>
      </c>
      <c r="AE6" s="633"/>
      <c r="AF6" s="633" t="e">
        <f>IF(AND(' RIESGOS DE GESTION'!#REF!="Muy Alta",' RIESGOS DE GESTION'!#REF!="Mayor"),CONCATENATE("R",' RIESGOS DE GESTION'!#REF!),"")</f>
        <v>#REF!</v>
      </c>
      <c r="AG6" s="635"/>
      <c r="AH6" s="647" t="e">
        <f>IF(AND(' RIESGOS DE GESTION'!#REF!="Muy Alta",' RIESGOS DE GESTION'!#REF!="Catastrófico"),CONCATENATE("R",' RIESGOS DE GESTION'!#REF!),"")</f>
        <v>#REF!</v>
      </c>
      <c r="AI6" s="648"/>
      <c r="AJ6" s="648" t="e">
        <f>IF(AND(' RIESGOS DE GESTION'!#REF!="Muy Alta",' RIESGOS DE GESTION'!#REF!="Catastrófico"),CONCATENATE("R",' RIESGOS DE GESTION'!#REF!),"")</f>
        <v>#REF!</v>
      </c>
      <c r="AK6" s="648"/>
      <c r="AL6" s="648" t="e">
        <f>IF(AND(' RIESGOS DE GESTION'!#REF!="Muy Alta",' RIESGOS DE GESTION'!#REF!="Catastrófico"),CONCATENATE("R",' RIESGOS DE GESTION'!#REF!),"")</f>
        <v>#REF!</v>
      </c>
      <c r="AM6" s="649"/>
      <c r="AO6" s="585" t="s">
        <v>416</v>
      </c>
      <c r="AP6" s="586"/>
      <c r="AQ6" s="586"/>
      <c r="AR6" s="586"/>
      <c r="AS6" s="586"/>
      <c r="AT6" s="587"/>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583"/>
      <c r="C7" s="583"/>
      <c r="D7" s="584"/>
      <c r="E7" s="624"/>
      <c r="F7" s="625"/>
      <c r="G7" s="625"/>
      <c r="H7" s="625"/>
      <c r="I7" s="626"/>
      <c r="J7" s="634"/>
      <c r="K7" s="630"/>
      <c r="L7" s="630"/>
      <c r="M7" s="630"/>
      <c r="N7" s="630"/>
      <c r="O7" s="631"/>
      <c r="P7" s="634"/>
      <c r="Q7" s="630"/>
      <c r="R7" s="630"/>
      <c r="S7" s="630"/>
      <c r="T7" s="630"/>
      <c r="U7" s="631"/>
      <c r="V7" s="634"/>
      <c r="W7" s="630"/>
      <c r="X7" s="630"/>
      <c r="Y7" s="630"/>
      <c r="Z7" s="630"/>
      <c r="AA7" s="631"/>
      <c r="AB7" s="634"/>
      <c r="AC7" s="630"/>
      <c r="AD7" s="630"/>
      <c r="AE7" s="630"/>
      <c r="AF7" s="630"/>
      <c r="AG7" s="631"/>
      <c r="AH7" s="641"/>
      <c r="AI7" s="642"/>
      <c r="AJ7" s="642"/>
      <c r="AK7" s="642"/>
      <c r="AL7" s="642"/>
      <c r="AM7" s="643"/>
      <c r="AN7" s="69"/>
      <c r="AO7" s="588"/>
      <c r="AP7" s="589"/>
      <c r="AQ7" s="589"/>
      <c r="AR7" s="589"/>
      <c r="AS7" s="589"/>
      <c r="AT7" s="590"/>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583"/>
      <c r="C8" s="583"/>
      <c r="D8" s="584"/>
      <c r="E8" s="624"/>
      <c r="F8" s="625"/>
      <c r="G8" s="625"/>
      <c r="H8" s="625"/>
      <c r="I8" s="626"/>
      <c r="J8" s="634" t="e">
        <f>IF(AND(' RIESGOS DE GESTION'!#REF!="Muy Alta",' RIESGOS DE GESTION'!#REF!="Leve"),CONCATENATE("R",' RIESGOS DE GESTION'!#REF!),"")</f>
        <v>#REF!</v>
      </c>
      <c r="K8" s="630"/>
      <c r="L8" s="630" t="e">
        <f>IF(AND(' RIESGOS DE GESTION'!#REF!="Muy Alta",' RIESGOS DE GESTION'!#REF!="Leve"),CONCATENATE("R",' RIESGOS DE GESTION'!#REF!),"")</f>
        <v>#REF!</v>
      </c>
      <c r="M8" s="630"/>
      <c r="N8" s="630" t="e">
        <f>IF(AND(' RIESGOS DE GESTION'!#REF!="Muy Alta",' RIESGOS DE GESTION'!#REF!="Leve"),CONCATENATE("R",' RIESGOS DE GESTION'!#REF!),"")</f>
        <v>#REF!</v>
      </c>
      <c r="O8" s="631"/>
      <c r="P8" s="634" t="e">
        <f>IF(AND(' RIESGOS DE GESTION'!#REF!="Muy Alta",' RIESGOS DE GESTION'!#REF!="Menor"),CONCATENATE("R",' RIESGOS DE GESTION'!#REF!),"")</f>
        <v>#REF!</v>
      </c>
      <c r="Q8" s="630"/>
      <c r="R8" s="630" t="e">
        <f>IF(AND(' RIESGOS DE GESTION'!#REF!="Muy Alta",' RIESGOS DE GESTION'!#REF!="Menor"),CONCATENATE("R",' RIESGOS DE GESTION'!#REF!),"")</f>
        <v>#REF!</v>
      </c>
      <c r="S8" s="630"/>
      <c r="T8" s="630" t="e">
        <f>IF(AND(' RIESGOS DE GESTION'!#REF!="Muy Alta",' RIESGOS DE GESTION'!#REF!="Menor"),CONCATENATE("R",' RIESGOS DE GESTION'!#REF!),"")</f>
        <v>#REF!</v>
      </c>
      <c r="U8" s="631"/>
      <c r="V8" s="634" t="e">
        <f>IF(AND(' RIESGOS DE GESTION'!#REF!="Muy Alta",' RIESGOS DE GESTION'!#REF!="Moderado"),CONCATENATE("R",' RIESGOS DE GESTION'!#REF!),"")</f>
        <v>#REF!</v>
      </c>
      <c r="W8" s="630"/>
      <c r="X8" s="630" t="e">
        <f>IF(AND(' RIESGOS DE GESTION'!#REF!="Muy Alta",' RIESGOS DE GESTION'!#REF!="Moderado"),CONCATENATE("R",' RIESGOS DE GESTION'!#REF!),"")</f>
        <v>#REF!</v>
      </c>
      <c r="Y8" s="630"/>
      <c r="Z8" s="630" t="e">
        <f>IF(AND(' RIESGOS DE GESTION'!#REF!="Muy Alta",' RIESGOS DE GESTION'!#REF!="Moderado"),CONCATENATE("R",' RIESGOS DE GESTION'!#REF!),"")</f>
        <v>#REF!</v>
      </c>
      <c r="AA8" s="631"/>
      <c r="AB8" s="634" t="e">
        <f>IF(AND(' RIESGOS DE GESTION'!#REF!="Muy Alta",' RIESGOS DE GESTION'!#REF!="Mayor"),CONCATENATE("R",' RIESGOS DE GESTION'!#REF!),"")</f>
        <v>#REF!</v>
      </c>
      <c r="AC8" s="630"/>
      <c r="AD8" s="630" t="e">
        <f>IF(AND(' RIESGOS DE GESTION'!#REF!="Muy Alta",' RIESGOS DE GESTION'!#REF!="Mayor"),CONCATENATE("R",' RIESGOS DE GESTION'!#REF!),"")</f>
        <v>#REF!</v>
      </c>
      <c r="AE8" s="630"/>
      <c r="AF8" s="630" t="e">
        <f>IF(AND(' RIESGOS DE GESTION'!#REF!="Muy Alta",' RIESGOS DE GESTION'!#REF!="Mayor"),CONCATENATE("R",' RIESGOS DE GESTION'!#REF!),"")</f>
        <v>#REF!</v>
      </c>
      <c r="AG8" s="631"/>
      <c r="AH8" s="641" t="e">
        <f>IF(AND(' RIESGOS DE GESTION'!#REF!="Muy Alta",' RIESGOS DE GESTION'!#REF!="Catastrófico"),CONCATENATE("R",' RIESGOS DE GESTION'!#REF!),"")</f>
        <v>#REF!</v>
      </c>
      <c r="AI8" s="642"/>
      <c r="AJ8" s="642" t="e">
        <f>IF(AND(' RIESGOS DE GESTION'!#REF!="Muy Alta",' RIESGOS DE GESTION'!#REF!="Catastrófico"),CONCATENATE("R",' RIESGOS DE GESTION'!#REF!),"")</f>
        <v>#REF!</v>
      </c>
      <c r="AK8" s="642"/>
      <c r="AL8" s="642" t="e">
        <f>IF(AND(' RIESGOS DE GESTION'!#REF!="Muy Alta",' RIESGOS DE GESTION'!#REF!="Catastrófico"),CONCATENATE("R",' RIESGOS DE GESTION'!#REF!),"")</f>
        <v>#REF!</v>
      </c>
      <c r="AM8" s="643"/>
      <c r="AN8" s="69"/>
      <c r="AO8" s="588"/>
      <c r="AP8" s="589"/>
      <c r="AQ8" s="589"/>
      <c r="AR8" s="589"/>
      <c r="AS8" s="589"/>
      <c r="AT8" s="590"/>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583"/>
      <c r="C9" s="583"/>
      <c r="D9" s="584"/>
      <c r="E9" s="624"/>
      <c r="F9" s="625"/>
      <c r="G9" s="625"/>
      <c r="H9" s="625"/>
      <c r="I9" s="626"/>
      <c r="J9" s="634"/>
      <c r="K9" s="630"/>
      <c r="L9" s="630"/>
      <c r="M9" s="630"/>
      <c r="N9" s="630"/>
      <c r="O9" s="631"/>
      <c r="P9" s="634"/>
      <c r="Q9" s="630"/>
      <c r="R9" s="630"/>
      <c r="S9" s="630"/>
      <c r="T9" s="630"/>
      <c r="U9" s="631"/>
      <c r="V9" s="634"/>
      <c r="W9" s="630"/>
      <c r="X9" s="630"/>
      <c r="Y9" s="630"/>
      <c r="Z9" s="630"/>
      <c r="AA9" s="631"/>
      <c r="AB9" s="634"/>
      <c r="AC9" s="630"/>
      <c r="AD9" s="630"/>
      <c r="AE9" s="630"/>
      <c r="AF9" s="630"/>
      <c r="AG9" s="631"/>
      <c r="AH9" s="641"/>
      <c r="AI9" s="642"/>
      <c r="AJ9" s="642"/>
      <c r="AK9" s="642"/>
      <c r="AL9" s="642"/>
      <c r="AM9" s="643"/>
      <c r="AN9" s="69"/>
      <c r="AO9" s="588"/>
      <c r="AP9" s="589"/>
      <c r="AQ9" s="589"/>
      <c r="AR9" s="589"/>
      <c r="AS9" s="589"/>
      <c r="AT9" s="590"/>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583"/>
      <c r="C10" s="583"/>
      <c r="D10" s="584"/>
      <c r="E10" s="624"/>
      <c r="F10" s="625"/>
      <c r="G10" s="625"/>
      <c r="H10" s="625"/>
      <c r="I10" s="626"/>
      <c r="J10" s="634" t="e">
        <f>IF(AND(' RIESGOS DE GESTION'!#REF!="Muy Alta",' RIESGOS DE GESTION'!#REF!="Leve"),CONCATENATE("R",' RIESGOS DE GESTION'!#REF!),"")</f>
        <v>#REF!</v>
      </c>
      <c r="K10" s="630"/>
      <c r="L10" s="630" t="e">
        <f>IF(AND(' RIESGOS DE GESTION'!#REF!="Muy Alta",' RIESGOS DE GESTION'!#REF!="Leve"),CONCATENATE("R",' RIESGOS DE GESTION'!#REF!),"")</f>
        <v>#REF!</v>
      </c>
      <c r="M10" s="630"/>
      <c r="N10" s="630" t="e">
        <f>IF(AND(' RIESGOS DE GESTION'!#REF!="Muy Alta",' RIESGOS DE GESTION'!#REF!="Leve"),CONCATENATE("R",' RIESGOS DE GESTION'!#REF!),"")</f>
        <v>#REF!</v>
      </c>
      <c r="O10" s="631"/>
      <c r="P10" s="634" t="e">
        <f>IF(AND(' RIESGOS DE GESTION'!#REF!="Muy Alta",' RIESGOS DE GESTION'!#REF!="Menor"),CONCATENATE("R",' RIESGOS DE GESTION'!#REF!),"")</f>
        <v>#REF!</v>
      </c>
      <c r="Q10" s="630"/>
      <c r="R10" s="630" t="e">
        <f>IF(AND(' RIESGOS DE GESTION'!#REF!="Muy Alta",' RIESGOS DE GESTION'!#REF!="Menor"),CONCATENATE("R",' RIESGOS DE GESTION'!#REF!),"")</f>
        <v>#REF!</v>
      </c>
      <c r="S10" s="630"/>
      <c r="T10" s="630" t="e">
        <f>IF(AND(' RIESGOS DE GESTION'!#REF!="Muy Alta",' RIESGOS DE GESTION'!#REF!="Menor"),CONCATENATE("R",' RIESGOS DE GESTION'!#REF!),"")</f>
        <v>#REF!</v>
      </c>
      <c r="U10" s="631"/>
      <c r="V10" s="634" t="e">
        <f>IF(AND(' RIESGOS DE GESTION'!#REF!="Muy Alta",' RIESGOS DE GESTION'!#REF!="Moderado"),CONCATENATE("R",' RIESGOS DE GESTION'!#REF!),"")</f>
        <v>#REF!</v>
      </c>
      <c r="W10" s="630"/>
      <c r="X10" s="630" t="e">
        <f>IF(AND(' RIESGOS DE GESTION'!#REF!="Muy Alta",' RIESGOS DE GESTION'!#REF!="Moderado"),CONCATENATE("R",' RIESGOS DE GESTION'!#REF!),"")</f>
        <v>#REF!</v>
      </c>
      <c r="Y10" s="630"/>
      <c r="Z10" s="630" t="e">
        <f>IF(AND(' RIESGOS DE GESTION'!#REF!="Muy Alta",' RIESGOS DE GESTION'!#REF!="Moderado"),CONCATENATE("R",' RIESGOS DE GESTION'!#REF!),"")</f>
        <v>#REF!</v>
      </c>
      <c r="AA10" s="631"/>
      <c r="AB10" s="634" t="e">
        <f>IF(AND(' RIESGOS DE GESTION'!#REF!="Muy Alta",' RIESGOS DE GESTION'!#REF!="Mayor"),CONCATENATE("R",' RIESGOS DE GESTION'!#REF!),"")</f>
        <v>#REF!</v>
      </c>
      <c r="AC10" s="630"/>
      <c r="AD10" s="630" t="e">
        <f>IF(AND(' RIESGOS DE GESTION'!#REF!="Muy Alta",' RIESGOS DE GESTION'!#REF!="Mayor"),CONCATENATE("R",' RIESGOS DE GESTION'!#REF!),"")</f>
        <v>#REF!</v>
      </c>
      <c r="AE10" s="630"/>
      <c r="AF10" s="630" t="e">
        <f>IF(AND(' RIESGOS DE GESTION'!#REF!="Muy Alta",' RIESGOS DE GESTION'!#REF!="Mayor"),CONCATENATE("R",' RIESGOS DE GESTION'!#REF!),"")</f>
        <v>#REF!</v>
      </c>
      <c r="AG10" s="631"/>
      <c r="AH10" s="641" t="e">
        <f>IF(AND(' RIESGOS DE GESTION'!#REF!="Muy Alta",' RIESGOS DE GESTION'!#REF!="Catastrófico"),CONCATENATE("R",' RIESGOS DE GESTION'!#REF!),"")</f>
        <v>#REF!</v>
      </c>
      <c r="AI10" s="642"/>
      <c r="AJ10" s="642" t="e">
        <f>IF(AND(' RIESGOS DE GESTION'!#REF!="Muy Alta",' RIESGOS DE GESTION'!#REF!="Catastrófico"),CONCATENATE("R",' RIESGOS DE GESTION'!#REF!),"")</f>
        <v>#REF!</v>
      </c>
      <c r="AK10" s="642"/>
      <c r="AL10" s="642" t="e">
        <f>IF(AND(' RIESGOS DE GESTION'!#REF!="Muy Alta",' RIESGOS DE GESTION'!#REF!="Catastrófico"),CONCATENATE("R",' RIESGOS DE GESTION'!#REF!),"")</f>
        <v>#REF!</v>
      </c>
      <c r="AM10" s="643"/>
      <c r="AN10" s="69"/>
      <c r="AO10" s="588"/>
      <c r="AP10" s="589"/>
      <c r="AQ10" s="589"/>
      <c r="AR10" s="589"/>
      <c r="AS10" s="589"/>
      <c r="AT10" s="590"/>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583"/>
      <c r="C11" s="583"/>
      <c r="D11" s="584"/>
      <c r="E11" s="624"/>
      <c r="F11" s="625"/>
      <c r="G11" s="625"/>
      <c r="H11" s="625"/>
      <c r="I11" s="626"/>
      <c r="J11" s="634"/>
      <c r="K11" s="630"/>
      <c r="L11" s="630"/>
      <c r="M11" s="630"/>
      <c r="N11" s="630"/>
      <c r="O11" s="631"/>
      <c r="P11" s="634"/>
      <c r="Q11" s="630"/>
      <c r="R11" s="630"/>
      <c r="S11" s="630"/>
      <c r="T11" s="630"/>
      <c r="U11" s="631"/>
      <c r="V11" s="634"/>
      <c r="W11" s="630"/>
      <c r="X11" s="630"/>
      <c r="Y11" s="630"/>
      <c r="Z11" s="630"/>
      <c r="AA11" s="631"/>
      <c r="AB11" s="634"/>
      <c r="AC11" s="630"/>
      <c r="AD11" s="630"/>
      <c r="AE11" s="630"/>
      <c r="AF11" s="630"/>
      <c r="AG11" s="631"/>
      <c r="AH11" s="641"/>
      <c r="AI11" s="642"/>
      <c r="AJ11" s="642"/>
      <c r="AK11" s="642"/>
      <c r="AL11" s="642"/>
      <c r="AM11" s="643"/>
      <c r="AN11" s="69"/>
      <c r="AO11" s="588"/>
      <c r="AP11" s="589"/>
      <c r="AQ11" s="589"/>
      <c r="AR11" s="589"/>
      <c r="AS11" s="589"/>
      <c r="AT11" s="590"/>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583"/>
      <c r="C12" s="583"/>
      <c r="D12" s="584"/>
      <c r="E12" s="624"/>
      <c r="F12" s="625"/>
      <c r="G12" s="625"/>
      <c r="H12" s="625"/>
      <c r="I12" s="626"/>
      <c r="J12" s="634" t="e">
        <f>IF(AND(' RIESGOS DE GESTION'!#REF!="Muy Alta",' RIESGOS DE GESTION'!#REF!="Leve"),CONCATENATE("R",' RIESGOS DE GESTION'!#REF!),"")</f>
        <v>#REF!</v>
      </c>
      <c r="K12" s="630"/>
      <c r="L12" s="630" t="e">
        <f>IF(AND(' RIESGOS DE GESTION'!#REF!="Muy Alta",' RIESGOS DE GESTION'!#REF!="Leve"),CONCATENATE("R",' RIESGOS DE GESTION'!#REF!),"")</f>
        <v>#REF!</v>
      </c>
      <c r="M12" s="630"/>
      <c r="N12" s="630" t="e">
        <f>IF(AND(' RIESGOS DE GESTION'!#REF!="Muy Alta",' RIESGOS DE GESTION'!#REF!="Leve"),CONCATENATE("R",' RIESGOS DE GESTION'!#REF!),"")</f>
        <v>#REF!</v>
      </c>
      <c r="O12" s="631"/>
      <c r="P12" s="634" t="e">
        <f>IF(AND(' RIESGOS DE GESTION'!#REF!="Muy Alta",' RIESGOS DE GESTION'!#REF!="Menor"),CONCATENATE("R",' RIESGOS DE GESTION'!#REF!),"")</f>
        <v>#REF!</v>
      </c>
      <c r="Q12" s="630"/>
      <c r="R12" s="630" t="e">
        <f>IF(AND(' RIESGOS DE GESTION'!#REF!="Muy Alta",' RIESGOS DE GESTION'!#REF!="Menor"),CONCATENATE("R",' RIESGOS DE GESTION'!#REF!),"")</f>
        <v>#REF!</v>
      </c>
      <c r="S12" s="630"/>
      <c r="T12" s="630" t="e">
        <f>IF(AND(' RIESGOS DE GESTION'!#REF!="Muy Alta",' RIESGOS DE GESTION'!#REF!="Menor"),CONCATENATE("R",' RIESGOS DE GESTION'!#REF!),"")</f>
        <v>#REF!</v>
      </c>
      <c r="U12" s="631"/>
      <c r="V12" s="634" t="e">
        <f>IF(AND(' RIESGOS DE GESTION'!#REF!="Muy Alta",' RIESGOS DE GESTION'!#REF!="Moderado"),CONCATENATE("R",' RIESGOS DE GESTION'!#REF!),"")</f>
        <v>#REF!</v>
      </c>
      <c r="W12" s="630"/>
      <c r="X12" s="630" t="e">
        <f>IF(AND(' RIESGOS DE GESTION'!#REF!="Muy Alta",' RIESGOS DE GESTION'!#REF!="Moderado"),CONCATENATE("R",' RIESGOS DE GESTION'!#REF!),"")</f>
        <v>#REF!</v>
      </c>
      <c r="Y12" s="630"/>
      <c r="Z12" s="630" t="e">
        <f>IF(AND(' RIESGOS DE GESTION'!#REF!="Muy Alta",' RIESGOS DE GESTION'!#REF!="Moderado"),CONCATENATE("R",' RIESGOS DE GESTION'!#REF!),"")</f>
        <v>#REF!</v>
      </c>
      <c r="AA12" s="631"/>
      <c r="AB12" s="634" t="e">
        <f>IF(AND(' RIESGOS DE GESTION'!#REF!="Muy Alta",' RIESGOS DE GESTION'!#REF!="Mayor"),CONCATENATE("R",' RIESGOS DE GESTION'!#REF!),"")</f>
        <v>#REF!</v>
      </c>
      <c r="AC12" s="630"/>
      <c r="AD12" s="630" t="e">
        <f>IF(AND(' RIESGOS DE GESTION'!#REF!="Muy Alta",' RIESGOS DE GESTION'!#REF!="Mayor"),CONCATENATE("R",' RIESGOS DE GESTION'!#REF!),"")</f>
        <v>#REF!</v>
      </c>
      <c r="AE12" s="630"/>
      <c r="AF12" s="630" t="e">
        <f>IF(AND(' RIESGOS DE GESTION'!#REF!="Muy Alta",' RIESGOS DE GESTION'!#REF!="Mayor"),CONCATENATE("R",' RIESGOS DE GESTION'!#REF!),"")</f>
        <v>#REF!</v>
      </c>
      <c r="AG12" s="631"/>
      <c r="AH12" s="641" t="e">
        <f>IF(AND(' RIESGOS DE GESTION'!#REF!="Muy Alta",' RIESGOS DE GESTION'!#REF!="Catastrófico"),CONCATENATE("R",' RIESGOS DE GESTION'!#REF!),"")</f>
        <v>#REF!</v>
      </c>
      <c r="AI12" s="642"/>
      <c r="AJ12" s="642" t="e">
        <f>IF(AND(' RIESGOS DE GESTION'!#REF!="Muy Alta",' RIESGOS DE GESTION'!#REF!="Catastrófico"),CONCATENATE("R",' RIESGOS DE GESTION'!#REF!),"")</f>
        <v>#REF!</v>
      </c>
      <c r="AK12" s="642"/>
      <c r="AL12" s="642" t="e">
        <f>IF(AND(' RIESGOS DE GESTION'!#REF!="Muy Alta",' RIESGOS DE GESTION'!#REF!="Catastrófico"),CONCATENATE("R",' RIESGOS DE GESTION'!#REF!),"")</f>
        <v>#REF!</v>
      </c>
      <c r="AM12" s="643"/>
      <c r="AN12" s="69"/>
      <c r="AO12" s="588"/>
      <c r="AP12" s="589"/>
      <c r="AQ12" s="589"/>
      <c r="AR12" s="589"/>
      <c r="AS12" s="589"/>
      <c r="AT12" s="590"/>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583"/>
      <c r="C13" s="583"/>
      <c r="D13" s="584"/>
      <c r="E13" s="627"/>
      <c r="F13" s="628"/>
      <c r="G13" s="628"/>
      <c r="H13" s="628"/>
      <c r="I13" s="629"/>
      <c r="J13" s="634"/>
      <c r="K13" s="630"/>
      <c r="L13" s="630"/>
      <c r="M13" s="630"/>
      <c r="N13" s="630"/>
      <c r="O13" s="631"/>
      <c r="P13" s="634"/>
      <c r="Q13" s="630"/>
      <c r="R13" s="630"/>
      <c r="S13" s="630"/>
      <c r="T13" s="630"/>
      <c r="U13" s="631"/>
      <c r="V13" s="634"/>
      <c r="W13" s="630"/>
      <c r="X13" s="630"/>
      <c r="Y13" s="630"/>
      <c r="Z13" s="630"/>
      <c r="AA13" s="631"/>
      <c r="AB13" s="634"/>
      <c r="AC13" s="630"/>
      <c r="AD13" s="630"/>
      <c r="AE13" s="630"/>
      <c r="AF13" s="630"/>
      <c r="AG13" s="631"/>
      <c r="AH13" s="644"/>
      <c r="AI13" s="645"/>
      <c r="AJ13" s="645"/>
      <c r="AK13" s="645"/>
      <c r="AL13" s="645"/>
      <c r="AM13" s="646"/>
      <c r="AN13" s="69"/>
      <c r="AO13" s="591"/>
      <c r="AP13" s="592"/>
      <c r="AQ13" s="592"/>
      <c r="AR13" s="592"/>
      <c r="AS13" s="592"/>
      <c r="AT13" s="593"/>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583"/>
      <c r="C14" s="583"/>
      <c r="D14" s="584"/>
      <c r="E14" s="621" t="s">
        <v>417</v>
      </c>
      <c r="F14" s="622"/>
      <c r="G14" s="622"/>
      <c r="H14" s="622"/>
      <c r="I14" s="622"/>
      <c r="J14" s="656" t="e">
        <f>IF(AND(' RIESGOS DE GESTION'!#REF!="Alta",' RIESGOS DE GESTION'!#REF!="Leve"),CONCATENATE("R",' RIESGOS DE GESTION'!#REF!),"")</f>
        <v>#REF!</v>
      </c>
      <c r="K14" s="657"/>
      <c r="L14" s="657" t="e">
        <f>IF(AND(' RIESGOS DE GESTION'!#REF!="Alta",' RIESGOS DE GESTION'!#REF!="Leve"),CONCATENATE("R",' RIESGOS DE GESTION'!#REF!),"")</f>
        <v>#REF!</v>
      </c>
      <c r="M14" s="657"/>
      <c r="N14" s="657" t="e">
        <f>IF(AND(' RIESGOS DE GESTION'!#REF!="Alta",' RIESGOS DE GESTION'!#REF!="Leve"),CONCATENATE("R",' RIESGOS DE GESTION'!#REF!),"")</f>
        <v>#REF!</v>
      </c>
      <c r="O14" s="658"/>
      <c r="P14" s="656" t="e">
        <f>IF(AND(' RIESGOS DE GESTION'!#REF!="Alta",' RIESGOS DE GESTION'!#REF!="Menor"),CONCATENATE("R",' RIESGOS DE GESTION'!#REF!),"")</f>
        <v>#REF!</v>
      </c>
      <c r="Q14" s="657"/>
      <c r="R14" s="657" t="e">
        <f>IF(AND(' RIESGOS DE GESTION'!#REF!="Alta",' RIESGOS DE GESTION'!#REF!="Menor"),CONCATENATE("R",' RIESGOS DE GESTION'!#REF!),"")</f>
        <v>#REF!</v>
      </c>
      <c r="S14" s="657"/>
      <c r="T14" s="657" t="e">
        <f>IF(AND(' RIESGOS DE GESTION'!#REF!="Alta",' RIESGOS DE GESTION'!#REF!="Menor"),CONCATENATE("R",' RIESGOS DE GESTION'!#REF!),"")</f>
        <v>#REF!</v>
      </c>
      <c r="U14" s="658"/>
      <c r="V14" s="632" t="e">
        <f>IF(AND(' RIESGOS DE GESTION'!#REF!="Alta",' RIESGOS DE GESTION'!#REF!="Moderado"),CONCATENATE("R",' RIESGOS DE GESTION'!#REF!),"")</f>
        <v>#REF!</v>
      </c>
      <c r="W14" s="633"/>
      <c r="X14" s="633" t="e">
        <f>IF(AND(' RIESGOS DE GESTION'!#REF!="Alta",' RIESGOS DE GESTION'!#REF!="Moderado"),CONCATENATE("R",' RIESGOS DE GESTION'!#REF!),"")</f>
        <v>#REF!</v>
      </c>
      <c r="Y14" s="633"/>
      <c r="Z14" s="633" t="e">
        <f>IF(AND(' RIESGOS DE GESTION'!#REF!="Alta",' RIESGOS DE GESTION'!#REF!="Moderado"),CONCATENATE("R",' RIESGOS DE GESTION'!#REF!),"")</f>
        <v>#REF!</v>
      </c>
      <c r="AA14" s="635"/>
      <c r="AB14" s="632" t="e">
        <f>IF(AND(' RIESGOS DE GESTION'!#REF!="Alta",' RIESGOS DE GESTION'!#REF!="Mayor"),CONCATENATE("R",' RIESGOS DE GESTION'!#REF!),"")</f>
        <v>#REF!</v>
      </c>
      <c r="AC14" s="633"/>
      <c r="AD14" s="633" t="e">
        <f>IF(AND(' RIESGOS DE GESTION'!#REF!="Alta",' RIESGOS DE GESTION'!#REF!="Mayor"),CONCATENATE("R",' RIESGOS DE GESTION'!#REF!),"")</f>
        <v>#REF!</v>
      </c>
      <c r="AE14" s="633"/>
      <c r="AF14" s="633" t="e">
        <f>IF(AND(' RIESGOS DE GESTION'!#REF!="Alta",' RIESGOS DE GESTION'!#REF!="Mayor"),CONCATENATE("R",' RIESGOS DE GESTION'!#REF!),"")</f>
        <v>#REF!</v>
      </c>
      <c r="AG14" s="635"/>
      <c r="AH14" s="647" t="e">
        <f>IF(AND(' RIESGOS DE GESTION'!#REF!="Alta",' RIESGOS DE GESTION'!#REF!="Catastrófico"),CONCATENATE("R",' RIESGOS DE GESTION'!#REF!),"")</f>
        <v>#REF!</v>
      </c>
      <c r="AI14" s="648"/>
      <c r="AJ14" s="648" t="e">
        <f>IF(AND(' RIESGOS DE GESTION'!#REF!="Alta",' RIESGOS DE GESTION'!#REF!="Catastrófico"),CONCATENATE("R",' RIESGOS DE GESTION'!#REF!),"")</f>
        <v>#REF!</v>
      </c>
      <c r="AK14" s="648"/>
      <c r="AL14" s="648" t="e">
        <f>IF(AND(' RIESGOS DE GESTION'!#REF!="Alta",' RIESGOS DE GESTION'!#REF!="Catastrófico"),CONCATENATE("R",' RIESGOS DE GESTION'!#REF!),"")</f>
        <v>#REF!</v>
      </c>
      <c r="AM14" s="649"/>
      <c r="AN14" s="69"/>
      <c r="AO14" s="594" t="s">
        <v>418</v>
      </c>
      <c r="AP14" s="595"/>
      <c r="AQ14" s="595"/>
      <c r="AR14" s="595"/>
      <c r="AS14" s="595"/>
      <c r="AT14" s="596"/>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583"/>
      <c r="C15" s="583"/>
      <c r="D15" s="584"/>
      <c r="E15" s="624"/>
      <c r="F15" s="625"/>
      <c r="G15" s="625"/>
      <c r="H15" s="625"/>
      <c r="I15" s="625"/>
      <c r="J15" s="650"/>
      <c r="K15" s="651"/>
      <c r="L15" s="651"/>
      <c r="M15" s="651"/>
      <c r="N15" s="651"/>
      <c r="O15" s="652"/>
      <c r="P15" s="650"/>
      <c r="Q15" s="651"/>
      <c r="R15" s="651"/>
      <c r="S15" s="651"/>
      <c r="T15" s="651"/>
      <c r="U15" s="652"/>
      <c r="V15" s="634"/>
      <c r="W15" s="630"/>
      <c r="X15" s="630"/>
      <c r="Y15" s="630"/>
      <c r="Z15" s="630"/>
      <c r="AA15" s="631"/>
      <c r="AB15" s="634"/>
      <c r="AC15" s="630"/>
      <c r="AD15" s="630"/>
      <c r="AE15" s="630"/>
      <c r="AF15" s="630"/>
      <c r="AG15" s="631"/>
      <c r="AH15" s="641"/>
      <c r="AI15" s="642"/>
      <c r="AJ15" s="642"/>
      <c r="AK15" s="642"/>
      <c r="AL15" s="642"/>
      <c r="AM15" s="643"/>
      <c r="AN15" s="69"/>
      <c r="AO15" s="597"/>
      <c r="AP15" s="598"/>
      <c r="AQ15" s="598"/>
      <c r="AR15" s="598"/>
      <c r="AS15" s="598"/>
      <c r="AT15" s="59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583"/>
      <c r="C16" s="583"/>
      <c r="D16" s="584"/>
      <c r="E16" s="624"/>
      <c r="F16" s="625"/>
      <c r="G16" s="625"/>
      <c r="H16" s="625"/>
      <c r="I16" s="625"/>
      <c r="J16" s="650" t="e">
        <f>IF(AND(' RIESGOS DE GESTION'!#REF!="Alta",' RIESGOS DE GESTION'!#REF!="Leve"),CONCATENATE("R",' RIESGOS DE GESTION'!#REF!),"")</f>
        <v>#REF!</v>
      </c>
      <c r="K16" s="651"/>
      <c r="L16" s="651" t="e">
        <f>IF(AND(' RIESGOS DE GESTION'!#REF!="Alta",' RIESGOS DE GESTION'!#REF!="Leve"),CONCATENATE("R",' RIESGOS DE GESTION'!#REF!),"")</f>
        <v>#REF!</v>
      </c>
      <c r="M16" s="651"/>
      <c r="N16" s="651" t="e">
        <f>IF(AND(' RIESGOS DE GESTION'!#REF!="Alta",' RIESGOS DE GESTION'!#REF!="Leve"),CONCATENATE("R",' RIESGOS DE GESTION'!#REF!),"")</f>
        <v>#REF!</v>
      </c>
      <c r="O16" s="652"/>
      <c r="P16" s="650" t="e">
        <f>IF(AND(' RIESGOS DE GESTION'!#REF!="Alta",' RIESGOS DE GESTION'!#REF!="Menor"),CONCATENATE("R",' RIESGOS DE GESTION'!#REF!),"")</f>
        <v>#REF!</v>
      </c>
      <c r="Q16" s="651"/>
      <c r="R16" s="651" t="e">
        <f>IF(AND(' RIESGOS DE GESTION'!#REF!="Alta",' RIESGOS DE GESTION'!#REF!="Menor"),CONCATENATE("R",' RIESGOS DE GESTION'!#REF!),"")</f>
        <v>#REF!</v>
      </c>
      <c r="S16" s="651"/>
      <c r="T16" s="651" t="e">
        <f>IF(AND(' RIESGOS DE GESTION'!#REF!="Alta",' RIESGOS DE GESTION'!#REF!="Menor"),CONCATENATE("R",' RIESGOS DE GESTION'!#REF!),"")</f>
        <v>#REF!</v>
      </c>
      <c r="U16" s="652"/>
      <c r="V16" s="634" t="e">
        <f>IF(AND(' RIESGOS DE GESTION'!#REF!="Alta",' RIESGOS DE GESTION'!#REF!="Moderado"),CONCATENATE("R",' RIESGOS DE GESTION'!#REF!),"")</f>
        <v>#REF!</v>
      </c>
      <c r="W16" s="630"/>
      <c r="X16" s="630" t="e">
        <f>IF(AND(' RIESGOS DE GESTION'!#REF!="Alta",' RIESGOS DE GESTION'!#REF!="Moderado"),CONCATENATE("R",' RIESGOS DE GESTION'!#REF!),"")</f>
        <v>#REF!</v>
      </c>
      <c r="Y16" s="630"/>
      <c r="Z16" s="630" t="e">
        <f>IF(AND(' RIESGOS DE GESTION'!#REF!="Alta",' RIESGOS DE GESTION'!#REF!="Moderado"),CONCATENATE("R",' RIESGOS DE GESTION'!#REF!),"")</f>
        <v>#REF!</v>
      </c>
      <c r="AA16" s="631"/>
      <c r="AB16" s="634" t="e">
        <f>IF(AND(' RIESGOS DE GESTION'!#REF!="Alta",' RIESGOS DE GESTION'!#REF!="Mayor"),CONCATENATE("R",' RIESGOS DE GESTION'!#REF!),"")</f>
        <v>#REF!</v>
      </c>
      <c r="AC16" s="630"/>
      <c r="AD16" s="630" t="e">
        <f>IF(AND(' RIESGOS DE GESTION'!#REF!="Alta",' RIESGOS DE GESTION'!#REF!="Mayor"),CONCATENATE("R",' RIESGOS DE GESTION'!#REF!),"")</f>
        <v>#REF!</v>
      </c>
      <c r="AE16" s="630"/>
      <c r="AF16" s="630" t="e">
        <f>IF(AND(' RIESGOS DE GESTION'!#REF!="Alta",' RIESGOS DE GESTION'!#REF!="Mayor"),CONCATENATE("R",' RIESGOS DE GESTION'!#REF!),"")</f>
        <v>#REF!</v>
      </c>
      <c r="AG16" s="631"/>
      <c r="AH16" s="641" t="e">
        <f>IF(AND(' RIESGOS DE GESTION'!#REF!="Alta",' RIESGOS DE GESTION'!#REF!="Catastrófico"),CONCATENATE("R",' RIESGOS DE GESTION'!#REF!),"")</f>
        <v>#REF!</v>
      </c>
      <c r="AI16" s="642"/>
      <c r="AJ16" s="642" t="e">
        <f>IF(AND(' RIESGOS DE GESTION'!#REF!="Alta",' RIESGOS DE GESTION'!#REF!="Catastrófico"),CONCATENATE("R",' RIESGOS DE GESTION'!#REF!),"")</f>
        <v>#REF!</v>
      </c>
      <c r="AK16" s="642"/>
      <c r="AL16" s="642" t="e">
        <f>IF(AND(' RIESGOS DE GESTION'!#REF!="Alta",' RIESGOS DE GESTION'!#REF!="Catastrófico"),CONCATENATE("R",' RIESGOS DE GESTION'!#REF!),"")</f>
        <v>#REF!</v>
      </c>
      <c r="AM16" s="643"/>
      <c r="AN16" s="69"/>
      <c r="AO16" s="597"/>
      <c r="AP16" s="598"/>
      <c r="AQ16" s="598"/>
      <c r="AR16" s="598"/>
      <c r="AS16" s="598"/>
      <c r="AT16" s="59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583"/>
      <c r="C17" s="583"/>
      <c r="D17" s="584"/>
      <c r="E17" s="624"/>
      <c r="F17" s="625"/>
      <c r="G17" s="625"/>
      <c r="H17" s="625"/>
      <c r="I17" s="625"/>
      <c r="J17" s="650"/>
      <c r="K17" s="651"/>
      <c r="L17" s="651"/>
      <c r="M17" s="651"/>
      <c r="N17" s="651"/>
      <c r="O17" s="652"/>
      <c r="P17" s="650"/>
      <c r="Q17" s="651"/>
      <c r="R17" s="651"/>
      <c r="S17" s="651"/>
      <c r="T17" s="651"/>
      <c r="U17" s="652"/>
      <c r="V17" s="634"/>
      <c r="W17" s="630"/>
      <c r="X17" s="630"/>
      <c r="Y17" s="630"/>
      <c r="Z17" s="630"/>
      <c r="AA17" s="631"/>
      <c r="AB17" s="634"/>
      <c r="AC17" s="630"/>
      <c r="AD17" s="630"/>
      <c r="AE17" s="630"/>
      <c r="AF17" s="630"/>
      <c r="AG17" s="631"/>
      <c r="AH17" s="641"/>
      <c r="AI17" s="642"/>
      <c r="AJ17" s="642"/>
      <c r="AK17" s="642"/>
      <c r="AL17" s="642"/>
      <c r="AM17" s="643"/>
      <c r="AN17" s="69"/>
      <c r="AO17" s="597"/>
      <c r="AP17" s="598"/>
      <c r="AQ17" s="598"/>
      <c r="AR17" s="598"/>
      <c r="AS17" s="598"/>
      <c r="AT17" s="59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583"/>
      <c r="C18" s="583"/>
      <c r="D18" s="584"/>
      <c r="E18" s="624"/>
      <c r="F18" s="625"/>
      <c r="G18" s="625"/>
      <c r="H18" s="625"/>
      <c r="I18" s="625"/>
      <c r="J18" s="650" t="e">
        <f>IF(AND(' RIESGOS DE GESTION'!#REF!="Alta",' RIESGOS DE GESTION'!#REF!="Leve"),CONCATENATE("R",' RIESGOS DE GESTION'!#REF!),"")</f>
        <v>#REF!</v>
      </c>
      <c r="K18" s="651"/>
      <c r="L18" s="651" t="e">
        <f>IF(AND(' RIESGOS DE GESTION'!#REF!="Alta",' RIESGOS DE GESTION'!#REF!="Leve"),CONCATENATE("R",' RIESGOS DE GESTION'!#REF!),"")</f>
        <v>#REF!</v>
      </c>
      <c r="M18" s="651"/>
      <c r="N18" s="651" t="e">
        <f>IF(AND(' RIESGOS DE GESTION'!#REF!="Alta",' RIESGOS DE GESTION'!#REF!="Leve"),CONCATENATE("R",' RIESGOS DE GESTION'!#REF!),"")</f>
        <v>#REF!</v>
      </c>
      <c r="O18" s="652"/>
      <c r="P18" s="650" t="e">
        <f>IF(AND(' RIESGOS DE GESTION'!#REF!="Alta",' RIESGOS DE GESTION'!#REF!="Menor"),CONCATENATE("R",' RIESGOS DE GESTION'!#REF!),"")</f>
        <v>#REF!</v>
      </c>
      <c r="Q18" s="651"/>
      <c r="R18" s="651" t="e">
        <f>IF(AND(' RIESGOS DE GESTION'!#REF!="Alta",' RIESGOS DE GESTION'!#REF!="Menor"),CONCATENATE("R",' RIESGOS DE GESTION'!#REF!),"")</f>
        <v>#REF!</v>
      </c>
      <c r="S18" s="651"/>
      <c r="T18" s="651" t="e">
        <f>IF(AND(' RIESGOS DE GESTION'!#REF!="Alta",' RIESGOS DE GESTION'!#REF!="Menor"),CONCATENATE("R",' RIESGOS DE GESTION'!#REF!),"")</f>
        <v>#REF!</v>
      </c>
      <c r="U18" s="652"/>
      <c r="V18" s="634" t="e">
        <f>IF(AND(' RIESGOS DE GESTION'!#REF!="Alta",' RIESGOS DE GESTION'!#REF!="Moderado"),CONCATENATE("R",' RIESGOS DE GESTION'!#REF!),"")</f>
        <v>#REF!</v>
      </c>
      <c r="W18" s="630"/>
      <c r="X18" s="630" t="e">
        <f>IF(AND(' RIESGOS DE GESTION'!#REF!="Alta",' RIESGOS DE GESTION'!#REF!="Moderado"),CONCATENATE("R",' RIESGOS DE GESTION'!#REF!),"")</f>
        <v>#REF!</v>
      </c>
      <c r="Y18" s="630"/>
      <c r="Z18" s="630" t="e">
        <f>IF(AND(' RIESGOS DE GESTION'!#REF!="Alta",' RIESGOS DE GESTION'!#REF!="Moderado"),CONCATENATE("R",' RIESGOS DE GESTION'!#REF!),"")</f>
        <v>#REF!</v>
      </c>
      <c r="AA18" s="631"/>
      <c r="AB18" s="634" t="e">
        <f>IF(AND(' RIESGOS DE GESTION'!#REF!="Alta",' RIESGOS DE GESTION'!#REF!="Mayor"),CONCATENATE("R",' RIESGOS DE GESTION'!#REF!),"")</f>
        <v>#REF!</v>
      </c>
      <c r="AC18" s="630"/>
      <c r="AD18" s="630" t="e">
        <f>IF(AND(' RIESGOS DE GESTION'!#REF!="Alta",' RIESGOS DE GESTION'!#REF!="Mayor"),CONCATENATE("R",' RIESGOS DE GESTION'!#REF!),"")</f>
        <v>#REF!</v>
      </c>
      <c r="AE18" s="630"/>
      <c r="AF18" s="630" t="e">
        <f>IF(AND(' RIESGOS DE GESTION'!#REF!="Alta",' RIESGOS DE GESTION'!#REF!="Mayor"),CONCATENATE("R",' RIESGOS DE GESTION'!#REF!),"")</f>
        <v>#REF!</v>
      </c>
      <c r="AG18" s="631"/>
      <c r="AH18" s="641" t="e">
        <f>IF(AND(' RIESGOS DE GESTION'!#REF!="Alta",' RIESGOS DE GESTION'!#REF!="Catastrófico"),CONCATENATE("R",' RIESGOS DE GESTION'!#REF!),"")</f>
        <v>#REF!</v>
      </c>
      <c r="AI18" s="642"/>
      <c r="AJ18" s="642" t="e">
        <f>IF(AND(' RIESGOS DE GESTION'!#REF!="Alta",' RIESGOS DE GESTION'!#REF!="Catastrófico"),CONCATENATE("R",' RIESGOS DE GESTION'!#REF!),"")</f>
        <v>#REF!</v>
      </c>
      <c r="AK18" s="642"/>
      <c r="AL18" s="642" t="e">
        <f>IF(AND(' RIESGOS DE GESTION'!#REF!="Alta",' RIESGOS DE GESTION'!#REF!="Catastrófico"),CONCATENATE("R",' RIESGOS DE GESTION'!#REF!),"")</f>
        <v>#REF!</v>
      </c>
      <c r="AM18" s="643"/>
      <c r="AN18" s="69"/>
      <c r="AO18" s="597"/>
      <c r="AP18" s="598"/>
      <c r="AQ18" s="598"/>
      <c r="AR18" s="598"/>
      <c r="AS18" s="598"/>
      <c r="AT18" s="59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583"/>
      <c r="C19" s="583"/>
      <c r="D19" s="584"/>
      <c r="E19" s="624"/>
      <c r="F19" s="625"/>
      <c r="G19" s="625"/>
      <c r="H19" s="625"/>
      <c r="I19" s="625"/>
      <c r="J19" s="650"/>
      <c r="K19" s="651"/>
      <c r="L19" s="651"/>
      <c r="M19" s="651"/>
      <c r="N19" s="651"/>
      <c r="O19" s="652"/>
      <c r="P19" s="650"/>
      <c r="Q19" s="651"/>
      <c r="R19" s="651"/>
      <c r="S19" s="651"/>
      <c r="T19" s="651"/>
      <c r="U19" s="652"/>
      <c r="V19" s="634"/>
      <c r="W19" s="630"/>
      <c r="X19" s="630"/>
      <c r="Y19" s="630"/>
      <c r="Z19" s="630"/>
      <c r="AA19" s="631"/>
      <c r="AB19" s="634"/>
      <c r="AC19" s="630"/>
      <c r="AD19" s="630"/>
      <c r="AE19" s="630"/>
      <c r="AF19" s="630"/>
      <c r="AG19" s="631"/>
      <c r="AH19" s="641"/>
      <c r="AI19" s="642"/>
      <c r="AJ19" s="642"/>
      <c r="AK19" s="642"/>
      <c r="AL19" s="642"/>
      <c r="AM19" s="643"/>
      <c r="AN19" s="69"/>
      <c r="AO19" s="597"/>
      <c r="AP19" s="598"/>
      <c r="AQ19" s="598"/>
      <c r="AR19" s="598"/>
      <c r="AS19" s="598"/>
      <c r="AT19" s="59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583"/>
      <c r="C20" s="583"/>
      <c r="D20" s="584"/>
      <c r="E20" s="624"/>
      <c r="F20" s="625"/>
      <c r="G20" s="625"/>
      <c r="H20" s="625"/>
      <c r="I20" s="625"/>
      <c r="J20" s="650" t="e">
        <f>IF(AND(' RIESGOS DE GESTION'!#REF!="Alta",' RIESGOS DE GESTION'!#REF!="Leve"),CONCATENATE("R",' RIESGOS DE GESTION'!#REF!),"")</f>
        <v>#REF!</v>
      </c>
      <c r="K20" s="651"/>
      <c r="L20" s="651" t="e">
        <f>IF(AND(' RIESGOS DE GESTION'!#REF!="Alta",' RIESGOS DE GESTION'!#REF!="Leve"),CONCATENATE("R",' RIESGOS DE GESTION'!#REF!),"")</f>
        <v>#REF!</v>
      </c>
      <c r="M20" s="651"/>
      <c r="N20" s="651" t="e">
        <f>IF(AND(' RIESGOS DE GESTION'!#REF!="Alta",' RIESGOS DE GESTION'!#REF!="Leve"),CONCATENATE("R",' RIESGOS DE GESTION'!#REF!),"")</f>
        <v>#REF!</v>
      </c>
      <c r="O20" s="652"/>
      <c r="P20" s="650" t="e">
        <f>IF(AND(' RIESGOS DE GESTION'!#REF!="Alta",' RIESGOS DE GESTION'!#REF!="Menor"),CONCATENATE("R",' RIESGOS DE GESTION'!#REF!),"")</f>
        <v>#REF!</v>
      </c>
      <c r="Q20" s="651"/>
      <c r="R20" s="651" t="e">
        <f>IF(AND(' RIESGOS DE GESTION'!#REF!="Alta",' RIESGOS DE GESTION'!#REF!="Menor"),CONCATENATE("R",' RIESGOS DE GESTION'!#REF!),"")</f>
        <v>#REF!</v>
      </c>
      <c r="S20" s="651"/>
      <c r="T20" s="651" t="e">
        <f>IF(AND(' RIESGOS DE GESTION'!#REF!="Alta",' RIESGOS DE GESTION'!#REF!="Menor"),CONCATENATE("R",' RIESGOS DE GESTION'!#REF!),"")</f>
        <v>#REF!</v>
      </c>
      <c r="U20" s="652"/>
      <c r="V20" s="634" t="e">
        <f>IF(AND(' RIESGOS DE GESTION'!#REF!="Alta",' RIESGOS DE GESTION'!#REF!="Moderado"),CONCATENATE("R",' RIESGOS DE GESTION'!#REF!),"")</f>
        <v>#REF!</v>
      </c>
      <c r="W20" s="630"/>
      <c r="X20" s="630" t="e">
        <f>IF(AND(' RIESGOS DE GESTION'!#REF!="Alta",' RIESGOS DE GESTION'!#REF!="Moderado"),CONCATENATE("R",' RIESGOS DE GESTION'!#REF!),"")</f>
        <v>#REF!</v>
      </c>
      <c r="Y20" s="630"/>
      <c r="Z20" s="630" t="e">
        <f>IF(AND(' RIESGOS DE GESTION'!#REF!="Alta",' RIESGOS DE GESTION'!#REF!="Moderado"),CONCATENATE("R",' RIESGOS DE GESTION'!#REF!),"")</f>
        <v>#REF!</v>
      </c>
      <c r="AA20" s="631"/>
      <c r="AB20" s="634" t="e">
        <f>IF(AND(' RIESGOS DE GESTION'!#REF!="Alta",' RIESGOS DE GESTION'!#REF!="Mayor"),CONCATENATE("R",' RIESGOS DE GESTION'!#REF!),"")</f>
        <v>#REF!</v>
      </c>
      <c r="AC20" s="630"/>
      <c r="AD20" s="630" t="e">
        <f>IF(AND(' RIESGOS DE GESTION'!#REF!="Alta",' RIESGOS DE GESTION'!#REF!="Mayor"),CONCATENATE("R",' RIESGOS DE GESTION'!#REF!),"")</f>
        <v>#REF!</v>
      </c>
      <c r="AE20" s="630"/>
      <c r="AF20" s="630" t="e">
        <f>IF(AND(' RIESGOS DE GESTION'!#REF!="Alta",' RIESGOS DE GESTION'!#REF!="Mayor"),CONCATENATE("R",' RIESGOS DE GESTION'!#REF!),"")</f>
        <v>#REF!</v>
      </c>
      <c r="AG20" s="631"/>
      <c r="AH20" s="641" t="e">
        <f>IF(AND(' RIESGOS DE GESTION'!#REF!="Alta",' RIESGOS DE GESTION'!#REF!="Catastrófico"),CONCATENATE("R",' RIESGOS DE GESTION'!#REF!),"")</f>
        <v>#REF!</v>
      </c>
      <c r="AI20" s="642"/>
      <c r="AJ20" s="642" t="e">
        <f>IF(AND(' RIESGOS DE GESTION'!#REF!="Alta",' RIESGOS DE GESTION'!#REF!="Catastrófico"),CONCATENATE("R",' RIESGOS DE GESTION'!#REF!),"")</f>
        <v>#REF!</v>
      </c>
      <c r="AK20" s="642"/>
      <c r="AL20" s="642" t="e">
        <f>IF(AND(' RIESGOS DE GESTION'!#REF!="Alta",' RIESGOS DE GESTION'!#REF!="Catastrófico"),CONCATENATE("R",' RIESGOS DE GESTION'!#REF!),"")</f>
        <v>#REF!</v>
      </c>
      <c r="AM20" s="643"/>
      <c r="AN20" s="69"/>
      <c r="AO20" s="597"/>
      <c r="AP20" s="598"/>
      <c r="AQ20" s="598"/>
      <c r="AR20" s="598"/>
      <c r="AS20" s="598"/>
      <c r="AT20" s="59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583"/>
      <c r="C21" s="583"/>
      <c r="D21" s="584"/>
      <c r="E21" s="627"/>
      <c r="F21" s="628"/>
      <c r="G21" s="628"/>
      <c r="H21" s="628"/>
      <c r="I21" s="628"/>
      <c r="J21" s="653"/>
      <c r="K21" s="654"/>
      <c r="L21" s="654"/>
      <c r="M21" s="654"/>
      <c r="N21" s="654"/>
      <c r="O21" s="655"/>
      <c r="P21" s="653"/>
      <c r="Q21" s="654"/>
      <c r="R21" s="654"/>
      <c r="S21" s="654"/>
      <c r="T21" s="654"/>
      <c r="U21" s="655"/>
      <c r="V21" s="638"/>
      <c r="W21" s="639"/>
      <c r="X21" s="639"/>
      <c r="Y21" s="639"/>
      <c r="Z21" s="639"/>
      <c r="AA21" s="640"/>
      <c r="AB21" s="638"/>
      <c r="AC21" s="639"/>
      <c r="AD21" s="639"/>
      <c r="AE21" s="639"/>
      <c r="AF21" s="639"/>
      <c r="AG21" s="640"/>
      <c r="AH21" s="644"/>
      <c r="AI21" s="645"/>
      <c r="AJ21" s="645"/>
      <c r="AK21" s="645"/>
      <c r="AL21" s="645"/>
      <c r="AM21" s="646"/>
      <c r="AN21" s="69"/>
      <c r="AO21" s="600"/>
      <c r="AP21" s="601"/>
      <c r="AQ21" s="601"/>
      <c r="AR21" s="601"/>
      <c r="AS21" s="601"/>
      <c r="AT21" s="602"/>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583"/>
      <c r="C22" s="583"/>
      <c r="D22" s="584"/>
      <c r="E22" s="621" t="s">
        <v>419</v>
      </c>
      <c r="F22" s="622"/>
      <c r="G22" s="622"/>
      <c r="H22" s="622"/>
      <c r="I22" s="623"/>
      <c r="J22" s="656" t="e">
        <f>IF(AND(' RIESGOS DE GESTION'!#REF!="Media",' RIESGOS DE GESTION'!#REF!="Leve"),CONCATENATE("R",' RIESGOS DE GESTION'!#REF!),"")</f>
        <v>#REF!</v>
      </c>
      <c r="K22" s="657"/>
      <c r="L22" s="657" t="e">
        <f>IF(AND(' RIESGOS DE GESTION'!#REF!="Media",' RIESGOS DE GESTION'!#REF!="Leve"),CONCATENATE("R",' RIESGOS DE GESTION'!#REF!),"")</f>
        <v>#REF!</v>
      </c>
      <c r="M22" s="657"/>
      <c r="N22" s="657" t="e">
        <f>IF(AND(' RIESGOS DE GESTION'!#REF!="Media",' RIESGOS DE GESTION'!#REF!="Leve"),CONCATENATE("R",' RIESGOS DE GESTION'!#REF!),"")</f>
        <v>#REF!</v>
      </c>
      <c r="O22" s="658"/>
      <c r="P22" s="656" t="e">
        <f>IF(AND(' RIESGOS DE GESTION'!#REF!="Media",' RIESGOS DE GESTION'!#REF!="Menor"),CONCATENATE("R",' RIESGOS DE GESTION'!#REF!),"")</f>
        <v>#REF!</v>
      </c>
      <c r="Q22" s="657"/>
      <c r="R22" s="657" t="e">
        <f>IF(AND(' RIESGOS DE GESTION'!#REF!="Media",' RIESGOS DE GESTION'!#REF!="Menor"),CONCATENATE("R",' RIESGOS DE GESTION'!#REF!),"")</f>
        <v>#REF!</v>
      </c>
      <c r="S22" s="657"/>
      <c r="T22" s="657" t="e">
        <f>IF(AND(' RIESGOS DE GESTION'!#REF!="Media",' RIESGOS DE GESTION'!#REF!="Menor"),CONCATENATE("R",' RIESGOS DE GESTION'!#REF!),"")</f>
        <v>#REF!</v>
      </c>
      <c r="U22" s="658"/>
      <c r="V22" s="656" t="e">
        <f>IF(AND(' RIESGOS DE GESTION'!#REF!="Media",' RIESGOS DE GESTION'!#REF!="Moderado"),CONCATENATE("R",' RIESGOS DE GESTION'!#REF!),"")</f>
        <v>#REF!</v>
      </c>
      <c r="W22" s="657"/>
      <c r="X22" s="657" t="e">
        <f>IF(AND(' RIESGOS DE GESTION'!#REF!="Media",' RIESGOS DE GESTION'!#REF!="Moderado"),CONCATENATE("R",' RIESGOS DE GESTION'!#REF!),"")</f>
        <v>#REF!</v>
      </c>
      <c r="Y22" s="657"/>
      <c r="Z22" s="657" t="e">
        <f>IF(AND(' RIESGOS DE GESTION'!#REF!="Media",' RIESGOS DE GESTION'!#REF!="Moderado"),CONCATENATE("R",' RIESGOS DE GESTION'!#REF!),"")</f>
        <v>#REF!</v>
      </c>
      <c r="AA22" s="658"/>
      <c r="AB22" s="632" t="e">
        <f>IF(AND(' RIESGOS DE GESTION'!#REF!="Media",' RIESGOS DE GESTION'!#REF!="Mayor"),CONCATENATE("R",' RIESGOS DE GESTION'!#REF!),"")</f>
        <v>#REF!</v>
      </c>
      <c r="AC22" s="633"/>
      <c r="AD22" s="633" t="e">
        <f>IF(AND(' RIESGOS DE GESTION'!#REF!="Media",' RIESGOS DE GESTION'!#REF!="Mayor"),CONCATENATE("R",' RIESGOS DE GESTION'!#REF!),"")</f>
        <v>#REF!</v>
      </c>
      <c r="AE22" s="633"/>
      <c r="AF22" s="633" t="e">
        <f>IF(AND(' RIESGOS DE GESTION'!#REF!="Media",' RIESGOS DE GESTION'!#REF!="Mayor"),CONCATENATE("R",' RIESGOS DE GESTION'!#REF!),"")</f>
        <v>#REF!</v>
      </c>
      <c r="AG22" s="635"/>
      <c r="AH22" s="647" t="e">
        <f>IF(AND(' RIESGOS DE GESTION'!#REF!="Media",' RIESGOS DE GESTION'!#REF!="Catastrófico"),CONCATENATE("R",' RIESGOS DE GESTION'!#REF!),"")</f>
        <v>#REF!</v>
      </c>
      <c r="AI22" s="648"/>
      <c r="AJ22" s="648" t="e">
        <f>IF(AND(' RIESGOS DE GESTION'!#REF!="Media",' RIESGOS DE GESTION'!#REF!="Catastrófico"),CONCATENATE("R",' RIESGOS DE GESTION'!#REF!),"")</f>
        <v>#REF!</v>
      </c>
      <c r="AK22" s="648"/>
      <c r="AL22" s="648" t="e">
        <f>IF(AND(' RIESGOS DE GESTION'!#REF!="Media",' RIESGOS DE GESTION'!#REF!="Catastrófico"),CONCATENATE("R",' RIESGOS DE GESTION'!#REF!),"")</f>
        <v>#REF!</v>
      </c>
      <c r="AM22" s="649"/>
      <c r="AN22" s="69"/>
      <c r="AO22" s="603" t="s">
        <v>420</v>
      </c>
      <c r="AP22" s="604"/>
      <c r="AQ22" s="604"/>
      <c r="AR22" s="604"/>
      <c r="AS22" s="604"/>
      <c r="AT22" s="605"/>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583"/>
      <c r="C23" s="583"/>
      <c r="D23" s="584"/>
      <c r="E23" s="624"/>
      <c r="F23" s="625"/>
      <c r="G23" s="625"/>
      <c r="H23" s="625"/>
      <c r="I23" s="626"/>
      <c r="J23" s="650"/>
      <c r="K23" s="651"/>
      <c r="L23" s="651"/>
      <c r="M23" s="651"/>
      <c r="N23" s="651"/>
      <c r="O23" s="652"/>
      <c r="P23" s="650"/>
      <c r="Q23" s="651"/>
      <c r="R23" s="651"/>
      <c r="S23" s="651"/>
      <c r="T23" s="651"/>
      <c r="U23" s="652"/>
      <c r="V23" s="650"/>
      <c r="W23" s="651"/>
      <c r="X23" s="651"/>
      <c r="Y23" s="651"/>
      <c r="Z23" s="651"/>
      <c r="AA23" s="652"/>
      <c r="AB23" s="634"/>
      <c r="AC23" s="630"/>
      <c r="AD23" s="630"/>
      <c r="AE23" s="630"/>
      <c r="AF23" s="630"/>
      <c r="AG23" s="631"/>
      <c r="AH23" s="641"/>
      <c r="AI23" s="642"/>
      <c r="AJ23" s="642"/>
      <c r="AK23" s="642"/>
      <c r="AL23" s="642"/>
      <c r="AM23" s="643"/>
      <c r="AN23" s="69"/>
      <c r="AO23" s="606"/>
      <c r="AP23" s="607"/>
      <c r="AQ23" s="607"/>
      <c r="AR23" s="607"/>
      <c r="AS23" s="607"/>
      <c r="AT23" s="608"/>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583"/>
      <c r="C24" s="583"/>
      <c r="D24" s="584"/>
      <c r="E24" s="624"/>
      <c r="F24" s="625"/>
      <c r="G24" s="625"/>
      <c r="H24" s="625"/>
      <c r="I24" s="626"/>
      <c r="J24" s="650" t="e">
        <f>IF(AND(' RIESGOS DE GESTION'!#REF!="Media",' RIESGOS DE GESTION'!#REF!="Leve"),CONCATENATE("R",' RIESGOS DE GESTION'!#REF!),"")</f>
        <v>#REF!</v>
      </c>
      <c r="K24" s="651"/>
      <c r="L24" s="651" t="e">
        <f>IF(AND(' RIESGOS DE GESTION'!#REF!="Media",' RIESGOS DE GESTION'!#REF!="Leve"),CONCATENATE("R",' RIESGOS DE GESTION'!#REF!),"")</f>
        <v>#REF!</v>
      </c>
      <c r="M24" s="651"/>
      <c r="N24" s="651" t="e">
        <f>IF(AND(' RIESGOS DE GESTION'!#REF!="Media",' RIESGOS DE GESTION'!#REF!="Leve"),CONCATENATE("R",' RIESGOS DE GESTION'!#REF!),"")</f>
        <v>#REF!</v>
      </c>
      <c r="O24" s="652"/>
      <c r="P24" s="650" t="e">
        <f>IF(AND(' RIESGOS DE GESTION'!#REF!="Media",' RIESGOS DE GESTION'!#REF!="Menor"),CONCATENATE("R",' RIESGOS DE GESTION'!#REF!),"")</f>
        <v>#REF!</v>
      </c>
      <c r="Q24" s="651"/>
      <c r="R24" s="651" t="e">
        <f>IF(AND(' RIESGOS DE GESTION'!#REF!="Media",' RIESGOS DE GESTION'!#REF!="Menor"),CONCATENATE("R",' RIESGOS DE GESTION'!#REF!),"")</f>
        <v>#REF!</v>
      </c>
      <c r="S24" s="651"/>
      <c r="T24" s="651" t="e">
        <f>IF(AND(' RIESGOS DE GESTION'!#REF!="Media",' RIESGOS DE GESTION'!#REF!="Menor"),CONCATENATE("R",' RIESGOS DE GESTION'!#REF!),"")</f>
        <v>#REF!</v>
      </c>
      <c r="U24" s="652"/>
      <c r="V24" s="650" t="e">
        <f>IF(AND(' RIESGOS DE GESTION'!#REF!="Media",' RIESGOS DE GESTION'!#REF!="Moderado"),CONCATENATE("R",' RIESGOS DE GESTION'!#REF!),"")</f>
        <v>#REF!</v>
      </c>
      <c r="W24" s="651"/>
      <c r="X24" s="651" t="e">
        <f>IF(AND(' RIESGOS DE GESTION'!#REF!="Media",' RIESGOS DE GESTION'!#REF!="Moderado"),CONCATENATE("R",' RIESGOS DE GESTION'!#REF!),"")</f>
        <v>#REF!</v>
      </c>
      <c r="Y24" s="651"/>
      <c r="Z24" s="651" t="e">
        <f>IF(AND(' RIESGOS DE GESTION'!#REF!="Media",' RIESGOS DE GESTION'!#REF!="Moderado"),CONCATENATE("R",' RIESGOS DE GESTION'!#REF!),"")</f>
        <v>#REF!</v>
      </c>
      <c r="AA24" s="652"/>
      <c r="AB24" s="634" t="e">
        <f>IF(AND(' RIESGOS DE GESTION'!#REF!="Media",' RIESGOS DE GESTION'!#REF!="Mayor"),CONCATENATE("R",' RIESGOS DE GESTION'!#REF!),"")</f>
        <v>#REF!</v>
      </c>
      <c r="AC24" s="630"/>
      <c r="AD24" s="630" t="e">
        <f>IF(AND(' RIESGOS DE GESTION'!#REF!="Media",' RIESGOS DE GESTION'!#REF!="Mayor"),CONCATENATE("R",' RIESGOS DE GESTION'!#REF!),"")</f>
        <v>#REF!</v>
      </c>
      <c r="AE24" s="630"/>
      <c r="AF24" s="630" t="e">
        <f>IF(AND(' RIESGOS DE GESTION'!#REF!="Media",' RIESGOS DE GESTION'!#REF!="Mayor"),CONCATENATE("R",' RIESGOS DE GESTION'!#REF!),"")</f>
        <v>#REF!</v>
      </c>
      <c r="AG24" s="631"/>
      <c r="AH24" s="641" t="e">
        <f>IF(AND(' RIESGOS DE GESTION'!#REF!="Media",' RIESGOS DE GESTION'!#REF!="Catastrófico"),CONCATENATE("R",' RIESGOS DE GESTION'!#REF!),"")</f>
        <v>#REF!</v>
      </c>
      <c r="AI24" s="642"/>
      <c r="AJ24" s="642" t="e">
        <f>IF(AND(' RIESGOS DE GESTION'!#REF!="Media",' RIESGOS DE GESTION'!#REF!="Catastrófico"),CONCATENATE("R",' RIESGOS DE GESTION'!#REF!),"")</f>
        <v>#REF!</v>
      </c>
      <c r="AK24" s="642"/>
      <c r="AL24" s="642" t="e">
        <f>IF(AND(' RIESGOS DE GESTION'!#REF!="Media",' RIESGOS DE GESTION'!#REF!="Catastrófico"),CONCATENATE("R",' RIESGOS DE GESTION'!#REF!),"")</f>
        <v>#REF!</v>
      </c>
      <c r="AM24" s="643"/>
      <c r="AN24" s="69"/>
      <c r="AO24" s="606"/>
      <c r="AP24" s="607"/>
      <c r="AQ24" s="607"/>
      <c r="AR24" s="607"/>
      <c r="AS24" s="607"/>
      <c r="AT24" s="608"/>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583"/>
      <c r="C25" s="583"/>
      <c r="D25" s="584"/>
      <c r="E25" s="624"/>
      <c r="F25" s="625"/>
      <c r="G25" s="625"/>
      <c r="H25" s="625"/>
      <c r="I25" s="626"/>
      <c r="J25" s="650"/>
      <c r="K25" s="651"/>
      <c r="L25" s="651"/>
      <c r="M25" s="651"/>
      <c r="N25" s="651"/>
      <c r="O25" s="652"/>
      <c r="P25" s="650"/>
      <c r="Q25" s="651"/>
      <c r="R25" s="651"/>
      <c r="S25" s="651"/>
      <c r="T25" s="651"/>
      <c r="U25" s="652"/>
      <c r="V25" s="650"/>
      <c r="W25" s="651"/>
      <c r="X25" s="651"/>
      <c r="Y25" s="651"/>
      <c r="Z25" s="651"/>
      <c r="AA25" s="652"/>
      <c r="AB25" s="634"/>
      <c r="AC25" s="630"/>
      <c r="AD25" s="630"/>
      <c r="AE25" s="630"/>
      <c r="AF25" s="630"/>
      <c r="AG25" s="631"/>
      <c r="AH25" s="641"/>
      <c r="AI25" s="642"/>
      <c r="AJ25" s="642"/>
      <c r="AK25" s="642"/>
      <c r="AL25" s="642"/>
      <c r="AM25" s="643"/>
      <c r="AN25" s="69"/>
      <c r="AO25" s="606"/>
      <c r="AP25" s="607"/>
      <c r="AQ25" s="607"/>
      <c r="AR25" s="607"/>
      <c r="AS25" s="607"/>
      <c r="AT25" s="608"/>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583"/>
      <c r="C26" s="583"/>
      <c r="D26" s="584"/>
      <c r="E26" s="624"/>
      <c r="F26" s="625"/>
      <c r="G26" s="625"/>
      <c r="H26" s="625"/>
      <c r="I26" s="626"/>
      <c r="J26" s="650" t="e">
        <f>IF(AND(' RIESGOS DE GESTION'!#REF!="Media",' RIESGOS DE GESTION'!#REF!="Leve"),CONCATENATE("R",' RIESGOS DE GESTION'!#REF!),"")</f>
        <v>#REF!</v>
      </c>
      <c r="K26" s="651"/>
      <c r="L26" s="651" t="e">
        <f>IF(AND(' RIESGOS DE GESTION'!#REF!="Media",' RIESGOS DE GESTION'!#REF!="Leve"),CONCATENATE("R",' RIESGOS DE GESTION'!#REF!),"")</f>
        <v>#REF!</v>
      </c>
      <c r="M26" s="651"/>
      <c r="N26" s="651" t="e">
        <f>IF(AND(' RIESGOS DE GESTION'!#REF!="Media",' RIESGOS DE GESTION'!#REF!="Leve"),CONCATENATE("R",' RIESGOS DE GESTION'!#REF!),"")</f>
        <v>#REF!</v>
      </c>
      <c r="O26" s="652"/>
      <c r="P26" s="650" t="e">
        <f>IF(AND(' RIESGOS DE GESTION'!#REF!="Media",' RIESGOS DE GESTION'!#REF!="Menor"),CONCATENATE("R",' RIESGOS DE GESTION'!#REF!),"")</f>
        <v>#REF!</v>
      </c>
      <c r="Q26" s="651"/>
      <c r="R26" s="651" t="e">
        <f>IF(AND(' RIESGOS DE GESTION'!#REF!="Media",' RIESGOS DE GESTION'!#REF!="Menor"),CONCATENATE("R",' RIESGOS DE GESTION'!#REF!),"")</f>
        <v>#REF!</v>
      </c>
      <c r="S26" s="651"/>
      <c r="T26" s="651" t="e">
        <f>IF(AND(' RIESGOS DE GESTION'!#REF!="Media",' RIESGOS DE GESTION'!#REF!="Menor"),CONCATENATE("R",' RIESGOS DE GESTION'!#REF!),"")</f>
        <v>#REF!</v>
      </c>
      <c r="U26" s="652"/>
      <c r="V26" s="650" t="e">
        <f>IF(AND(' RIESGOS DE GESTION'!#REF!="Media",' RIESGOS DE GESTION'!#REF!="Moderado"),CONCATENATE("R",' RIESGOS DE GESTION'!#REF!),"")</f>
        <v>#REF!</v>
      </c>
      <c r="W26" s="651"/>
      <c r="X26" s="651" t="e">
        <f>IF(AND(' RIESGOS DE GESTION'!#REF!="Media",' RIESGOS DE GESTION'!#REF!="Moderado"),CONCATENATE("R",' RIESGOS DE GESTION'!#REF!),"")</f>
        <v>#REF!</v>
      </c>
      <c r="Y26" s="651"/>
      <c r="Z26" s="651" t="e">
        <f>IF(AND(' RIESGOS DE GESTION'!#REF!="Media",' RIESGOS DE GESTION'!#REF!="Moderado"),CONCATENATE("R",' RIESGOS DE GESTION'!#REF!),"")</f>
        <v>#REF!</v>
      </c>
      <c r="AA26" s="652"/>
      <c r="AB26" s="634" t="e">
        <f>IF(AND(' RIESGOS DE GESTION'!#REF!="Media",' RIESGOS DE GESTION'!#REF!="Mayor"),CONCATENATE("R",' RIESGOS DE GESTION'!#REF!),"")</f>
        <v>#REF!</v>
      </c>
      <c r="AC26" s="630"/>
      <c r="AD26" s="630" t="e">
        <f>IF(AND(' RIESGOS DE GESTION'!#REF!="Media",' RIESGOS DE GESTION'!#REF!="Mayor"),CONCATENATE("R",' RIESGOS DE GESTION'!#REF!),"")</f>
        <v>#REF!</v>
      </c>
      <c r="AE26" s="630"/>
      <c r="AF26" s="630" t="e">
        <f>IF(AND(' RIESGOS DE GESTION'!#REF!="Media",' RIESGOS DE GESTION'!#REF!="Mayor"),CONCATENATE("R",' RIESGOS DE GESTION'!#REF!),"")</f>
        <v>#REF!</v>
      </c>
      <c r="AG26" s="631"/>
      <c r="AH26" s="641" t="e">
        <f>IF(AND(' RIESGOS DE GESTION'!#REF!="Media",' RIESGOS DE GESTION'!#REF!="Catastrófico"),CONCATENATE("R",' RIESGOS DE GESTION'!#REF!),"")</f>
        <v>#REF!</v>
      </c>
      <c r="AI26" s="642"/>
      <c r="AJ26" s="642" t="e">
        <f>IF(AND(' RIESGOS DE GESTION'!#REF!="Media",' RIESGOS DE GESTION'!#REF!="Catastrófico"),CONCATENATE("R",' RIESGOS DE GESTION'!#REF!),"")</f>
        <v>#REF!</v>
      </c>
      <c r="AK26" s="642"/>
      <c r="AL26" s="642" t="e">
        <f>IF(AND(' RIESGOS DE GESTION'!#REF!="Media",' RIESGOS DE GESTION'!#REF!="Catastrófico"),CONCATENATE("R",' RIESGOS DE GESTION'!#REF!),"")</f>
        <v>#REF!</v>
      </c>
      <c r="AM26" s="643"/>
      <c r="AN26" s="69"/>
      <c r="AO26" s="606"/>
      <c r="AP26" s="607"/>
      <c r="AQ26" s="607"/>
      <c r="AR26" s="607"/>
      <c r="AS26" s="607"/>
      <c r="AT26" s="608"/>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583"/>
      <c r="C27" s="583"/>
      <c r="D27" s="584"/>
      <c r="E27" s="624"/>
      <c r="F27" s="625"/>
      <c r="G27" s="625"/>
      <c r="H27" s="625"/>
      <c r="I27" s="626"/>
      <c r="J27" s="650"/>
      <c r="K27" s="651"/>
      <c r="L27" s="651"/>
      <c r="M27" s="651"/>
      <c r="N27" s="651"/>
      <c r="O27" s="652"/>
      <c r="P27" s="650"/>
      <c r="Q27" s="651"/>
      <c r="R27" s="651"/>
      <c r="S27" s="651"/>
      <c r="T27" s="651"/>
      <c r="U27" s="652"/>
      <c r="V27" s="650"/>
      <c r="W27" s="651"/>
      <c r="X27" s="651"/>
      <c r="Y27" s="651"/>
      <c r="Z27" s="651"/>
      <c r="AA27" s="652"/>
      <c r="AB27" s="634"/>
      <c r="AC27" s="630"/>
      <c r="AD27" s="630"/>
      <c r="AE27" s="630"/>
      <c r="AF27" s="630"/>
      <c r="AG27" s="631"/>
      <c r="AH27" s="641"/>
      <c r="AI27" s="642"/>
      <c r="AJ27" s="642"/>
      <c r="AK27" s="642"/>
      <c r="AL27" s="642"/>
      <c r="AM27" s="643"/>
      <c r="AN27" s="69"/>
      <c r="AO27" s="606"/>
      <c r="AP27" s="607"/>
      <c r="AQ27" s="607"/>
      <c r="AR27" s="607"/>
      <c r="AS27" s="607"/>
      <c r="AT27" s="608"/>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583"/>
      <c r="C28" s="583"/>
      <c r="D28" s="584"/>
      <c r="E28" s="624"/>
      <c r="F28" s="625"/>
      <c r="G28" s="625"/>
      <c r="H28" s="625"/>
      <c r="I28" s="626"/>
      <c r="J28" s="650" t="e">
        <f>IF(AND(' RIESGOS DE GESTION'!#REF!="Media",' RIESGOS DE GESTION'!#REF!="Leve"),CONCATENATE("R",' RIESGOS DE GESTION'!#REF!),"")</f>
        <v>#REF!</v>
      </c>
      <c r="K28" s="651"/>
      <c r="L28" s="651" t="e">
        <f>IF(AND(' RIESGOS DE GESTION'!#REF!="Media",' RIESGOS DE GESTION'!#REF!="Leve"),CONCATENATE("R",' RIESGOS DE GESTION'!#REF!),"")</f>
        <v>#REF!</v>
      </c>
      <c r="M28" s="651"/>
      <c r="N28" s="651" t="e">
        <f>IF(AND(' RIESGOS DE GESTION'!#REF!="Media",' RIESGOS DE GESTION'!#REF!="Leve"),CONCATENATE("R",' RIESGOS DE GESTION'!#REF!),"")</f>
        <v>#REF!</v>
      </c>
      <c r="O28" s="652"/>
      <c r="P28" s="650" t="e">
        <f>IF(AND(' RIESGOS DE GESTION'!#REF!="Media",' RIESGOS DE GESTION'!#REF!="Menor"),CONCATENATE("R",' RIESGOS DE GESTION'!#REF!),"")</f>
        <v>#REF!</v>
      </c>
      <c r="Q28" s="651"/>
      <c r="R28" s="651" t="e">
        <f>IF(AND(' RIESGOS DE GESTION'!#REF!="Media",' RIESGOS DE GESTION'!#REF!="Menor"),CONCATENATE("R",' RIESGOS DE GESTION'!#REF!),"")</f>
        <v>#REF!</v>
      </c>
      <c r="S28" s="651"/>
      <c r="T28" s="651" t="e">
        <f>IF(AND(' RIESGOS DE GESTION'!#REF!="Media",' RIESGOS DE GESTION'!#REF!="Menor"),CONCATENATE("R",' RIESGOS DE GESTION'!#REF!),"")</f>
        <v>#REF!</v>
      </c>
      <c r="U28" s="652"/>
      <c r="V28" s="650" t="e">
        <f>IF(AND(' RIESGOS DE GESTION'!#REF!="Media",' RIESGOS DE GESTION'!#REF!="Moderado"),CONCATENATE("R",' RIESGOS DE GESTION'!#REF!),"")</f>
        <v>#REF!</v>
      </c>
      <c r="W28" s="651"/>
      <c r="X28" s="651" t="e">
        <f>IF(AND(' RIESGOS DE GESTION'!#REF!="Media",' RIESGOS DE GESTION'!#REF!="Moderado"),CONCATENATE("R",' RIESGOS DE GESTION'!#REF!),"")</f>
        <v>#REF!</v>
      </c>
      <c r="Y28" s="651"/>
      <c r="Z28" s="651" t="e">
        <f>IF(AND(' RIESGOS DE GESTION'!#REF!="Media",' RIESGOS DE GESTION'!#REF!="Moderado"),CONCATENATE("R",' RIESGOS DE GESTION'!#REF!),"")</f>
        <v>#REF!</v>
      </c>
      <c r="AA28" s="652"/>
      <c r="AB28" s="634" t="e">
        <f>IF(AND(' RIESGOS DE GESTION'!#REF!="Media",' RIESGOS DE GESTION'!#REF!="Mayor"),CONCATENATE("R",' RIESGOS DE GESTION'!#REF!),"")</f>
        <v>#REF!</v>
      </c>
      <c r="AC28" s="630"/>
      <c r="AD28" s="630" t="e">
        <f>IF(AND(' RIESGOS DE GESTION'!#REF!="Media",' RIESGOS DE GESTION'!#REF!="Mayor"),CONCATENATE("R",' RIESGOS DE GESTION'!#REF!),"")</f>
        <v>#REF!</v>
      </c>
      <c r="AE28" s="630"/>
      <c r="AF28" s="630" t="e">
        <f>IF(AND(' RIESGOS DE GESTION'!#REF!="Media",' RIESGOS DE GESTION'!#REF!="Mayor"),CONCATENATE("R",' RIESGOS DE GESTION'!#REF!),"")</f>
        <v>#REF!</v>
      </c>
      <c r="AG28" s="631"/>
      <c r="AH28" s="641" t="e">
        <f>IF(AND(' RIESGOS DE GESTION'!#REF!="Media",' RIESGOS DE GESTION'!#REF!="Catastrófico"),CONCATENATE("R",' RIESGOS DE GESTION'!#REF!),"")</f>
        <v>#REF!</v>
      </c>
      <c r="AI28" s="642"/>
      <c r="AJ28" s="642" t="e">
        <f>IF(AND(' RIESGOS DE GESTION'!#REF!="Media",' RIESGOS DE GESTION'!#REF!="Catastrófico"),CONCATENATE("R",' RIESGOS DE GESTION'!#REF!),"")</f>
        <v>#REF!</v>
      </c>
      <c r="AK28" s="642"/>
      <c r="AL28" s="642" t="e">
        <f>IF(AND(' RIESGOS DE GESTION'!#REF!="Media",' RIESGOS DE GESTION'!#REF!="Catastrófico"),CONCATENATE("R",' RIESGOS DE GESTION'!#REF!),"")</f>
        <v>#REF!</v>
      </c>
      <c r="AM28" s="643"/>
      <c r="AN28" s="69"/>
      <c r="AO28" s="606"/>
      <c r="AP28" s="607"/>
      <c r="AQ28" s="607"/>
      <c r="AR28" s="607"/>
      <c r="AS28" s="607"/>
      <c r="AT28" s="608"/>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583"/>
      <c r="C29" s="583"/>
      <c r="D29" s="584"/>
      <c r="E29" s="627"/>
      <c r="F29" s="628"/>
      <c r="G29" s="628"/>
      <c r="H29" s="628"/>
      <c r="I29" s="629"/>
      <c r="J29" s="650"/>
      <c r="K29" s="651"/>
      <c r="L29" s="651"/>
      <c r="M29" s="651"/>
      <c r="N29" s="651"/>
      <c r="O29" s="652"/>
      <c r="P29" s="653"/>
      <c r="Q29" s="654"/>
      <c r="R29" s="654"/>
      <c r="S29" s="654"/>
      <c r="T29" s="654"/>
      <c r="U29" s="655"/>
      <c r="V29" s="653"/>
      <c r="W29" s="654"/>
      <c r="X29" s="654"/>
      <c r="Y29" s="654"/>
      <c r="Z29" s="654"/>
      <c r="AA29" s="655"/>
      <c r="AB29" s="638"/>
      <c r="AC29" s="639"/>
      <c r="AD29" s="639"/>
      <c r="AE29" s="639"/>
      <c r="AF29" s="639"/>
      <c r="AG29" s="640"/>
      <c r="AH29" s="644"/>
      <c r="AI29" s="645"/>
      <c r="AJ29" s="645"/>
      <c r="AK29" s="645"/>
      <c r="AL29" s="645"/>
      <c r="AM29" s="646"/>
      <c r="AN29" s="69"/>
      <c r="AO29" s="609"/>
      <c r="AP29" s="610"/>
      <c r="AQ29" s="610"/>
      <c r="AR29" s="610"/>
      <c r="AS29" s="610"/>
      <c r="AT29" s="611"/>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583"/>
      <c r="C30" s="583"/>
      <c r="D30" s="584"/>
      <c r="E30" s="621" t="s">
        <v>421</v>
      </c>
      <c r="F30" s="622"/>
      <c r="G30" s="622"/>
      <c r="H30" s="622"/>
      <c r="I30" s="622"/>
      <c r="J30" s="665" t="e">
        <f>IF(AND(' RIESGOS DE GESTION'!#REF!="Baja",' RIESGOS DE GESTION'!#REF!="Leve"),CONCATENATE("R",' RIESGOS DE GESTION'!#REF!),"")</f>
        <v>#REF!</v>
      </c>
      <c r="K30" s="666"/>
      <c r="L30" s="666" t="e">
        <f>IF(AND(' RIESGOS DE GESTION'!#REF!="Baja",' RIESGOS DE GESTION'!#REF!="Leve"),CONCATENATE("R",' RIESGOS DE GESTION'!#REF!),"")</f>
        <v>#REF!</v>
      </c>
      <c r="M30" s="666"/>
      <c r="N30" s="666" t="e">
        <f>IF(AND(' RIESGOS DE GESTION'!#REF!="Baja",' RIESGOS DE GESTION'!#REF!="Leve"),CONCATENATE("R",' RIESGOS DE GESTION'!#REF!),"")</f>
        <v>#REF!</v>
      </c>
      <c r="O30" s="667"/>
      <c r="P30" s="657" t="e">
        <f>IF(AND(' RIESGOS DE GESTION'!#REF!="Baja",' RIESGOS DE GESTION'!#REF!="Menor"),CONCATENATE("R",' RIESGOS DE GESTION'!#REF!),"")</f>
        <v>#REF!</v>
      </c>
      <c r="Q30" s="657"/>
      <c r="R30" s="657" t="e">
        <f>IF(AND(' RIESGOS DE GESTION'!#REF!="Baja",' RIESGOS DE GESTION'!#REF!="Menor"),CONCATENATE("R",' RIESGOS DE GESTION'!#REF!),"")</f>
        <v>#REF!</v>
      </c>
      <c r="S30" s="657"/>
      <c r="T30" s="657" t="e">
        <f>IF(AND(' RIESGOS DE GESTION'!#REF!="Baja",' RIESGOS DE GESTION'!#REF!="Menor"),CONCATENATE("R",' RIESGOS DE GESTION'!#REF!),"")</f>
        <v>#REF!</v>
      </c>
      <c r="U30" s="658"/>
      <c r="V30" s="656" t="e">
        <f>IF(AND(' RIESGOS DE GESTION'!#REF!="Baja",' RIESGOS DE GESTION'!#REF!="Moderado"),CONCATENATE("R",' RIESGOS DE GESTION'!#REF!),"")</f>
        <v>#REF!</v>
      </c>
      <c r="W30" s="657"/>
      <c r="X30" s="657" t="e">
        <f>IF(AND(' RIESGOS DE GESTION'!#REF!="Baja",' RIESGOS DE GESTION'!#REF!="Moderado"),CONCATENATE("R",' RIESGOS DE GESTION'!#REF!),"")</f>
        <v>#REF!</v>
      </c>
      <c r="Y30" s="657"/>
      <c r="Z30" s="657" t="e">
        <f>IF(AND(' RIESGOS DE GESTION'!#REF!="Baja",' RIESGOS DE GESTION'!#REF!="Moderado"),CONCATENATE("R",' RIESGOS DE GESTION'!#REF!),"")</f>
        <v>#REF!</v>
      </c>
      <c r="AA30" s="658"/>
      <c r="AB30" s="632" t="e">
        <f>IF(AND(' RIESGOS DE GESTION'!#REF!="Baja",' RIESGOS DE GESTION'!#REF!="Mayor"),CONCATENATE("R",' RIESGOS DE GESTION'!#REF!),"")</f>
        <v>#REF!</v>
      </c>
      <c r="AC30" s="633"/>
      <c r="AD30" s="633" t="e">
        <f>IF(AND(' RIESGOS DE GESTION'!#REF!="Baja",' RIESGOS DE GESTION'!#REF!="Mayor"),CONCATENATE("R",' RIESGOS DE GESTION'!#REF!),"")</f>
        <v>#REF!</v>
      </c>
      <c r="AE30" s="633"/>
      <c r="AF30" s="633" t="e">
        <f>IF(AND(' RIESGOS DE GESTION'!#REF!="Baja",' RIESGOS DE GESTION'!#REF!="Mayor"),CONCATENATE("R",' RIESGOS DE GESTION'!#REF!),"")</f>
        <v>#REF!</v>
      </c>
      <c r="AG30" s="635"/>
      <c r="AH30" s="647" t="e">
        <f>IF(AND(' RIESGOS DE GESTION'!#REF!="Baja",' RIESGOS DE GESTION'!#REF!="Catastrófico"),CONCATENATE("R",' RIESGOS DE GESTION'!#REF!),"")</f>
        <v>#REF!</v>
      </c>
      <c r="AI30" s="648"/>
      <c r="AJ30" s="648" t="e">
        <f>IF(AND(' RIESGOS DE GESTION'!#REF!="Baja",' RIESGOS DE GESTION'!#REF!="Catastrófico"),CONCATENATE("R",' RIESGOS DE GESTION'!#REF!),"")</f>
        <v>#REF!</v>
      </c>
      <c r="AK30" s="648"/>
      <c r="AL30" s="648" t="e">
        <f>IF(AND(' RIESGOS DE GESTION'!#REF!="Baja",' RIESGOS DE GESTION'!#REF!="Catastrófico"),CONCATENATE("R",' RIESGOS DE GESTION'!#REF!),"")</f>
        <v>#REF!</v>
      </c>
      <c r="AM30" s="649"/>
      <c r="AN30" s="69"/>
      <c r="AO30" s="612" t="s">
        <v>422</v>
      </c>
      <c r="AP30" s="613"/>
      <c r="AQ30" s="613"/>
      <c r="AR30" s="613"/>
      <c r="AS30" s="613"/>
      <c r="AT30" s="614"/>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583"/>
      <c r="C31" s="583"/>
      <c r="D31" s="584"/>
      <c r="E31" s="624"/>
      <c r="F31" s="625"/>
      <c r="G31" s="625"/>
      <c r="H31" s="625"/>
      <c r="I31" s="625"/>
      <c r="J31" s="661"/>
      <c r="K31" s="659"/>
      <c r="L31" s="659"/>
      <c r="M31" s="659"/>
      <c r="N31" s="659"/>
      <c r="O31" s="660"/>
      <c r="P31" s="651"/>
      <c r="Q31" s="651"/>
      <c r="R31" s="651"/>
      <c r="S31" s="651"/>
      <c r="T31" s="651"/>
      <c r="U31" s="652"/>
      <c r="V31" s="650"/>
      <c r="W31" s="651"/>
      <c r="X31" s="651"/>
      <c r="Y31" s="651"/>
      <c r="Z31" s="651"/>
      <c r="AA31" s="652"/>
      <c r="AB31" s="634"/>
      <c r="AC31" s="630"/>
      <c r="AD31" s="630"/>
      <c r="AE31" s="630"/>
      <c r="AF31" s="630"/>
      <c r="AG31" s="631"/>
      <c r="AH31" s="641"/>
      <c r="AI31" s="642"/>
      <c r="AJ31" s="642"/>
      <c r="AK31" s="642"/>
      <c r="AL31" s="642"/>
      <c r="AM31" s="643"/>
      <c r="AN31" s="69"/>
      <c r="AO31" s="615"/>
      <c r="AP31" s="616"/>
      <c r="AQ31" s="616"/>
      <c r="AR31" s="616"/>
      <c r="AS31" s="616"/>
      <c r="AT31" s="617"/>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583"/>
      <c r="C32" s="583"/>
      <c r="D32" s="584"/>
      <c r="E32" s="624"/>
      <c r="F32" s="625"/>
      <c r="G32" s="625"/>
      <c r="H32" s="625"/>
      <c r="I32" s="625"/>
      <c r="J32" s="661" t="e">
        <f>IF(AND(' RIESGOS DE GESTION'!#REF!="Baja",' RIESGOS DE GESTION'!#REF!="Leve"),CONCATENATE("R",' RIESGOS DE GESTION'!#REF!),"")</f>
        <v>#REF!</v>
      </c>
      <c r="K32" s="659"/>
      <c r="L32" s="659" t="e">
        <f>IF(AND(' RIESGOS DE GESTION'!#REF!="Baja",' RIESGOS DE GESTION'!#REF!="Leve"),CONCATENATE("R",' RIESGOS DE GESTION'!#REF!),"")</f>
        <v>#REF!</v>
      </c>
      <c r="M32" s="659"/>
      <c r="N32" s="659" t="e">
        <f>IF(AND(' RIESGOS DE GESTION'!#REF!="Baja",' RIESGOS DE GESTION'!#REF!="Leve"),CONCATENATE("R",' RIESGOS DE GESTION'!#REF!),"")</f>
        <v>#REF!</v>
      </c>
      <c r="O32" s="660"/>
      <c r="P32" s="651" t="e">
        <f>IF(AND(' RIESGOS DE GESTION'!#REF!="Baja",' RIESGOS DE GESTION'!#REF!="Menor"),CONCATENATE("R",' RIESGOS DE GESTION'!#REF!),"")</f>
        <v>#REF!</v>
      </c>
      <c r="Q32" s="651"/>
      <c r="R32" s="651" t="e">
        <f>IF(AND(' RIESGOS DE GESTION'!#REF!="Baja",' RIESGOS DE GESTION'!#REF!="Menor"),CONCATENATE("R",' RIESGOS DE GESTION'!#REF!),"")</f>
        <v>#REF!</v>
      </c>
      <c r="S32" s="651"/>
      <c r="T32" s="651" t="e">
        <f>IF(AND(' RIESGOS DE GESTION'!#REF!="Baja",' RIESGOS DE GESTION'!#REF!="Menor"),CONCATENATE("R",' RIESGOS DE GESTION'!#REF!),"")</f>
        <v>#REF!</v>
      </c>
      <c r="U32" s="652"/>
      <c r="V32" s="650" t="e">
        <f>IF(AND(' RIESGOS DE GESTION'!#REF!="Baja",' RIESGOS DE GESTION'!#REF!="Moderado"),CONCATENATE("R",' RIESGOS DE GESTION'!#REF!),"")</f>
        <v>#REF!</v>
      </c>
      <c r="W32" s="651"/>
      <c r="X32" s="651" t="e">
        <f>IF(AND(' RIESGOS DE GESTION'!#REF!="Baja",' RIESGOS DE GESTION'!#REF!="Moderado"),CONCATENATE("R",' RIESGOS DE GESTION'!#REF!),"")</f>
        <v>#REF!</v>
      </c>
      <c r="Y32" s="651"/>
      <c r="Z32" s="651" t="e">
        <f>IF(AND(' RIESGOS DE GESTION'!#REF!="Baja",' RIESGOS DE GESTION'!#REF!="Moderado"),CONCATENATE("R",' RIESGOS DE GESTION'!#REF!),"")</f>
        <v>#REF!</v>
      </c>
      <c r="AA32" s="652"/>
      <c r="AB32" s="634" t="e">
        <f>IF(AND(' RIESGOS DE GESTION'!#REF!="Baja",' RIESGOS DE GESTION'!#REF!="Mayor"),CONCATENATE("R",' RIESGOS DE GESTION'!#REF!),"")</f>
        <v>#REF!</v>
      </c>
      <c r="AC32" s="630"/>
      <c r="AD32" s="630" t="e">
        <f>IF(AND(' RIESGOS DE GESTION'!#REF!="Baja",' RIESGOS DE GESTION'!#REF!="Mayor"),CONCATENATE("R",' RIESGOS DE GESTION'!#REF!),"")</f>
        <v>#REF!</v>
      </c>
      <c r="AE32" s="630"/>
      <c r="AF32" s="630" t="e">
        <f>IF(AND(' RIESGOS DE GESTION'!#REF!="Baja",' RIESGOS DE GESTION'!#REF!="Mayor"),CONCATENATE("R",' RIESGOS DE GESTION'!#REF!),"")</f>
        <v>#REF!</v>
      </c>
      <c r="AG32" s="631"/>
      <c r="AH32" s="641" t="e">
        <f>IF(AND(' RIESGOS DE GESTION'!#REF!="Baja",' RIESGOS DE GESTION'!#REF!="Catastrófico"),CONCATENATE("R",' RIESGOS DE GESTION'!#REF!),"")</f>
        <v>#REF!</v>
      </c>
      <c r="AI32" s="642"/>
      <c r="AJ32" s="642" t="e">
        <f>IF(AND(' RIESGOS DE GESTION'!#REF!="Baja",' RIESGOS DE GESTION'!#REF!="Catastrófico"),CONCATENATE("R",' RIESGOS DE GESTION'!#REF!),"")</f>
        <v>#REF!</v>
      </c>
      <c r="AK32" s="642"/>
      <c r="AL32" s="642" t="e">
        <f>IF(AND(' RIESGOS DE GESTION'!#REF!="Baja",' RIESGOS DE GESTION'!#REF!="Catastrófico"),CONCATENATE("R",' RIESGOS DE GESTION'!#REF!),"")</f>
        <v>#REF!</v>
      </c>
      <c r="AM32" s="643"/>
      <c r="AN32" s="69"/>
      <c r="AO32" s="615"/>
      <c r="AP32" s="616"/>
      <c r="AQ32" s="616"/>
      <c r="AR32" s="616"/>
      <c r="AS32" s="616"/>
      <c r="AT32" s="617"/>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583"/>
      <c r="C33" s="583"/>
      <c r="D33" s="584"/>
      <c r="E33" s="624"/>
      <c r="F33" s="625"/>
      <c r="G33" s="625"/>
      <c r="H33" s="625"/>
      <c r="I33" s="625"/>
      <c r="J33" s="661"/>
      <c r="K33" s="659"/>
      <c r="L33" s="659"/>
      <c r="M33" s="659"/>
      <c r="N33" s="659"/>
      <c r="O33" s="660"/>
      <c r="P33" s="651"/>
      <c r="Q33" s="651"/>
      <c r="R33" s="651"/>
      <c r="S33" s="651"/>
      <c r="T33" s="651"/>
      <c r="U33" s="652"/>
      <c r="V33" s="650"/>
      <c r="W33" s="651"/>
      <c r="X33" s="651"/>
      <c r="Y33" s="651"/>
      <c r="Z33" s="651"/>
      <c r="AA33" s="652"/>
      <c r="AB33" s="634"/>
      <c r="AC33" s="630"/>
      <c r="AD33" s="630"/>
      <c r="AE33" s="630"/>
      <c r="AF33" s="630"/>
      <c r="AG33" s="631"/>
      <c r="AH33" s="641"/>
      <c r="AI33" s="642"/>
      <c r="AJ33" s="642"/>
      <c r="AK33" s="642"/>
      <c r="AL33" s="642"/>
      <c r="AM33" s="643"/>
      <c r="AN33" s="69"/>
      <c r="AO33" s="615"/>
      <c r="AP33" s="616"/>
      <c r="AQ33" s="616"/>
      <c r="AR33" s="616"/>
      <c r="AS33" s="616"/>
      <c r="AT33" s="617"/>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583"/>
      <c r="C34" s="583"/>
      <c r="D34" s="584"/>
      <c r="E34" s="624"/>
      <c r="F34" s="625"/>
      <c r="G34" s="625"/>
      <c r="H34" s="625"/>
      <c r="I34" s="625"/>
      <c r="J34" s="661" t="e">
        <f>IF(AND(' RIESGOS DE GESTION'!#REF!="Baja",' RIESGOS DE GESTION'!#REF!="Leve"),CONCATENATE("R",' RIESGOS DE GESTION'!#REF!),"")</f>
        <v>#REF!</v>
      </c>
      <c r="K34" s="659"/>
      <c r="L34" s="659" t="e">
        <f>IF(AND(' RIESGOS DE GESTION'!#REF!="Baja",' RIESGOS DE GESTION'!#REF!="Leve"),CONCATENATE("R",' RIESGOS DE GESTION'!#REF!),"")</f>
        <v>#REF!</v>
      </c>
      <c r="M34" s="659"/>
      <c r="N34" s="659" t="e">
        <f>IF(AND(' RIESGOS DE GESTION'!#REF!="Baja",' RIESGOS DE GESTION'!#REF!="Leve"),CONCATENATE("R",' RIESGOS DE GESTION'!#REF!),"")</f>
        <v>#REF!</v>
      </c>
      <c r="O34" s="660"/>
      <c r="P34" s="651" t="e">
        <f>IF(AND(' RIESGOS DE GESTION'!#REF!="Baja",' RIESGOS DE GESTION'!#REF!="Menor"),CONCATENATE("R",' RIESGOS DE GESTION'!#REF!),"")</f>
        <v>#REF!</v>
      </c>
      <c r="Q34" s="651"/>
      <c r="R34" s="651" t="e">
        <f>IF(AND(' RIESGOS DE GESTION'!#REF!="Baja",' RIESGOS DE GESTION'!#REF!="Menor"),CONCATENATE("R",' RIESGOS DE GESTION'!#REF!),"")</f>
        <v>#REF!</v>
      </c>
      <c r="S34" s="651"/>
      <c r="T34" s="651" t="e">
        <f>IF(AND(' RIESGOS DE GESTION'!#REF!="Baja",' RIESGOS DE GESTION'!#REF!="Menor"),CONCATENATE("R",' RIESGOS DE GESTION'!#REF!),"")</f>
        <v>#REF!</v>
      </c>
      <c r="U34" s="652"/>
      <c r="V34" s="650" t="e">
        <f>IF(AND(' RIESGOS DE GESTION'!#REF!="Baja",' RIESGOS DE GESTION'!#REF!="Moderado"),CONCATENATE("R",' RIESGOS DE GESTION'!#REF!),"")</f>
        <v>#REF!</v>
      </c>
      <c r="W34" s="651"/>
      <c r="X34" s="651" t="e">
        <f>IF(AND(' RIESGOS DE GESTION'!#REF!="Baja",' RIESGOS DE GESTION'!#REF!="Moderado"),CONCATENATE("R",' RIESGOS DE GESTION'!#REF!),"")</f>
        <v>#REF!</v>
      </c>
      <c r="Y34" s="651"/>
      <c r="Z34" s="651" t="e">
        <f>IF(AND(' RIESGOS DE GESTION'!#REF!="Baja",' RIESGOS DE GESTION'!#REF!="Moderado"),CONCATENATE("R",' RIESGOS DE GESTION'!#REF!),"")</f>
        <v>#REF!</v>
      </c>
      <c r="AA34" s="652"/>
      <c r="AB34" s="634" t="e">
        <f>IF(AND(' RIESGOS DE GESTION'!#REF!="Baja",' RIESGOS DE GESTION'!#REF!="Mayor"),CONCATENATE("R",' RIESGOS DE GESTION'!#REF!),"")</f>
        <v>#REF!</v>
      </c>
      <c r="AC34" s="630"/>
      <c r="AD34" s="630" t="e">
        <f>IF(AND(' RIESGOS DE GESTION'!#REF!="Baja",' RIESGOS DE GESTION'!#REF!="Mayor"),CONCATENATE("R",' RIESGOS DE GESTION'!#REF!),"")</f>
        <v>#REF!</v>
      </c>
      <c r="AE34" s="630"/>
      <c r="AF34" s="630" t="e">
        <f>IF(AND(' RIESGOS DE GESTION'!#REF!="Baja",' RIESGOS DE GESTION'!#REF!="Mayor"),CONCATENATE("R",' RIESGOS DE GESTION'!#REF!),"")</f>
        <v>#REF!</v>
      </c>
      <c r="AG34" s="631"/>
      <c r="AH34" s="641" t="e">
        <f>IF(AND(' RIESGOS DE GESTION'!#REF!="Baja",' RIESGOS DE GESTION'!#REF!="Catastrófico"),CONCATENATE("R",' RIESGOS DE GESTION'!#REF!),"")</f>
        <v>#REF!</v>
      </c>
      <c r="AI34" s="642"/>
      <c r="AJ34" s="642" t="e">
        <f>IF(AND(' RIESGOS DE GESTION'!#REF!="Baja",' RIESGOS DE GESTION'!#REF!="Catastrófico"),CONCATENATE("R",' RIESGOS DE GESTION'!#REF!),"")</f>
        <v>#REF!</v>
      </c>
      <c r="AK34" s="642"/>
      <c r="AL34" s="642" t="e">
        <f>IF(AND(' RIESGOS DE GESTION'!#REF!="Baja",' RIESGOS DE GESTION'!#REF!="Catastrófico"),CONCATENATE("R",' RIESGOS DE GESTION'!#REF!),"")</f>
        <v>#REF!</v>
      </c>
      <c r="AM34" s="643"/>
      <c r="AN34" s="69"/>
      <c r="AO34" s="615"/>
      <c r="AP34" s="616"/>
      <c r="AQ34" s="616"/>
      <c r="AR34" s="616"/>
      <c r="AS34" s="616"/>
      <c r="AT34" s="617"/>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583"/>
      <c r="C35" s="583"/>
      <c r="D35" s="584"/>
      <c r="E35" s="624"/>
      <c r="F35" s="625"/>
      <c r="G35" s="625"/>
      <c r="H35" s="625"/>
      <c r="I35" s="625"/>
      <c r="J35" s="661"/>
      <c r="K35" s="659"/>
      <c r="L35" s="659"/>
      <c r="M35" s="659"/>
      <c r="N35" s="659"/>
      <c r="O35" s="660"/>
      <c r="P35" s="651"/>
      <c r="Q35" s="651"/>
      <c r="R35" s="651"/>
      <c r="S35" s="651"/>
      <c r="T35" s="651"/>
      <c r="U35" s="652"/>
      <c r="V35" s="650"/>
      <c r="W35" s="651"/>
      <c r="X35" s="651"/>
      <c r="Y35" s="651"/>
      <c r="Z35" s="651"/>
      <c r="AA35" s="652"/>
      <c r="AB35" s="634"/>
      <c r="AC35" s="630"/>
      <c r="AD35" s="630"/>
      <c r="AE35" s="630"/>
      <c r="AF35" s="630"/>
      <c r="AG35" s="631"/>
      <c r="AH35" s="641"/>
      <c r="AI35" s="642"/>
      <c r="AJ35" s="642"/>
      <c r="AK35" s="642"/>
      <c r="AL35" s="642"/>
      <c r="AM35" s="643"/>
      <c r="AN35" s="69"/>
      <c r="AO35" s="615"/>
      <c r="AP35" s="616"/>
      <c r="AQ35" s="616"/>
      <c r="AR35" s="616"/>
      <c r="AS35" s="616"/>
      <c r="AT35" s="617"/>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583"/>
      <c r="C36" s="583"/>
      <c r="D36" s="584"/>
      <c r="E36" s="624"/>
      <c r="F36" s="625"/>
      <c r="G36" s="625"/>
      <c r="H36" s="625"/>
      <c r="I36" s="625"/>
      <c r="J36" s="661" t="e">
        <f>IF(AND(' RIESGOS DE GESTION'!#REF!="Baja",' RIESGOS DE GESTION'!#REF!="Leve"),CONCATENATE("R",' RIESGOS DE GESTION'!#REF!),"")</f>
        <v>#REF!</v>
      </c>
      <c r="K36" s="659"/>
      <c r="L36" s="659" t="e">
        <f>IF(AND(' RIESGOS DE GESTION'!#REF!="Baja",' RIESGOS DE GESTION'!#REF!="Leve"),CONCATENATE("R",' RIESGOS DE GESTION'!#REF!),"")</f>
        <v>#REF!</v>
      </c>
      <c r="M36" s="659"/>
      <c r="N36" s="659" t="e">
        <f>IF(AND(' RIESGOS DE GESTION'!#REF!="Baja",' RIESGOS DE GESTION'!#REF!="Leve"),CONCATENATE("R",' RIESGOS DE GESTION'!#REF!),"")</f>
        <v>#REF!</v>
      </c>
      <c r="O36" s="660"/>
      <c r="P36" s="651" t="e">
        <f>IF(AND(' RIESGOS DE GESTION'!#REF!="Baja",' RIESGOS DE GESTION'!#REF!="Menor"),CONCATENATE("R",' RIESGOS DE GESTION'!#REF!),"")</f>
        <v>#REF!</v>
      </c>
      <c r="Q36" s="651"/>
      <c r="R36" s="651" t="e">
        <f>IF(AND(' RIESGOS DE GESTION'!#REF!="Baja",' RIESGOS DE GESTION'!#REF!="Menor"),CONCATENATE("R",' RIESGOS DE GESTION'!#REF!),"")</f>
        <v>#REF!</v>
      </c>
      <c r="S36" s="651"/>
      <c r="T36" s="651" t="e">
        <f>IF(AND(' RIESGOS DE GESTION'!#REF!="Baja",' RIESGOS DE GESTION'!#REF!="Menor"),CONCATENATE("R",' RIESGOS DE GESTION'!#REF!),"")</f>
        <v>#REF!</v>
      </c>
      <c r="U36" s="652"/>
      <c r="V36" s="650" t="e">
        <f>IF(AND(' RIESGOS DE GESTION'!#REF!="Baja",' RIESGOS DE GESTION'!#REF!="Moderado"),CONCATENATE("R",' RIESGOS DE GESTION'!#REF!),"")</f>
        <v>#REF!</v>
      </c>
      <c r="W36" s="651"/>
      <c r="X36" s="651" t="e">
        <f>IF(AND(' RIESGOS DE GESTION'!#REF!="Baja",' RIESGOS DE GESTION'!#REF!="Moderado"),CONCATENATE("R",' RIESGOS DE GESTION'!#REF!),"")</f>
        <v>#REF!</v>
      </c>
      <c r="Y36" s="651"/>
      <c r="Z36" s="651" t="e">
        <f>IF(AND(' RIESGOS DE GESTION'!#REF!="Baja",' RIESGOS DE GESTION'!#REF!="Moderado"),CONCATENATE("R",' RIESGOS DE GESTION'!#REF!),"")</f>
        <v>#REF!</v>
      </c>
      <c r="AA36" s="652"/>
      <c r="AB36" s="634" t="e">
        <f>IF(AND(' RIESGOS DE GESTION'!#REF!="Baja",' RIESGOS DE GESTION'!#REF!="Mayor"),CONCATENATE("R",' RIESGOS DE GESTION'!#REF!),"")</f>
        <v>#REF!</v>
      </c>
      <c r="AC36" s="630"/>
      <c r="AD36" s="630" t="e">
        <f>IF(AND(' RIESGOS DE GESTION'!#REF!="Baja",' RIESGOS DE GESTION'!#REF!="Mayor"),CONCATENATE("R",' RIESGOS DE GESTION'!#REF!),"")</f>
        <v>#REF!</v>
      </c>
      <c r="AE36" s="630"/>
      <c r="AF36" s="630" t="e">
        <f>IF(AND(' RIESGOS DE GESTION'!#REF!="Baja",' RIESGOS DE GESTION'!#REF!="Mayor"),CONCATENATE("R",' RIESGOS DE GESTION'!#REF!),"")</f>
        <v>#REF!</v>
      </c>
      <c r="AG36" s="631"/>
      <c r="AH36" s="641" t="e">
        <f>IF(AND(' RIESGOS DE GESTION'!#REF!="Baja",' RIESGOS DE GESTION'!#REF!="Catastrófico"),CONCATENATE("R",' RIESGOS DE GESTION'!#REF!),"")</f>
        <v>#REF!</v>
      </c>
      <c r="AI36" s="642"/>
      <c r="AJ36" s="642" t="e">
        <f>IF(AND(' RIESGOS DE GESTION'!#REF!="Baja",' RIESGOS DE GESTION'!#REF!="Catastrófico"),CONCATENATE("R",' RIESGOS DE GESTION'!#REF!),"")</f>
        <v>#REF!</v>
      </c>
      <c r="AK36" s="642"/>
      <c r="AL36" s="642" t="e">
        <f>IF(AND(' RIESGOS DE GESTION'!#REF!="Baja",' RIESGOS DE GESTION'!#REF!="Catastrófico"),CONCATENATE("R",' RIESGOS DE GESTION'!#REF!),"")</f>
        <v>#REF!</v>
      </c>
      <c r="AM36" s="643"/>
      <c r="AN36" s="69"/>
      <c r="AO36" s="615"/>
      <c r="AP36" s="616"/>
      <c r="AQ36" s="616"/>
      <c r="AR36" s="616"/>
      <c r="AS36" s="616"/>
      <c r="AT36" s="617"/>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583"/>
      <c r="C37" s="583"/>
      <c r="D37" s="584"/>
      <c r="E37" s="627"/>
      <c r="F37" s="628"/>
      <c r="G37" s="628"/>
      <c r="H37" s="628"/>
      <c r="I37" s="628"/>
      <c r="J37" s="662"/>
      <c r="K37" s="663"/>
      <c r="L37" s="663"/>
      <c r="M37" s="663"/>
      <c r="N37" s="663"/>
      <c r="O37" s="664"/>
      <c r="P37" s="654"/>
      <c r="Q37" s="654"/>
      <c r="R37" s="654"/>
      <c r="S37" s="654"/>
      <c r="T37" s="654"/>
      <c r="U37" s="655"/>
      <c r="V37" s="653"/>
      <c r="W37" s="654"/>
      <c r="X37" s="654"/>
      <c r="Y37" s="654"/>
      <c r="Z37" s="654"/>
      <c r="AA37" s="655"/>
      <c r="AB37" s="638"/>
      <c r="AC37" s="639"/>
      <c r="AD37" s="639"/>
      <c r="AE37" s="639"/>
      <c r="AF37" s="639"/>
      <c r="AG37" s="640"/>
      <c r="AH37" s="644"/>
      <c r="AI37" s="645"/>
      <c r="AJ37" s="645"/>
      <c r="AK37" s="645"/>
      <c r="AL37" s="645"/>
      <c r="AM37" s="646"/>
      <c r="AN37" s="69"/>
      <c r="AO37" s="618"/>
      <c r="AP37" s="619"/>
      <c r="AQ37" s="619"/>
      <c r="AR37" s="619"/>
      <c r="AS37" s="619"/>
      <c r="AT37" s="620"/>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583"/>
      <c r="C38" s="583"/>
      <c r="D38" s="584"/>
      <c r="E38" s="621" t="s">
        <v>423</v>
      </c>
      <c r="F38" s="622"/>
      <c r="G38" s="622"/>
      <c r="H38" s="622"/>
      <c r="I38" s="623"/>
      <c r="J38" s="665" t="e">
        <f>IF(AND(' RIESGOS DE GESTION'!#REF!="Muy Baja",' RIESGOS DE GESTION'!#REF!="Leve"),CONCATENATE("R",' RIESGOS DE GESTION'!#REF!),"")</f>
        <v>#REF!</v>
      </c>
      <c r="K38" s="666"/>
      <c r="L38" s="666" t="e">
        <f>IF(AND(' RIESGOS DE GESTION'!#REF!="Muy Baja",' RIESGOS DE GESTION'!#REF!="Leve"),CONCATENATE("R",' RIESGOS DE GESTION'!#REF!),"")</f>
        <v>#REF!</v>
      </c>
      <c r="M38" s="666"/>
      <c r="N38" s="666" t="e">
        <f>IF(AND(' RIESGOS DE GESTION'!#REF!="Muy Baja",' RIESGOS DE GESTION'!#REF!="Leve"),CONCATENATE("R",' RIESGOS DE GESTION'!#REF!),"")</f>
        <v>#REF!</v>
      </c>
      <c r="O38" s="667"/>
      <c r="P38" s="665" t="e">
        <f>IF(AND(' RIESGOS DE GESTION'!#REF!="Muy Baja",' RIESGOS DE GESTION'!#REF!="Menor"),CONCATENATE("R",' RIESGOS DE GESTION'!#REF!),"")</f>
        <v>#REF!</v>
      </c>
      <c r="Q38" s="666"/>
      <c r="R38" s="666" t="e">
        <f>IF(AND(' RIESGOS DE GESTION'!#REF!="Muy Baja",' RIESGOS DE GESTION'!#REF!="Menor"),CONCATENATE("R",' RIESGOS DE GESTION'!#REF!),"")</f>
        <v>#REF!</v>
      </c>
      <c r="S38" s="666"/>
      <c r="T38" s="666" t="e">
        <f>IF(AND(' RIESGOS DE GESTION'!#REF!="Muy Baja",' RIESGOS DE GESTION'!#REF!="Menor"),CONCATENATE("R",' RIESGOS DE GESTION'!#REF!),"")</f>
        <v>#REF!</v>
      </c>
      <c r="U38" s="667"/>
      <c r="V38" s="656" t="e">
        <f>IF(AND(' RIESGOS DE GESTION'!#REF!="Muy Baja",' RIESGOS DE GESTION'!#REF!="Moderado"),CONCATENATE("R",' RIESGOS DE GESTION'!#REF!),"")</f>
        <v>#REF!</v>
      </c>
      <c r="W38" s="657"/>
      <c r="X38" s="657" t="e">
        <f>IF(AND(' RIESGOS DE GESTION'!#REF!="Muy Baja",' RIESGOS DE GESTION'!#REF!="Moderado"),CONCATENATE("R",' RIESGOS DE GESTION'!#REF!),"")</f>
        <v>#REF!</v>
      </c>
      <c r="Y38" s="657"/>
      <c r="Z38" s="657" t="e">
        <f>IF(AND(' RIESGOS DE GESTION'!#REF!="Muy Baja",' RIESGOS DE GESTION'!#REF!="Moderado"),CONCATENATE("R",' RIESGOS DE GESTION'!#REF!),"")</f>
        <v>#REF!</v>
      </c>
      <c r="AA38" s="658"/>
      <c r="AB38" s="632" t="e">
        <f>IF(AND(' RIESGOS DE GESTION'!#REF!="Muy Baja",' RIESGOS DE GESTION'!#REF!="Mayor"),CONCATENATE("R",' RIESGOS DE GESTION'!#REF!),"")</f>
        <v>#REF!</v>
      </c>
      <c r="AC38" s="633"/>
      <c r="AD38" s="633" t="e">
        <f>IF(AND(' RIESGOS DE GESTION'!#REF!="Muy Baja",' RIESGOS DE GESTION'!#REF!="Mayor"),CONCATENATE("R",' RIESGOS DE GESTION'!#REF!),"")</f>
        <v>#REF!</v>
      </c>
      <c r="AE38" s="633"/>
      <c r="AF38" s="633" t="e">
        <f>IF(AND(' RIESGOS DE GESTION'!#REF!="Muy Baja",' RIESGOS DE GESTION'!#REF!="Mayor"),CONCATENATE("R",' RIESGOS DE GESTION'!#REF!),"")</f>
        <v>#REF!</v>
      </c>
      <c r="AG38" s="635"/>
      <c r="AH38" s="647" t="e">
        <f>IF(AND(' RIESGOS DE GESTION'!#REF!="Muy Baja",' RIESGOS DE GESTION'!#REF!="Catastrófico"),CONCATENATE("R",' RIESGOS DE GESTION'!#REF!),"")</f>
        <v>#REF!</v>
      </c>
      <c r="AI38" s="648"/>
      <c r="AJ38" s="648" t="e">
        <f>IF(AND(' RIESGOS DE GESTION'!#REF!="Muy Baja",' RIESGOS DE GESTION'!#REF!="Catastrófico"),CONCATENATE("R",' RIESGOS DE GESTION'!#REF!),"")</f>
        <v>#REF!</v>
      </c>
      <c r="AK38" s="648"/>
      <c r="AL38" s="648" t="e">
        <f>IF(AND(' RIESGOS DE GESTION'!#REF!="Muy Baja",' RIESGOS DE GESTION'!#REF!="Catastrófico"),CONCATENATE("R",' RIESGOS DE GESTION'!#REF!),"")</f>
        <v>#REF!</v>
      </c>
      <c r="AM38" s="64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583"/>
      <c r="C39" s="583"/>
      <c r="D39" s="584"/>
      <c r="E39" s="624"/>
      <c r="F39" s="625"/>
      <c r="G39" s="625"/>
      <c r="H39" s="625"/>
      <c r="I39" s="626"/>
      <c r="J39" s="661"/>
      <c r="K39" s="659"/>
      <c r="L39" s="659"/>
      <c r="M39" s="659"/>
      <c r="N39" s="659"/>
      <c r="O39" s="660"/>
      <c r="P39" s="661"/>
      <c r="Q39" s="659"/>
      <c r="R39" s="659"/>
      <c r="S39" s="659"/>
      <c r="T39" s="659"/>
      <c r="U39" s="660"/>
      <c r="V39" s="650"/>
      <c r="W39" s="651"/>
      <c r="X39" s="651"/>
      <c r="Y39" s="651"/>
      <c r="Z39" s="651"/>
      <c r="AA39" s="652"/>
      <c r="AB39" s="634"/>
      <c r="AC39" s="630"/>
      <c r="AD39" s="630"/>
      <c r="AE39" s="630"/>
      <c r="AF39" s="630"/>
      <c r="AG39" s="631"/>
      <c r="AH39" s="641"/>
      <c r="AI39" s="642"/>
      <c r="AJ39" s="642"/>
      <c r="AK39" s="642"/>
      <c r="AL39" s="642"/>
      <c r="AM39" s="643"/>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583"/>
      <c r="C40" s="583"/>
      <c r="D40" s="584"/>
      <c r="E40" s="624"/>
      <c r="F40" s="625"/>
      <c r="G40" s="625"/>
      <c r="H40" s="625"/>
      <c r="I40" s="626"/>
      <c r="J40" s="661" t="e">
        <f>IF(AND(' RIESGOS DE GESTION'!#REF!="Muy Baja",' RIESGOS DE GESTION'!#REF!="Leve"),CONCATENATE("R",' RIESGOS DE GESTION'!#REF!),"")</f>
        <v>#REF!</v>
      </c>
      <c r="K40" s="659"/>
      <c r="L40" s="659" t="e">
        <f>IF(AND(' RIESGOS DE GESTION'!#REF!="Muy Baja",' RIESGOS DE GESTION'!#REF!="Leve"),CONCATENATE("R",' RIESGOS DE GESTION'!#REF!),"")</f>
        <v>#REF!</v>
      </c>
      <c r="M40" s="659"/>
      <c r="N40" s="659" t="e">
        <f>IF(AND(' RIESGOS DE GESTION'!#REF!="Muy Baja",' RIESGOS DE GESTION'!#REF!="Leve"),CONCATENATE("R",' RIESGOS DE GESTION'!#REF!),"")</f>
        <v>#REF!</v>
      </c>
      <c r="O40" s="660"/>
      <c r="P40" s="661" t="e">
        <f>IF(AND(' RIESGOS DE GESTION'!#REF!="Muy Baja",' RIESGOS DE GESTION'!#REF!="Menor"),CONCATENATE("R",' RIESGOS DE GESTION'!#REF!),"")</f>
        <v>#REF!</v>
      </c>
      <c r="Q40" s="659"/>
      <c r="R40" s="659" t="e">
        <f>IF(AND(' RIESGOS DE GESTION'!#REF!="Muy Baja",' RIESGOS DE GESTION'!#REF!="Menor"),CONCATENATE("R",' RIESGOS DE GESTION'!#REF!),"")</f>
        <v>#REF!</v>
      </c>
      <c r="S40" s="659"/>
      <c r="T40" s="659" t="e">
        <f>IF(AND(' RIESGOS DE GESTION'!#REF!="Muy Baja",' RIESGOS DE GESTION'!#REF!="Menor"),CONCATENATE("R",' RIESGOS DE GESTION'!#REF!),"")</f>
        <v>#REF!</v>
      </c>
      <c r="U40" s="660"/>
      <c r="V40" s="650" t="e">
        <f>IF(AND(' RIESGOS DE GESTION'!#REF!="Muy Baja",' RIESGOS DE GESTION'!#REF!="Moderado"),CONCATENATE("R",' RIESGOS DE GESTION'!#REF!),"")</f>
        <v>#REF!</v>
      </c>
      <c r="W40" s="651"/>
      <c r="X40" s="651" t="e">
        <f>IF(AND(' RIESGOS DE GESTION'!#REF!="Muy Baja",' RIESGOS DE GESTION'!#REF!="Moderado"),CONCATENATE("R",' RIESGOS DE GESTION'!#REF!),"")</f>
        <v>#REF!</v>
      </c>
      <c r="Y40" s="651"/>
      <c r="Z40" s="651" t="e">
        <f>IF(AND(' RIESGOS DE GESTION'!#REF!="Muy Baja",' RIESGOS DE GESTION'!#REF!="Moderado"),CONCATENATE("R",' RIESGOS DE GESTION'!#REF!),"")</f>
        <v>#REF!</v>
      </c>
      <c r="AA40" s="652"/>
      <c r="AB40" s="634" t="e">
        <f>IF(AND(' RIESGOS DE GESTION'!#REF!="Muy Baja",' RIESGOS DE GESTION'!#REF!="Mayor"),CONCATENATE("R",' RIESGOS DE GESTION'!#REF!),"")</f>
        <v>#REF!</v>
      </c>
      <c r="AC40" s="630"/>
      <c r="AD40" s="630" t="e">
        <f>IF(AND(' RIESGOS DE GESTION'!#REF!="Muy Baja",' RIESGOS DE GESTION'!#REF!="Mayor"),CONCATENATE("R",' RIESGOS DE GESTION'!#REF!),"")</f>
        <v>#REF!</v>
      </c>
      <c r="AE40" s="630"/>
      <c r="AF40" s="630" t="e">
        <f>IF(AND(' RIESGOS DE GESTION'!#REF!="Muy Baja",' RIESGOS DE GESTION'!#REF!="Mayor"),CONCATENATE("R",' RIESGOS DE GESTION'!#REF!),"")</f>
        <v>#REF!</v>
      </c>
      <c r="AG40" s="631"/>
      <c r="AH40" s="641" t="e">
        <f>IF(AND(' RIESGOS DE GESTION'!#REF!="Muy Baja",' RIESGOS DE GESTION'!#REF!="Catastrófico"),CONCATENATE("R",' RIESGOS DE GESTION'!#REF!),"")</f>
        <v>#REF!</v>
      </c>
      <c r="AI40" s="642"/>
      <c r="AJ40" s="642" t="e">
        <f>IF(AND(' RIESGOS DE GESTION'!#REF!="Muy Baja",' RIESGOS DE GESTION'!#REF!="Catastrófico"),CONCATENATE("R",' RIESGOS DE GESTION'!#REF!),"")</f>
        <v>#REF!</v>
      </c>
      <c r="AK40" s="642"/>
      <c r="AL40" s="642" t="e">
        <f>IF(AND(' RIESGOS DE GESTION'!#REF!="Muy Baja",' RIESGOS DE GESTION'!#REF!="Catastrófico"),CONCATENATE("R",' RIESGOS DE GESTION'!#REF!),"")</f>
        <v>#REF!</v>
      </c>
      <c r="AM40" s="643"/>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583"/>
      <c r="C41" s="583"/>
      <c r="D41" s="584"/>
      <c r="E41" s="624"/>
      <c r="F41" s="625"/>
      <c r="G41" s="625"/>
      <c r="H41" s="625"/>
      <c r="I41" s="626"/>
      <c r="J41" s="661"/>
      <c r="K41" s="659"/>
      <c r="L41" s="659"/>
      <c r="M41" s="659"/>
      <c r="N41" s="659"/>
      <c r="O41" s="660"/>
      <c r="P41" s="661"/>
      <c r="Q41" s="659"/>
      <c r="R41" s="659"/>
      <c r="S41" s="659"/>
      <c r="T41" s="659"/>
      <c r="U41" s="660"/>
      <c r="V41" s="650"/>
      <c r="W41" s="651"/>
      <c r="X41" s="651"/>
      <c r="Y41" s="651"/>
      <c r="Z41" s="651"/>
      <c r="AA41" s="652"/>
      <c r="AB41" s="634"/>
      <c r="AC41" s="630"/>
      <c r="AD41" s="630"/>
      <c r="AE41" s="630"/>
      <c r="AF41" s="630"/>
      <c r="AG41" s="631"/>
      <c r="AH41" s="641"/>
      <c r="AI41" s="642"/>
      <c r="AJ41" s="642"/>
      <c r="AK41" s="642"/>
      <c r="AL41" s="642"/>
      <c r="AM41" s="643"/>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583"/>
      <c r="C42" s="583"/>
      <c r="D42" s="584"/>
      <c r="E42" s="624"/>
      <c r="F42" s="625"/>
      <c r="G42" s="625"/>
      <c r="H42" s="625"/>
      <c r="I42" s="626"/>
      <c r="J42" s="661" t="e">
        <f>IF(AND(' RIESGOS DE GESTION'!#REF!="Muy Baja",' RIESGOS DE GESTION'!#REF!="Leve"),CONCATENATE("R",' RIESGOS DE GESTION'!#REF!),"")</f>
        <v>#REF!</v>
      </c>
      <c r="K42" s="659"/>
      <c r="L42" s="659" t="e">
        <f>IF(AND(' RIESGOS DE GESTION'!#REF!="Muy Baja",' RIESGOS DE GESTION'!#REF!="Leve"),CONCATENATE("R",' RIESGOS DE GESTION'!#REF!),"")</f>
        <v>#REF!</v>
      </c>
      <c r="M42" s="659"/>
      <c r="N42" s="659" t="e">
        <f>IF(AND(' RIESGOS DE GESTION'!#REF!="Muy Baja",' RIESGOS DE GESTION'!#REF!="Leve"),CONCATENATE("R",' RIESGOS DE GESTION'!#REF!),"")</f>
        <v>#REF!</v>
      </c>
      <c r="O42" s="660"/>
      <c r="P42" s="661" t="e">
        <f>IF(AND(' RIESGOS DE GESTION'!#REF!="Muy Baja",' RIESGOS DE GESTION'!#REF!="Menor"),CONCATENATE("R",' RIESGOS DE GESTION'!#REF!),"")</f>
        <v>#REF!</v>
      </c>
      <c r="Q42" s="659"/>
      <c r="R42" s="659" t="e">
        <f>IF(AND(' RIESGOS DE GESTION'!#REF!="Muy Baja",' RIESGOS DE GESTION'!#REF!="Menor"),CONCATENATE("R",' RIESGOS DE GESTION'!#REF!),"")</f>
        <v>#REF!</v>
      </c>
      <c r="S42" s="659"/>
      <c r="T42" s="659" t="e">
        <f>IF(AND(' RIESGOS DE GESTION'!#REF!="Muy Baja",' RIESGOS DE GESTION'!#REF!="Menor"),CONCATENATE("R",' RIESGOS DE GESTION'!#REF!),"")</f>
        <v>#REF!</v>
      </c>
      <c r="U42" s="660"/>
      <c r="V42" s="650" t="e">
        <f>IF(AND(' RIESGOS DE GESTION'!#REF!="Muy Baja",' RIESGOS DE GESTION'!#REF!="Moderado"),CONCATENATE("R",' RIESGOS DE GESTION'!#REF!),"")</f>
        <v>#REF!</v>
      </c>
      <c r="W42" s="651"/>
      <c r="X42" s="651" t="e">
        <f>IF(AND(' RIESGOS DE GESTION'!#REF!="Muy Baja",' RIESGOS DE GESTION'!#REF!="Moderado"),CONCATENATE("R",' RIESGOS DE GESTION'!#REF!),"")</f>
        <v>#REF!</v>
      </c>
      <c r="Y42" s="651"/>
      <c r="Z42" s="651" t="e">
        <f>IF(AND(' RIESGOS DE GESTION'!#REF!="Muy Baja",' RIESGOS DE GESTION'!#REF!="Moderado"),CONCATENATE("R",' RIESGOS DE GESTION'!#REF!),"")</f>
        <v>#REF!</v>
      </c>
      <c r="AA42" s="652"/>
      <c r="AB42" s="634" t="e">
        <f>IF(AND(' RIESGOS DE GESTION'!#REF!="Muy Baja",' RIESGOS DE GESTION'!#REF!="Mayor"),CONCATENATE("R",' RIESGOS DE GESTION'!#REF!),"")</f>
        <v>#REF!</v>
      </c>
      <c r="AC42" s="630"/>
      <c r="AD42" s="630" t="e">
        <f>IF(AND(' RIESGOS DE GESTION'!#REF!="Muy Baja",' RIESGOS DE GESTION'!#REF!="Mayor"),CONCATENATE("R",' RIESGOS DE GESTION'!#REF!),"")</f>
        <v>#REF!</v>
      </c>
      <c r="AE42" s="630"/>
      <c r="AF42" s="630" t="e">
        <f>IF(AND(' RIESGOS DE GESTION'!#REF!="Muy Baja",' RIESGOS DE GESTION'!#REF!="Mayor"),CONCATENATE("R",' RIESGOS DE GESTION'!#REF!),"")</f>
        <v>#REF!</v>
      </c>
      <c r="AG42" s="631"/>
      <c r="AH42" s="641" t="e">
        <f>IF(AND(' RIESGOS DE GESTION'!#REF!="Muy Baja",' RIESGOS DE GESTION'!#REF!="Catastrófico"),CONCATENATE("R",' RIESGOS DE GESTION'!#REF!),"")</f>
        <v>#REF!</v>
      </c>
      <c r="AI42" s="642"/>
      <c r="AJ42" s="642" t="e">
        <f>IF(AND(' RIESGOS DE GESTION'!#REF!="Muy Baja",' RIESGOS DE GESTION'!#REF!="Catastrófico"),CONCATENATE("R",' RIESGOS DE GESTION'!#REF!),"")</f>
        <v>#REF!</v>
      </c>
      <c r="AK42" s="642"/>
      <c r="AL42" s="642" t="e">
        <f>IF(AND(' RIESGOS DE GESTION'!#REF!="Muy Baja",' RIESGOS DE GESTION'!#REF!="Catastrófico"),CONCATENATE("R",' RIESGOS DE GESTION'!#REF!),"")</f>
        <v>#REF!</v>
      </c>
      <c r="AM42" s="643"/>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583"/>
      <c r="C43" s="583"/>
      <c r="D43" s="584"/>
      <c r="E43" s="624"/>
      <c r="F43" s="625"/>
      <c r="G43" s="625"/>
      <c r="H43" s="625"/>
      <c r="I43" s="626"/>
      <c r="J43" s="661"/>
      <c r="K43" s="659"/>
      <c r="L43" s="659"/>
      <c r="M43" s="659"/>
      <c r="N43" s="659"/>
      <c r="O43" s="660"/>
      <c r="P43" s="661"/>
      <c r="Q43" s="659"/>
      <c r="R43" s="659"/>
      <c r="S43" s="659"/>
      <c r="T43" s="659"/>
      <c r="U43" s="660"/>
      <c r="V43" s="650"/>
      <c r="W43" s="651"/>
      <c r="X43" s="651"/>
      <c r="Y43" s="651"/>
      <c r="Z43" s="651"/>
      <c r="AA43" s="652"/>
      <c r="AB43" s="634"/>
      <c r="AC43" s="630"/>
      <c r="AD43" s="630"/>
      <c r="AE43" s="630"/>
      <c r="AF43" s="630"/>
      <c r="AG43" s="631"/>
      <c r="AH43" s="641"/>
      <c r="AI43" s="642"/>
      <c r="AJ43" s="642"/>
      <c r="AK43" s="642"/>
      <c r="AL43" s="642"/>
      <c r="AM43" s="643"/>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583"/>
      <c r="C44" s="583"/>
      <c r="D44" s="584"/>
      <c r="E44" s="624"/>
      <c r="F44" s="625"/>
      <c r="G44" s="625"/>
      <c r="H44" s="625"/>
      <c r="I44" s="626"/>
      <c r="J44" s="661" t="e">
        <f>IF(AND(' RIESGOS DE GESTION'!#REF!="Muy Baja",' RIESGOS DE GESTION'!#REF!="Leve"),CONCATENATE("R",' RIESGOS DE GESTION'!#REF!),"")</f>
        <v>#REF!</v>
      </c>
      <c r="K44" s="659"/>
      <c r="L44" s="659" t="e">
        <f>IF(AND(' RIESGOS DE GESTION'!#REF!="Muy Baja",' RIESGOS DE GESTION'!#REF!="Leve"),CONCATENATE("R",' RIESGOS DE GESTION'!#REF!),"")</f>
        <v>#REF!</v>
      </c>
      <c r="M44" s="659"/>
      <c r="N44" s="659" t="e">
        <f>IF(AND(' RIESGOS DE GESTION'!#REF!="Muy Baja",' RIESGOS DE GESTION'!#REF!="Leve"),CONCATENATE("R",' RIESGOS DE GESTION'!#REF!),"")</f>
        <v>#REF!</v>
      </c>
      <c r="O44" s="660"/>
      <c r="P44" s="661" t="e">
        <f>IF(AND(' RIESGOS DE GESTION'!#REF!="Muy Baja",' RIESGOS DE GESTION'!#REF!="Menor"),CONCATENATE("R",' RIESGOS DE GESTION'!#REF!),"")</f>
        <v>#REF!</v>
      </c>
      <c r="Q44" s="659"/>
      <c r="R44" s="659" t="e">
        <f>IF(AND(' RIESGOS DE GESTION'!#REF!="Muy Baja",' RIESGOS DE GESTION'!#REF!="Menor"),CONCATENATE("R",' RIESGOS DE GESTION'!#REF!),"")</f>
        <v>#REF!</v>
      </c>
      <c r="S44" s="659"/>
      <c r="T44" s="659" t="e">
        <f>IF(AND(' RIESGOS DE GESTION'!#REF!="Muy Baja",' RIESGOS DE GESTION'!#REF!="Menor"),CONCATENATE("R",' RIESGOS DE GESTION'!#REF!),"")</f>
        <v>#REF!</v>
      </c>
      <c r="U44" s="660"/>
      <c r="V44" s="650" t="e">
        <f>IF(AND(' RIESGOS DE GESTION'!#REF!="Muy Baja",' RIESGOS DE GESTION'!#REF!="Moderado"),CONCATENATE("R",' RIESGOS DE GESTION'!#REF!),"")</f>
        <v>#REF!</v>
      </c>
      <c r="W44" s="651"/>
      <c r="X44" s="651" t="e">
        <f>IF(AND(' RIESGOS DE GESTION'!#REF!="Muy Baja",' RIESGOS DE GESTION'!#REF!="Moderado"),CONCATENATE("R",' RIESGOS DE GESTION'!#REF!),"")</f>
        <v>#REF!</v>
      </c>
      <c r="Y44" s="651"/>
      <c r="Z44" s="651" t="e">
        <f>IF(AND(' RIESGOS DE GESTION'!#REF!="Muy Baja",' RIESGOS DE GESTION'!#REF!="Moderado"),CONCATENATE("R",' RIESGOS DE GESTION'!#REF!),"")</f>
        <v>#REF!</v>
      </c>
      <c r="AA44" s="652"/>
      <c r="AB44" s="634" t="e">
        <f>IF(AND(' RIESGOS DE GESTION'!#REF!="Muy Baja",' RIESGOS DE GESTION'!#REF!="Mayor"),CONCATENATE("R",' RIESGOS DE GESTION'!#REF!),"")</f>
        <v>#REF!</v>
      </c>
      <c r="AC44" s="630"/>
      <c r="AD44" s="630" t="e">
        <f>IF(AND(' RIESGOS DE GESTION'!#REF!="Muy Baja",' RIESGOS DE GESTION'!#REF!="Mayor"),CONCATENATE("R",' RIESGOS DE GESTION'!#REF!),"")</f>
        <v>#REF!</v>
      </c>
      <c r="AE44" s="630"/>
      <c r="AF44" s="630" t="e">
        <f>IF(AND(' RIESGOS DE GESTION'!#REF!="Muy Baja",' RIESGOS DE GESTION'!#REF!="Mayor"),CONCATENATE("R",' RIESGOS DE GESTION'!#REF!),"")</f>
        <v>#REF!</v>
      </c>
      <c r="AG44" s="631"/>
      <c r="AH44" s="641" t="e">
        <f>IF(AND(' RIESGOS DE GESTION'!#REF!="Muy Baja",' RIESGOS DE GESTION'!#REF!="Catastrófico"),CONCATENATE("R",' RIESGOS DE GESTION'!#REF!),"")</f>
        <v>#REF!</v>
      </c>
      <c r="AI44" s="642"/>
      <c r="AJ44" s="642" t="e">
        <f>IF(AND(' RIESGOS DE GESTION'!#REF!="Muy Baja",' RIESGOS DE GESTION'!#REF!="Catastrófico"),CONCATENATE("R",' RIESGOS DE GESTION'!#REF!),"")</f>
        <v>#REF!</v>
      </c>
      <c r="AK44" s="642"/>
      <c r="AL44" s="642" t="e">
        <f>IF(AND(' RIESGOS DE GESTION'!#REF!="Muy Baja",' RIESGOS DE GESTION'!#REF!="Catastrófico"),CONCATENATE("R",' RIESGOS DE GESTION'!#REF!),"")</f>
        <v>#REF!</v>
      </c>
      <c r="AM44" s="643"/>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583"/>
      <c r="C45" s="583"/>
      <c r="D45" s="584"/>
      <c r="E45" s="627"/>
      <c r="F45" s="628"/>
      <c r="G45" s="628"/>
      <c r="H45" s="628"/>
      <c r="I45" s="629"/>
      <c r="J45" s="662"/>
      <c r="K45" s="663"/>
      <c r="L45" s="663"/>
      <c r="M45" s="663"/>
      <c r="N45" s="663"/>
      <c r="O45" s="664"/>
      <c r="P45" s="662"/>
      <c r="Q45" s="663"/>
      <c r="R45" s="663"/>
      <c r="S45" s="663"/>
      <c r="T45" s="663"/>
      <c r="U45" s="664"/>
      <c r="V45" s="653"/>
      <c r="W45" s="654"/>
      <c r="X45" s="654"/>
      <c r="Y45" s="654"/>
      <c r="Z45" s="654"/>
      <c r="AA45" s="655"/>
      <c r="AB45" s="638"/>
      <c r="AC45" s="639"/>
      <c r="AD45" s="639"/>
      <c r="AE45" s="639"/>
      <c r="AF45" s="639"/>
      <c r="AG45" s="640"/>
      <c r="AH45" s="644"/>
      <c r="AI45" s="645"/>
      <c r="AJ45" s="645"/>
      <c r="AK45" s="645"/>
      <c r="AL45" s="645"/>
      <c r="AM45" s="646"/>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621" t="s">
        <v>424</v>
      </c>
      <c r="K46" s="622"/>
      <c r="L46" s="622"/>
      <c r="M46" s="622"/>
      <c r="N46" s="622"/>
      <c r="O46" s="623"/>
      <c r="P46" s="621" t="s">
        <v>425</v>
      </c>
      <c r="Q46" s="622"/>
      <c r="R46" s="622"/>
      <c r="S46" s="622"/>
      <c r="T46" s="622"/>
      <c r="U46" s="623"/>
      <c r="V46" s="621" t="s">
        <v>426</v>
      </c>
      <c r="W46" s="622"/>
      <c r="X46" s="622"/>
      <c r="Y46" s="622"/>
      <c r="Z46" s="622"/>
      <c r="AA46" s="623"/>
      <c r="AB46" s="621" t="s">
        <v>427</v>
      </c>
      <c r="AC46" s="637"/>
      <c r="AD46" s="622"/>
      <c r="AE46" s="622"/>
      <c r="AF46" s="622"/>
      <c r="AG46" s="623"/>
      <c r="AH46" s="621" t="s">
        <v>428</v>
      </c>
      <c r="AI46" s="622"/>
      <c r="AJ46" s="622"/>
      <c r="AK46" s="622"/>
      <c r="AL46" s="622"/>
      <c r="AM46" s="623"/>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624"/>
      <c r="K47" s="625"/>
      <c r="L47" s="625"/>
      <c r="M47" s="625"/>
      <c r="N47" s="625"/>
      <c r="O47" s="626"/>
      <c r="P47" s="624"/>
      <c r="Q47" s="625"/>
      <c r="R47" s="625"/>
      <c r="S47" s="625"/>
      <c r="T47" s="625"/>
      <c r="U47" s="626"/>
      <c r="V47" s="624"/>
      <c r="W47" s="625"/>
      <c r="X47" s="625"/>
      <c r="Y47" s="625"/>
      <c r="Z47" s="625"/>
      <c r="AA47" s="626"/>
      <c r="AB47" s="624"/>
      <c r="AC47" s="625"/>
      <c r="AD47" s="625"/>
      <c r="AE47" s="625"/>
      <c r="AF47" s="625"/>
      <c r="AG47" s="626"/>
      <c r="AH47" s="624"/>
      <c r="AI47" s="625"/>
      <c r="AJ47" s="625"/>
      <c r="AK47" s="625"/>
      <c r="AL47" s="625"/>
      <c r="AM47" s="626"/>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624"/>
      <c r="K48" s="625"/>
      <c r="L48" s="625"/>
      <c r="M48" s="625"/>
      <c r="N48" s="625"/>
      <c r="O48" s="626"/>
      <c r="P48" s="624"/>
      <c r="Q48" s="625"/>
      <c r="R48" s="625"/>
      <c r="S48" s="625"/>
      <c r="T48" s="625"/>
      <c r="U48" s="626"/>
      <c r="V48" s="624"/>
      <c r="W48" s="625"/>
      <c r="X48" s="625"/>
      <c r="Y48" s="625"/>
      <c r="Z48" s="625"/>
      <c r="AA48" s="626"/>
      <c r="AB48" s="624"/>
      <c r="AC48" s="625"/>
      <c r="AD48" s="625"/>
      <c r="AE48" s="625"/>
      <c r="AF48" s="625"/>
      <c r="AG48" s="626"/>
      <c r="AH48" s="624"/>
      <c r="AI48" s="625"/>
      <c r="AJ48" s="625"/>
      <c r="AK48" s="625"/>
      <c r="AL48" s="625"/>
      <c r="AM48" s="626"/>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624"/>
      <c r="K49" s="625"/>
      <c r="L49" s="625"/>
      <c r="M49" s="625"/>
      <c r="N49" s="625"/>
      <c r="O49" s="626"/>
      <c r="P49" s="624"/>
      <c r="Q49" s="625"/>
      <c r="R49" s="625"/>
      <c r="S49" s="625"/>
      <c r="T49" s="625"/>
      <c r="U49" s="626"/>
      <c r="V49" s="624"/>
      <c r="W49" s="625"/>
      <c r="X49" s="625"/>
      <c r="Y49" s="625"/>
      <c r="Z49" s="625"/>
      <c r="AA49" s="626"/>
      <c r="AB49" s="624"/>
      <c r="AC49" s="625"/>
      <c r="AD49" s="625"/>
      <c r="AE49" s="625"/>
      <c r="AF49" s="625"/>
      <c r="AG49" s="626"/>
      <c r="AH49" s="624"/>
      <c r="AI49" s="625"/>
      <c r="AJ49" s="625"/>
      <c r="AK49" s="625"/>
      <c r="AL49" s="625"/>
      <c r="AM49" s="626"/>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624"/>
      <c r="K50" s="625"/>
      <c r="L50" s="625"/>
      <c r="M50" s="625"/>
      <c r="N50" s="625"/>
      <c r="O50" s="626"/>
      <c r="P50" s="624"/>
      <c r="Q50" s="625"/>
      <c r="R50" s="625"/>
      <c r="S50" s="625"/>
      <c r="T50" s="625"/>
      <c r="U50" s="626"/>
      <c r="V50" s="624"/>
      <c r="W50" s="625"/>
      <c r="X50" s="625"/>
      <c r="Y50" s="625"/>
      <c r="Z50" s="625"/>
      <c r="AA50" s="626"/>
      <c r="AB50" s="624"/>
      <c r="AC50" s="625"/>
      <c r="AD50" s="625"/>
      <c r="AE50" s="625"/>
      <c r="AF50" s="625"/>
      <c r="AG50" s="626"/>
      <c r="AH50" s="624"/>
      <c r="AI50" s="625"/>
      <c r="AJ50" s="625"/>
      <c r="AK50" s="625"/>
      <c r="AL50" s="625"/>
      <c r="AM50" s="626"/>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627"/>
      <c r="K51" s="628"/>
      <c r="L51" s="628"/>
      <c r="M51" s="628"/>
      <c r="N51" s="628"/>
      <c r="O51" s="629"/>
      <c r="P51" s="627"/>
      <c r="Q51" s="628"/>
      <c r="R51" s="628"/>
      <c r="S51" s="628"/>
      <c r="T51" s="628"/>
      <c r="U51" s="629"/>
      <c r="V51" s="627"/>
      <c r="W51" s="628"/>
      <c r="X51" s="628"/>
      <c r="Y51" s="628"/>
      <c r="Z51" s="628"/>
      <c r="AA51" s="629"/>
      <c r="AB51" s="627"/>
      <c r="AC51" s="628"/>
      <c r="AD51" s="628"/>
      <c r="AE51" s="628"/>
      <c r="AF51" s="628"/>
      <c r="AG51" s="629"/>
      <c r="AH51" s="627"/>
      <c r="AI51" s="628"/>
      <c r="AJ51" s="628"/>
      <c r="AK51" s="628"/>
      <c r="AL51" s="628"/>
      <c r="AM51" s="62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694" t="s">
        <v>429</v>
      </c>
      <c r="C2" s="695"/>
      <c r="D2" s="695"/>
      <c r="E2" s="695"/>
      <c r="F2" s="695"/>
      <c r="G2" s="695"/>
      <c r="H2" s="695"/>
      <c r="I2" s="695"/>
      <c r="J2" s="636" t="s">
        <v>15</v>
      </c>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695"/>
      <c r="C3" s="695"/>
      <c r="D3" s="695"/>
      <c r="E3" s="695"/>
      <c r="F3" s="695"/>
      <c r="G3" s="695"/>
      <c r="H3" s="695"/>
      <c r="I3" s="695"/>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695"/>
      <c r="C4" s="695"/>
      <c r="D4" s="695"/>
      <c r="E4" s="695"/>
      <c r="F4" s="695"/>
      <c r="G4" s="695"/>
      <c r="H4" s="695"/>
      <c r="I4" s="695"/>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583" t="s">
        <v>264</v>
      </c>
      <c r="C6" s="583"/>
      <c r="D6" s="584"/>
      <c r="E6" s="678" t="s">
        <v>415</v>
      </c>
      <c r="F6" s="679"/>
      <c r="G6" s="679"/>
      <c r="H6" s="679"/>
      <c r="I6" s="696"/>
      <c r="J6" s="32" t="e">
        <f>IF(AND(' RIESGOS DE GESTION'!#REF!="Muy Alta",' RIESGOS DE GESTION'!#REF!="Leve"),CONCATENATE("R1C",' RIESGOS DE GESTION'!#REF!),"")</f>
        <v>#REF!</v>
      </c>
      <c r="K6" s="33" t="e">
        <f>IF(AND(' RIESGOS DE GESTION'!#REF!="Muy Alta",' RIESGOS DE GESTION'!#REF!="Leve"),CONCATENATE("R1C",' RIESGOS DE GESTION'!#REF!),"")</f>
        <v>#REF!</v>
      </c>
      <c r="L6" s="33" t="e">
        <f>IF(AND(' RIESGOS DE GESTION'!#REF!="Muy Alta",' RIESGOS DE GESTION'!#REF!="Leve"),CONCATENATE("R1C",' RIESGOS DE GESTION'!#REF!),"")</f>
        <v>#REF!</v>
      </c>
      <c r="M6" s="33" t="e">
        <f>IF(AND(' RIESGOS DE GESTION'!#REF!="Muy Alta",' RIESGOS DE GESTION'!#REF!="Leve"),CONCATENATE("R1C",' RIESGOS DE GESTION'!#REF!),"")</f>
        <v>#REF!</v>
      </c>
      <c r="N6" s="33" t="e">
        <f>IF(AND(' RIESGOS DE GESTION'!#REF!="Muy Alta",' RIESGOS DE GESTION'!#REF!="Leve"),CONCATENATE("R1C",' RIESGOS DE GESTION'!#REF!),"")</f>
        <v>#REF!</v>
      </c>
      <c r="O6" s="34" t="e">
        <f>IF(AND(' RIESGOS DE GESTION'!#REF!="Muy Alta",' RIESGOS DE GESTION'!#REF!="Leve"),CONCATENATE("R1C",' RIESGOS DE GESTION'!#REF!),"")</f>
        <v>#REF!</v>
      </c>
      <c r="P6" s="32" t="e">
        <f>IF(AND(' RIESGOS DE GESTION'!#REF!="Muy Alta",' RIESGOS DE GESTION'!#REF!="Menor"),CONCATENATE("R1C",' RIESGOS DE GESTION'!#REF!),"")</f>
        <v>#REF!</v>
      </c>
      <c r="Q6" s="33" t="e">
        <f>IF(AND(' RIESGOS DE GESTION'!#REF!="Muy Alta",' RIESGOS DE GESTION'!#REF!="Menor"),CONCATENATE("R1C",' RIESGOS DE GESTION'!#REF!),"")</f>
        <v>#REF!</v>
      </c>
      <c r="R6" s="33" t="e">
        <f>IF(AND(' RIESGOS DE GESTION'!#REF!="Muy Alta",' RIESGOS DE GESTION'!#REF!="Menor"),CONCATENATE("R1C",' RIESGOS DE GESTION'!#REF!),"")</f>
        <v>#REF!</v>
      </c>
      <c r="S6" s="33" t="e">
        <f>IF(AND(' RIESGOS DE GESTION'!#REF!="Muy Alta",' RIESGOS DE GESTION'!#REF!="Menor"),CONCATENATE("R1C",' RIESGOS DE GESTION'!#REF!),"")</f>
        <v>#REF!</v>
      </c>
      <c r="T6" s="33" t="e">
        <f>IF(AND(' RIESGOS DE GESTION'!#REF!="Muy Alta",' RIESGOS DE GESTION'!#REF!="Menor"),CONCATENATE("R1C",' RIESGOS DE GESTION'!#REF!),"")</f>
        <v>#REF!</v>
      </c>
      <c r="U6" s="34" t="e">
        <f>IF(AND(' RIESGOS DE GESTION'!#REF!="Muy Alta",' RIESGOS DE GESTION'!#REF!="Menor"),CONCATENATE("R1C",' RIESGOS DE GESTION'!#REF!),"")</f>
        <v>#REF!</v>
      </c>
      <c r="V6" s="32" t="e">
        <f>IF(AND(' RIESGOS DE GESTION'!#REF!="Muy Alta",' RIESGOS DE GESTION'!#REF!="Moderado"),CONCATENATE("R1C",' RIESGOS DE GESTION'!#REF!),"")</f>
        <v>#REF!</v>
      </c>
      <c r="W6" s="33" t="e">
        <f>IF(AND(' RIESGOS DE GESTION'!#REF!="Muy Alta",' RIESGOS DE GESTION'!#REF!="Moderado"),CONCATENATE("R1C",' RIESGOS DE GESTION'!#REF!),"")</f>
        <v>#REF!</v>
      </c>
      <c r="X6" s="33" t="e">
        <f>IF(AND(' RIESGOS DE GESTION'!#REF!="Muy Alta",' RIESGOS DE GESTION'!#REF!="Moderado"),CONCATENATE("R1C",' RIESGOS DE GESTION'!#REF!),"")</f>
        <v>#REF!</v>
      </c>
      <c r="Y6" s="33" t="e">
        <f>IF(AND(' RIESGOS DE GESTION'!#REF!="Muy Alta",' RIESGOS DE GESTION'!#REF!="Moderado"),CONCATENATE("R1C",' RIESGOS DE GESTION'!#REF!),"")</f>
        <v>#REF!</v>
      </c>
      <c r="Z6" s="33" t="e">
        <f>IF(AND(' RIESGOS DE GESTION'!#REF!="Muy Alta",' RIESGOS DE GESTION'!#REF!="Moderado"),CONCATENATE("R1C",' RIESGOS DE GESTION'!#REF!),"")</f>
        <v>#REF!</v>
      </c>
      <c r="AA6" s="34" t="e">
        <f>IF(AND(' RIESGOS DE GESTION'!#REF!="Muy Alta",' RIESGOS DE GESTION'!#REF!="Moderado"),CONCATENATE("R1C",' RIESGOS DE GESTION'!#REF!),"")</f>
        <v>#REF!</v>
      </c>
      <c r="AB6" s="32" t="e">
        <f>IF(AND(' RIESGOS DE GESTION'!#REF!="Muy Alta",' RIESGOS DE GESTION'!#REF!="Mayor"),CONCATENATE("R1C",' RIESGOS DE GESTION'!#REF!),"")</f>
        <v>#REF!</v>
      </c>
      <c r="AC6" s="33" t="e">
        <f>IF(AND(' RIESGOS DE GESTION'!#REF!="Muy Alta",' RIESGOS DE GESTION'!#REF!="Mayor"),CONCATENATE("R1C",' RIESGOS DE GESTION'!#REF!),"")</f>
        <v>#REF!</v>
      </c>
      <c r="AD6" s="33" t="e">
        <f>IF(AND(' RIESGOS DE GESTION'!#REF!="Muy Alta",' RIESGOS DE GESTION'!#REF!="Mayor"),CONCATENATE("R1C",' RIESGOS DE GESTION'!#REF!),"")</f>
        <v>#REF!</v>
      </c>
      <c r="AE6" s="33" t="e">
        <f>IF(AND(' RIESGOS DE GESTION'!#REF!="Muy Alta",' RIESGOS DE GESTION'!#REF!="Mayor"),CONCATENATE("R1C",' RIESGOS DE GESTION'!#REF!),"")</f>
        <v>#REF!</v>
      </c>
      <c r="AF6" s="33" t="e">
        <f>IF(AND(' RIESGOS DE GESTION'!#REF!="Muy Alta",' RIESGOS DE GESTION'!#REF!="Mayor"),CONCATENATE("R1C",' RIESGOS DE GESTION'!#REF!),"")</f>
        <v>#REF!</v>
      </c>
      <c r="AG6" s="34" t="e">
        <f>IF(AND(' RIESGOS DE GESTION'!#REF!="Muy Alta",' RIESGOS DE GESTION'!#REF!="Mayor"),CONCATENATE("R1C",' RIESGOS DE GESTION'!#REF!),"")</f>
        <v>#REF!</v>
      </c>
      <c r="AH6" s="35" t="e">
        <f>IF(AND(' RIESGOS DE GESTION'!#REF!="Muy Alta",' RIESGOS DE GESTION'!#REF!="Catastrófico"),CONCATENATE("R1C",' RIESGOS DE GESTION'!#REF!),"")</f>
        <v>#REF!</v>
      </c>
      <c r="AI6" s="36" t="e">
        <f>IF(AND(' RIESGOS DE GESTION'!#REF!="Muy Alta",' RIESGOS DE GESTION'!#REF!="Catastrófico"),CONCATENATE("R1C",' RIESGOS DE GESTION'!#REF!),"")</f>
        <v>#REF!</v>
      </c>
      <c r="AJ6" s="36" t="e">
        <f>IF(AND(' RIESGOS DE GESTION'!#REF!="Muy Alta",' RIESGOS DE GESTION'!#REF!="Catastrófico"),CONCATENATE("R1C",' RIESGOS DE GESTION'!#REF!),"")</f>
        <v>#REF!</v>
      </c>
      <c r="AK6" s="36" t="e">
        <f>IF(AND(' RIESGOS DE GESTION'!#REF!="Muy Alta",' RIESGOS DE GESTION'!#REF!="Catastrófico"),CONCATENATE("R1C",' RIESGOS DE GESTION'!#REF!),"")</f>
        <v>#REF!</v>
      </c>
      <c r="AL6" s="36" t="e">
        <f>IF(AND(' RIESGOS DE GESTION'!#REF!="Muy Alta",' RIESGOS DE GESTION'!#REF!="Catastrófico"),CONCATENATE("R1C",' RIESGOS DE GESTION'!#REF!),"")</f>
        <v>#REF!</v>
      </c>
      <c r="AM6" s="37" t="e">
        <f>IF(AND(' RIESGOS DE GESTION'!#REF!="Muy Alta",' RIESGOS DE GESTION'!#REF!="Catastrófico"),CONCATENATE("R1C",' RIESGOS DE GESTION'!#REF!),"")</f>
        <v>#REF!</v>
      </c>
      <c r="AN6" s="69"/>
      <c r="AO6" s="685" t="s">
        <v>416</v>
      </c>
      <c r="AP6" s="686"/>
      <c r="AQ6" s="686"/>
      <c r="AR6" s="686"/>
      <c r="AS6" s="686"/>
      <c r="AT6" s="687"/>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583"/>
      <c r="C7" s="583"/>
      <c r="D7" s="584"/>
      <c r="E7" s="682"/>
      <c r="F7" s="681"/>
      <c r="G7" s="681"/>
      <c r="H7" s="681"/>
      <c r="I7" s="697"/>
      <c r="J7" s="38" t="e">
        <f>IF(AND(' RIESGOS DE GESTION'!#REF!="Muy Alta",' RIESGOS DE GESTION'!#REF!="Leve"),CONCATENATE("R2C",' RIESGOS DE GESTION'!#REF!),"")</f>
        <v>#REF!</v>
      </c>
      <c r="K7" s="39" t="e">
        <f>IF(AND(' RIESGOS DE GESTION'!#REF!="Muy Alta",' RIESGOS DE GESTION'!#REF!="Leve"),CONCATENATE("R2C",' RIESGOS DE GESTION'!#REF!),"")</f>
        <v>#REF!</v>
      </c>
      <c r="L7" s="39" t="e">
        <f>IF(AND(' RIESGOS DE GESTION'!#REF!="Muy Alta",' RIESGOS DE GESTION'!#REF!="Leve"),CONCATENATE("R2C",' RIESGOS DE GESTION'!#REF!),"")</f>
        <v>#REF!</v>
      </c>
      <c r="M7" s="39" t="e">
        <f>IF(AND(' RIESGOS DE GESTION'!#REF!="Muy Alta",' RIESGOS DE GESTION'!#REF!="Leve"),CONCATENATE("R2C",' RIESGOS DE GESTION'!#REF!),"")</f>
        <v>#REF!</v>
      </c>
      <c r="N7" s="39" t="e">
        <f>IF(AND(' RIESGOS DE GESTION'!#REF!="Muy Alta",' RIESGOS DE GESTION'!#REF!="Leve"),CONCATENATE("R2C",' RIESGOS DE GESTION'!#REF!),"")</f>
        <v>#REF!</v>
      </c>
      <c r="O7" s="40" t="e">
        <f>IF(AND(' RIESGOS DE GESTION'!#REF!="Muy Alta",' RIESGOS DE GESTION'!#REF!="Leve"),CONCATENATE("R2C",' RIESGOS DE GESTION'!#REF!),"")</f>
        <v>#REF!</v>
      </c>
      <c r="P7" s="38" t="e">
        <f>IF(AND(' RIESGOS DE GESTION'!#REF!="Muy Alta",' RIESGOS DE GESTION'!#REF!="Menor"),CONCATENATE("R2C",' RIESGOS DE GESTION'!#REF!),"")</f>
        <v>#REF!</v>
      </c>
      <c r="Q7" s="39" t="e">
        <f>IF(AND(' RIESGOS DE GESTION'!#REF!="Muy Alta",' RIESGOS DE GESTION'!#REF!="Menor"),CONCATENATE("R2C",' RIESGOS DE GESTION'!#REF!),"")</f>
        <v>#REF!</v>
      </c>
      <c r="R7" s="39" t="e">
        <f>IF(AND(' RIESGOS DE GESTION'!#REF!="Muy Alta",' RIESGOS DE GESTION'!#REF!="Menor"),CONCATENATE("R2C",' RIESGOS DE GESTION'!#REF!),"")</f>
        <v>#REF!</v>
      </c>
      <c r="S7" s="39" t="e">
        <f>IF(AND(' RIESGOS DE GESTION'!#REF!="Muy Alta",' RIESGOS DE GESTION'!#REF!="Menor"),CONCATENATE("R2C",' RIESGOS DE GESTION'!#REF!),"")</f>
        <v>#REF!</v>
      </c>
      <c r="T7" s="39" t="e">
        <f>IF(AND(' RIESGOS DE GESTION'!#REF!="Muy Alta",' RIESGOS DE GESTION'!#REF!="Menor"),CONCATENATE("R2C",' RIESGOS DE GESTION'!#REF!),"")</f>
        <v>#REF!</v>
      </c>
      <c r="U7" s="40" t="e">
        <f>IF(AND(' RIESGOS DE GESTION'!#REF!="Muy Alta",' RIESGOS DE GESTION'!#REF!="Menor"),CONCATENATE("R2C",' RIESGOS DE GESTION'!#REF!),"")</f>
        <v>#REF!</v>
      </c>
      <c r="V7" s="38" t="e">
        <f>IF(AND(' RIESGOS DE GESTION'!#REF!="Muy Alta",' RIESGOS DE GESTION'!#REF!="Moderado"),CONCATENATE("R2C",' RIESGOS DE GESTION'!#REF!),"")</f>
        <v>#REF!</v>
      </c>
      <c r="W7" s="39" t="e">
        <f>IF(AND(' RIESGOS DE GESTION'!#REF!="Muy Alta",' RIESGOS DE GESTION'!#REF!="Moderado"),CONCATENATE("R2C",' RIESGOS DE GESTION'!#REF!),"")</f>
        <v>#REF!</v>
      </c>
      <c r="X7" s="39" t="e">
        <f>IF(AND(' RIESGOS DE GESTION'!#REF!="Muy Alta",' RIESGOS DE GESTION'!#REF!="Moderado"),CONCATENATE("R2C",' RIESGOS DE GESTION'!#REF!),"")</f>
        <v>#REF!</v>
      </c>
      <c r="Y7" s="39" t="e">
        <f>IF(AND(' RIESGOS DE GESTION'!#REF!="Muy Alta",' RIESGOS DE GESTION'!#REF!="Moderado"),CONCATENATE("R2C",' RIESGOS DE GESTION'!#REF!),"")</f>
        <v>#REF!</v>
      </c>
      <c r="Z7" s="39" t="e">
        <f>IF(AND(' RIESGOS DE GESTION'!#REF!="Muy Alta",' RIESGOS DE GESTION'!#REF!="Moderado"),CONCATENATE("R2C",' RIESGOS DE GESTION'!#REF!),"")</f>
        <v>#REF!</v>
      </c>
      <c r="AA7" s="40" t="e">
        <f>IF(AND(' RIESGOS DE GESTION'!#REF!="Muy Alta",' RIESGOS DE GESTION'!#REF!="Moderado"),CONCATENATE("R2C",' RIESGOS DE GESTION'!#REF!),"")</f>
        <v>#REF!</v>
      </c>
      <c r="AB7" s="38" t="e">
        <f>IF(AND(' RIESGOS DE GESTION'!#REF!="Muy Alta",' RIESGOS DE GESTION'!#REF!="Mayor"),CONCATENATE("R2C",' RIESGOS DE GESTION'!#REF!),"")</f>
        <v>#REF!</v>
      </c>
      <c r="AC7" s="39" t="e">
        <f>IF(AND(' RIESGOS DE GESTION'!#REF!="Muy Alta",' RIESGOS DE GESTION'!#REF!="Mayor"),CONCATENATE("R2C",' RIESGOS DE GESTION'!#REF!),"")</f>
        <v>#REF!</v>
      </c>
      <c r="AD7" s="39" t="e">
        <f>IF(AND(' RIESGOS DE GESTION'!#REF!="Muy Alta",' RIESGOS DE GESTION'!#REF!="Mayor"),CONCATENATE("R2C",' RIESGOS DE GESTION'!#REF!),"")</f>
        <v>#REF!</v>
      </c>
      <c r="AE7" s="39" t="e">
        <f>IF(AND(' RIESGOS DE GESTION'!#REF!="Muy Alta",' RIESGOS DE GESTION'!#REF!="Mayor"),CONCATENATE("R2C",' RIESGOS DE GESTION'!#REF!),"")</f>
        <v>#REF!</v>
      </c>
      <c r="AF7" s="39" t="e">
        <f>IF(AND(' RIESGOS DE GESTION'!#REF!="Muy Alta",' RIESGOS DE GESTION'!#REF!="Mayor"),CONCATENATE("R2C",' RIESGOS DE GESTION'!#REF!),"")</f>
        <v>#REF!</v>
      </c>
      <c r="AG7" s="40" t="e">
        <f>IF(AND(' RIESGOS DE GESTION'!#REF!="Muy Alta",' RIESGOS DE GESTION'!#REF!="Mayor"),CONCATENATE("R2C",' RIESGOS DE GESTION'!#REF!),"")</f>
        <v>#REF!</v>
      </c>
      <c r="AH7" s="41" t="e">
        <f>IF(AND(' RIESGOS DE GESTION'!#REF!="Muy Alta",' RIESGOS DE GESTION'!#REF!="Catastrófico"),CONCATENATE("R2C",' RIESGOS DE GESTION'!#REF!),"")</f>
        <v>#REF!</v>
      </c>
      <c r="AI7" s="42" t="e">
        <f>IF(AND(' RIESGOS DE GESTION'!#REF!="Muy Alta",' RIESGOS DE GESTION'!#REF!="Catastrófico"),CONCATENATE("R2C",' RIESGOS DE GESTION'!#REF!),"")</f>
        <v>#REF!</v>
      </c>
      <c r="AJ7" s="42" t="e">
        <f>IF(AND(' RIESGOS DE GESTION'!#REF!="Muy Alta",' RIESGOS DE GESTION'!#REF!="Catastrófico"),CONCATENATE("R2C",' RIESGOS DE GESTION'!#REF!),"")</f>
        <v>#REF!</v>
      </c>
      <c r="AK7" s="42" t="e">
        <f>IF(AND(' RIESGOS DE GESTION'!#REF!="Muy Alta",' RIESGOS DE GESTION'!#REF!="Catastrófico"),CONCATENATE("R2C",' RIESGOS DE GESTION'!#REF!),"")</f>
        <v>#REF!</v>
      </c>
      <c r="AL7" s="42" t="e">
        <f>IF(AND(' RIESGOS DE GESTION'!#REF!="Muy Alta",' RIESGOS DE GESTION'!#REF!="Catastrófico"),CONCATENATE("R2C",' RIESGOS DE GESTION'!#REF!),"")</f>
        <v>#REF!</v>
      </c>
      <c r="AM7" s="43" t="e">
        <f>IF(AND(' RIESGOS DE GESTION'!#REF!="Muy Alta",' RIESGOS DE GESTION'!#REF!="Catastrófico"),CONCATENATE("R2C",' RIESGOS DE GESTION'!#REF!),"")</f>
        <v>#REF!</v>
      </c>
      <c r="AN7" s="69"/>
      <c r="AO7" s="688"/>
      <c r="AP7" s="689"/>
      <c r="AQ7" s="689"/>
      <c r="AR7" s="689"/>
      <c r="AS7" s="689"/>
      <c r="AT7" s="690"/>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583"/>
      <c r="C8" s="583"/>
      <c r="D8" s="584"/>
      <c r="E8" s="682"/>
      <c r="F8" s="681"/>
      <c r="G8" s="681"/>
      <c r="H8" s="681"/>
      <c r="I8" s="697"/>
      <c r="J8" s="38" t="e">
        <f>IF(AND(' RIESGOS DE GESTION'!#REF!="Muy Alta",' RIESGOS DE GESTION'!#REF!="Leve"),CONCATENATE("R3C",' RIESGOS DE GESTION'!#REF!),"")</f>
        <v>#REF!</v>
      </c>
      <c r="K8" s="39" t="e">
        <f>IF(AND(' RIESGOS DE GESTION'!#REF!="Muy Alta",' RIESGOS DE GESTION'!#REF!="Leve"),CONCATENATE("R3C",' RIESGOS DE GESTION'!#REF!),"")</f>
        <v>#REF!</v>
      </c>
      <c r="L8" s="39" t="e">
        <f>IF(AND(' RIESGOS DE GESTION'!#REF!="Muy Alta",' RIESGOS DE GESTION'!#REF!="Leve"),CONCATENATE("R3C",' RIESGOS DE GESTION'!#REF!),"")</f>
        <v>#REF!</v>
      </c>
      <c r="M8" s="39" t="e">
        <f>IF(AND(' RIESGOS DE GESTION'!#REF!="Muy Alta",' RIESGOS DE GESTION'!#REF!="Leve"),CONCATENATE("R3C",' RIESGOS DE GESTION'!#REF!),"")</f>
        <v>#REF!</v>
      </c>
      <c r="N8" s="39" t="e">
        <f>IF(AND(' RIESGOS DE GESTION'!#REF!="Muy Alta",' RIESGOS DE GESTION'!#REF!="Leve"),CONCATENATE("R3C",' RIESGOS DE GESTION'!#REF!),"")</f>
        <v>#REF!</v>
      </c>
      <c r="O8" s="40" t="e">
        <f>IF(AND(' RIESGOS DE GESTION'!#REF!="Muy Alta",' RIESGOS DE GESTION'!#REF!="Leve"),CONCATENATE("R3C",' RIESGOS DE GESTION'!#REF!),"")</f>
        <v>#REF!</v>
      </c>
      <c r="P8" s="38" t="e">
        <f>IF(AND(' RIESGOS DE GESTION'!#REF!="Muy Alta",' RIESGOS DE GESTION'!#REF!="Menor"),CONCATENATE("R3C",' RIESGOS DE GESTION'!#REF!),"")</f>
        <v>#REF!</v>
      </c>
      <c r="Q8" s="39" t="e">
        <f>IF(AND(' RIESGOS DE GESTION'!#REF!="Muy Alta",' RIESGOS DE GESTION'!#REF!="Menor"),CONCATENATE("R3C",' RIESGOS DE GESTION'!#REF!),"")</f>
        <v>#REF!</v>
      </c>
      <c r="R8" s="39" t="e">
        <f>IF(AND(' RIESGOS DE GESTION'!#REF!="Muy Alta",' RIESGOS DE GESTION'!#REF!="Menor"),CONCATENATE("R3C",' RIESGOS DE GESTION'!#REF!),"")</f>
        <v>#REF!</v>
      </c>
      <c r="S8" s="39" t="e">
        <f>IF(AND(' RIESGOS DE GESTION'!#REF!="Muy Alta",' RIESGOS DE GESTION'!#REF!="Menor"),CONCATENATE("R3C",' RIESGOS DE GESTION'!#REF!),"")</f>
        <v>#REF!</v>
      </c>
      <c r="T8" s="39" t="e">
        <f>IF(AND(' RIESGOS DE GESTION'!#REF!="Muy Alta",' RIESGOS DE GESTION'!#REF!="Menor"),CONCATENATE("R3C",' RIESGOS DE GESTION'!#REF!),"")</f>
        <v>#REF!</v>
      </c>
      <c r="U8" s="40" t="e">
        <f>IF(AND(' RIESGOS DE GESTION'!#REF!="Muy Alta",' RIESGOS DE GESTION'!#REF!="Menor"),CONCATENATE("R3C",' RIESGOS DE GESTION'!#REF!),"")</f>
        <v>#REF!</v>
      </c>
      <c r="V8" s="38" t="e">
        <f>IF(AND(' RIESGOS DE GESTION'!#REF!="Muy Alta",' RIESGOS DE GESTION'!#REF!="Moderado"),CONCATENATE("R3C",' RIESGOS DE GESTION'!#REF!),"")</f>
        <v>#REF!</v>
      </c>
      <c r="W8" s="39" t="e">
        <f>IF(AND(' RIESGOS DE GESTION'!#REF!="Muy Alta",' RIESGOS DE GESTION'!#REF!="Moderado"),CONCATENATE("R3C",' RIESGOS DE GESTION'!#REF!),"")</f>
        <v>#REF!</v>
      </c>
      <c r="X8" s="39" t="e">
        <f>IF(AND(' RIESGOS DE GESTION'!#REF!="Muy Alta",' RIESGOS DE GESTION'!#REF!="Moderado"),CONCATENATE("R3C",' RIESGOS DE GESTION'!#REF!),"")</f>
        <v>#REF!</v>
      </c>
      <c r="Y8" s="39" t="e">
        <f>IF(AND(' RIESGOS DE GESTION'!#REF!="Muy Alta",' RIESGOS DE GESTION'!#REF!="Moderado"),CONCATENATE("R3C",' RIESGOS DE GESTION'!#REF!),"")</f>
        <v>#REF!</v>
      </c>
      <c r="Z8" s="39" t="e">
        <f>IF(AND(' RIESGOS DE GESTION'!#REF!="Muy Alta",' RIESGOS DE GESTION'!#REF!="Moderado"),CONCATENATE("R3C",' RIESGOS DE GESTION'!#REF!),"")</f>
        <v>#REF!</v>
      </c>
      <c r="AA8" s="40" t="e">
        <f>IF(AND(' RIESGOS DE GESTION'!#REF!="Muy Alta",' RIESGOS DE GESTION'!#REF!="Moderado"),CONCATENATE("R3C",' RIESGOS DE GESTION'!#REF!),"")</f>
        <v>#REF!</v>
      </c>
      <c r="AB8" s="38" t="e">
        <f>IF(AND(' RIESGOS DE GESTION'!#REF!="Muy Alta",' RIESGOS DE GESTION'!#REF!="Mayor"),CONCATENATE("R3C",' RIESGOS DE GESTION'!#REF!),"")</f>
        <v>#REF!</v>
      </c>
      <c r="AC8" s="39" t="e">
        <f>IF(AND(' RIESGOS DE GESTION'!#REF!="Muy Alta",' RIESGOS DE GESTION'!#REF!="Mayor"),CONCATENATE("R3C",' RIESGOS DE GESTION'!#REF!),"")</f>
        <v>#REF!</v>
      </c>
      <c r="AD8" s="39" t="e">
        <f>IF(AND(' RIESGOS DE GESTION'!#REF!="Muy Alta",' RIESGOS DE GESTION'!#REF!="Mayor"),CONCATENATE("R3C",' RIESGOS DE GESTION'!#REF!),"")</f>
        <v>#REF!</v>
      </c>
      <c r="AE8" s="39" t="e">
        <f>IF(AND(' RIESGOS DE GESTION'!#REF!="Muy Alta",' RIESGOS DE GESTION'!#REF!="Mayor"),CONCATENATE("R3C",' RIESGOS DE GESTION'!#REF!),"")</f>
        <v>#REF!</v>
      </c>
      <c r="AF8" s="39" t="e">
        <f>IF(AND(' RIESGOS DE GESTION'!#REF!="Muy Alta",' RIESGOS DE GESTION'!#REF!="Mayor"),CONCATENATE("R3C",' RIESGOS DE GESTION'!#REF!),"")</f>
        <v>#REF!</v>
      </c>
      <c r="AG8" s="40" t="e">
        <f>IF(AND(' RIESGOS DE GESTION'!#REF!="Muy Alta",' RIESGOS DE GESTION'!#REF!="Mayor"),CONCATENATE("R3C",' RIESGOS DE GESTION'!#REF!),"")</f>
        <v>#REF!</v>
      </c>
      <c r="AH8" s="41" t="e">
        <f>IF(AND(' RIESGOS DE GESTION'!#REF!="Muy Alta",' RIESGOS DE GESTION'!#REF!="Catastrófico"),CONCATENATE("R3C",' RIESGOS DE GESTION'!#REF!),"")</f>
        <v>#REF!</v>
      </c>
      <c r="AI8" s="42" t="e">
        <f>IF(AND(' RIESGOS DE GESTION'!#REF!="Muy Alta",' RIESGOS DE GESTION'!#REF!="Catastrófico"),CONCATENATE("R3C",' RIESGOS DE GESTION'!#REF!),"")</f>
        <v>#REF!</v>
      </c>
      <c r="AJ8" s="42" t="e">
        <f>IF(AND(' RIESGOS DE GESTION'!#REF!="Muy Alta",' RIESGOS DE GESTION'!#REF!="Catastrófico"),CONCATENATE("R3C",' RIESGOS DE GESTION'!#REF!),"")</f>
        <v>#REF!</v>
      </c>
      <c r="AK8" s="42" t="e">
        <f>IF(AND(' RIESGOS DE GESTION'!#REF!="Muy Alta",' RIESGOS DE GESTION'!#REF!="Catastrófico"),CONCATENATE("R3C",' RIESGOS DE GESTION'!#REF!),"")</f>
        <v>#REF!</v>
      </c>
      <c r="AL8" s="42" t="e">
        <f>IF(AND(' RIESGOS DE GESTION'!#REF!="Muy Alta",' RIESGOS DE GESTION'!#REF!="Catastrófico"),CONCATENATE("R3C",' RIESGOS DE GESTION'!#REF!),"")</f>
        <v>#REF!</v>
      </c>
      <c r="AM8" s="43" t="e">
        <f>IF(AND(' RIESGOS DE GESTION'!#REF!="Muy Alta",' RIESGOS DE GESTION'!#REF!="Catastrófico"),CONCATENATE("R3C",' RIESGOS DE GESTION'!#REF!),"")</f>
        <v>#REF!</v>
      </c>
      <c r="AN8" s="69"/>
      <c r="AO8" s="688"/>
      <c r="AP8" s="689"/>
      <c r="AQ8" s="689"/>
      <c r="AR8" s="689"/>
      <c r="AS8" s="689"/>
      <c r="AT8" s="690"/>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583"/>
      <c r="C9" s="583"/>
      <c r="D9" s="584"/>
      <c r="E9" s="682"/>
      <c r="F9" s="681"/>
      <c r="G9" s="681"/>
      <c r="H9" s="681"/>
      <c r="I9" s="697"/>
      <c r="J9" s="38" t="e">
        <f>IF(AND(' RIESGOS DE GESTION'!#REF!="Muy Alta",' RIESGOS DE GESTION'!#REF!="Leve"),CONCATENATE("R4C",' RIESGOS DE GESTION'!#REF!),"")</f>
        <v>#REF!</v>
      </c>
      <c r="K9" s="39" t="e">
        <f>IF(AND(' RIESGOS DE GESTION'!#REF!="Muy Alta",' RIESGOS DE GESTION'!#REF!="Leve"),CONCATENATE("R4C",' RIESGOS DE GESTION'!#REF!),"")</f>
        <v>#REF!</v>
      </c>
      <c r="L9" s="39" t="e">
        <f>IF(AND(' RIESGOS DE GESTION'!#REF!="Muy Alta",' RIESGOS DE GESTION'!#REF!="Leve"),CONCATENATE("R4C",' RIESGOS DE GESTION'!#REF!),"")</f>
        <v>#REF!</v>
      </c>
      <c r="M9" s="39" t="e">
        <f>IF(AND(' RIESGOS DE GESTION'!#REF!="Muy Alta",' RIESGOS DE GESTION'!#REF!="Leve"),CONCATENATE("R4C",' RIESGOS DE GESTION'!#REF!),"")</f>
        <v>#REF!</v>
      </c>
      <c r="N9" s="39" t="e">
        <f>IF(AND(' RIESGOS DE GESTION'!#REF!="Muy Alta",' RIESGOS DE GESTION'!#REF!="Leve"),CONCATENATE("R4C",' RIESGOS DE GESTION'!#REF!),"")</f>
        <v>#REF!</v>
      </c>
      <c r="O9" s="40" t="e">
        <f>IF(AND(' RIESGOS DE GESTION'!#REF!="Muy Alta",' RIESGOS DE GESTION'!#REF!="Leve"),CONCATENATE("R4C",' RIESGOS DE GESTION'!#REF!),"")</f>
        <v>#REF!</v>
      </c>
      <c r="P9" s="38" t="e">
        <f>IF(AND(' RIESGOS DE GESTION'!#REF!="Muy Alta",' RIESGOS DE GESTION'!#REF!="Menor"),CONCATENATE("R4C",' RIESGOS DE GESTION'!#REF!),"")</f>
        <v>#REF!</v>
      </c>
      <c r="Q9" s="39" t="e">
        <f>IF(AND(' RIESGOS DE GESTION'!#REF!="Muy Alta",' RIESGOS DE GESTION'!#REF!="Menor"),CONCATENATE("R4C",' RIESGOS DE GESTION'!#REF!),"")</f>
        <v>#REF!</v>
      </c>
      <c r="R9" s="39" t="e">
        <f>IF(AND(' RIESGOS DE GESTION'!#REF!="Muy Alta",' RIESGOS DE GESTION'!#REF!="Menor"),CONCATENATE("R4C",' RIESGOS DE GESTION'!#REF!),"")</f>
        <v>#REF!</v>
      </c>
      <c r="S9" s="39" t="e">
        <f>IF(AND(' RIESGOS DE GESTION'!#REF!="Muy Alta",' RIESGOS DE GESTION'!#REF!="Menor"),CONCATENATE("R4C",' RIESGOS DE GESTION'!#REF!),"")</f>
        <v>#REF!</v>
      </c>
      <c r="T9" s="39" t="e">
        <f>IF(AND(' RIESGOS DE GESTION'!#REF!="Muy Alta",' RIESGOS DE GESTION'!#REF!="Menor"),CONCATENATE("R4C",' RIESGOS DE GESTION'!#REF!),"")</f>
        <v>#REF!</v>
      </c>
      <c r="U9" s="40" t="e">
        <f>IF(AND(' RIESGOS DE GESTION'!#REF!="Muy Alta",' RIESGOS DE GESTION'!#REF!="Menor"),CONCATENATE("R4C",' RIESGOS DE GESTION'!#REF!),"")</f>
        <v>#REF!</v>
      </c>
      <c r="V9" s="38" t="e">
        <f>IF(AND(' RIESGOS DE GESTION'!#REF!="Muy Alta",' RIESGOS DE GESTION'!#REF!="Moderado"),CONCATENATE("R4C",' RIESGOS DE GESTION'!#REF!),"")</f>
        <v>#REF!</v>
      </c>
      <c r="W9" s="39" t="e">
        <f>IF(AND(' RIESGOS DE GESTION'!#REF!="Muy Alta",' RIESGOS DE GESTION'!#REF!="Moderado"),CONCATENATE("R4C",' RIESGOS DE GESTION'!#REF!),"")</f>
        <v>#REF!</v>
      </c>
      <c r="X9" s="39" t="e">
        <f>IF(AND(' RIESGOS DE GESTION'!#REF!="Muy Alta",' RIESGOS DE GESTION'!#REF!="Moderado"),CONCATENATE("R4C",' RIESGOS DE GESTION'!#REF!),"")</f>
        <v>#REF!</v>
      </c>
      <c r="Y9" s="39" t="e">
        <f>IF(AND(' RIESGOS DE GESTION'!#REF!="Muy Alta",' RIESGOS DE GESTION'!#REF!="Moderado"),CONCATENATE("R4C",' RIESGOS DE GESTION'!#REF!),"")</f>
        <v>#REF!</v>
      </c>
      <c r="Z9" s="39" t="e">
        <f>IF(AND(' RIESGOS DE GESTION'!#REF!="Muy Alta",' RIESGOS DE GESTION'!#REF!="Moderado"),CONCATENATE("R4C",' RIESGOS DE GESTION'!#REF!),"")</f>
        <v>#REF!</v>
      </c>
      <c r="AA9" s="40" t="e">
        <f>IF(AND(' RIESGOS DE GESTION'!#REF!="Muy Alta",' RIESGOS DE GESTION'!#REF!="Moderado"),CONCATENATE("R4C",' RIESGOS DE GESTION'!#REF!),"")</f>
        <v>#REF!</v>
      </c>
      <c r="AB9" s="38" t="e">
        <f>IF(AND(' RIESGOS DE GESTION'!#REF!="Muy Alta",' RIESGOS DE GESTION'!#REF!="Mayor"),CONCATENATE("R4C",' RIESGOS DE GESTION'!#REF!),"")</f>
        <v>#REF!</v>
      </c>
      <c r="AC9" s="39" t="e">
        <f>IF(AND(' RIESGOS DE GESTION'!#REF!="Muy Alta",' RIESGOS DE GESTION'!#REF!="Mayor"),CONCATENATE("R4C",' RIESGOS DE GESTION'!#REF!),"")</f>
        <v>#REF!</v>
      </c>
      <c r="AD9" s="39" t="e">
        <f>IF(AND(' RIESGOS DE GESTION'!#REF!="Muy Alta",' RIESGOS DE GESTION'!#REF!="Mayor"),CONCATENATE("R4C",' RIESGOS DE GESTION'!#REF!),"")</f>
        <v>#REF!</v>
      </c>
      <c r="AE9" s="39" t="e">
        <f>IF(AND(' RIESGOS DE GESTION'!#REF!="Muy Alta",' RIESGOS DE GESTION'!#REF!="Mayor"),CONCATENATE("R4C",' RIESGOS DE GESTION'!#REF!),"")</f>
        <v>#REF!</v>
      </c>
      <c r="AF9" s="39" t="e">
        <f>IF(AND(' RIESGOS DE GESTION'!#REF!="Muy Alta",' RIESGOS DE GESTION'!#REF!="Mayor"),CONCATENATE("R4C",' RIESGOS DE GESTION'!#REF!),"")</f>
        <v>#REF!</v>
      </c>
      <c r="AG9" s="40" t="e">
        <f>IF(AND(' RIESGOS DE GESTION'!#REF!="Muy Alta",' RIESGOS DE GESTION'!#REF!="Mayor"),CONCATENATE("R4C",' RIESGOS DE GESTION'!#REF!),"")</f>
        <v>#REF!</v>
      </c>
      <c r="AH9" s="41" t="e">
        <f>IF(AND(' RIESGOS DE GESTION'!#REF!="Muy Alta",' RIESGOS DE GESTION'!#REF!="Catastrófico"),CONCATENATE("R4C",' RIESGOS DE GESTION'!#REF!),"")</f>
        <v>#REF!</v>
      </c>
      <c r="AI9" s="42" t="e">
        <f>IF(AND(' RIESGOS DE GESTION'!#REF!="Muy Alta",' RIESGOS DE GESTION'!#REF!="Catastrófico"),CONCATENATE("R4C",' RIESGOS DE GESTION'!#REF!),"")</f>
        <v>#REF!</v>
      </c>
      <c r="AJ9" s="42" t="e">
        <f>IF(AND(' RIESGOS DE GESTION'!#REF!="Muy Alta",' RIESGOS DE GESTION'!#REF!="Catastrófico"),CONCATENATE("R4C",' RIESGOS DE GESTION'!#REF!),"")</f>
        <v>#REF!</v>
      </c>
      <c r="AK9" s="42" t="e">
        <f>IF(AND(' RIESGOS DE GESTION'!#REF!="Muy Alta",' RIESGOS DE GESTION'!#REF!="Catastrófico"),CONCATENATE("R4C",' RIESGOS DE GESTION'!#REF!),"")</f>
        <v>#REF!</v>
      </c>
      <c r="AL9" s="42" t="e">
        <f>IF(AND(' RIESGOS DE GESTION'!#REF!="Muy Alta",' RIESGOS DE GESTION'!#REF!="Catastrófico"),CONCATENATE("R4C",' RIESGOS DE GESTION'!#REF!),"")</f>
        <v>#REF!</v>
      </c>
      <c r="AM9" s="43" t="e">
        <f>IF(AND(' RIESGOS DE GESTION'!#REF!="Muy Alta",' RIESGOS DE GESTION'!#REF!="Catastrófico"),CONCATENATE("R4C",' RIESGOS DE GESTION'!#REF!),"")</f>
        <v>#REF!</v>
      </c>
      <c r="AN9" s="69"/>
      <c r="AO9" s="688"/>
      <c r="AP9" s="689"/>
      <c r="AQ9" s="689"/>
      <c r="AR9" s="689"/>
      <c r="AS9" s="689"/>
      <c r="AT9" s="690"/>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583"/>
      <c r="C10" s="583"/>
      <c r="D10" s="584"/>
      <c r="E10" s="682"/>
      <c r="F10" s="681"/>
      <c r="G10" s="681"/>
      <c r="H10" s="681"/>
      <c r="I10" s="697"/>
      <c r="J10" s="38" t="e">
        <f>IF(AND(' RIESGOS DE GESTION'!#REF!="Muy Alta",' RIESGOS DE GESTION'!#REF!="Leve"),CONCATENATE("R5C",' RIESGOS DE GESTION'!#REF!),"")</f>
        <v>#REF!</v>
      </c>
      <c r="K10" s="39" t="e">
        <f>IF(AND(' RIESGOS DE GESTION'!#REF!="Muy Alta",' RIESGOS DE GESTION'!#REF!="Leve"),CONCATENATE("R5C",' RIESGOS DE GESTION'!#REF!),"")</f>
        <v>#REF!</v>
      </c>
      <c r="L10" s="39" t="e">
        <f>IF(AND(' RIESGOS DE GESTION'!#REF!="Muy Alta",' RIESGOS DE GESTION'!#REF!="Leve"),CONCATENATE("R5C",' RIESGOS DE GESTION'!#REF!),"")</f>
        <v>#REF!</v>
      </c>
      <c r="M10" s="39" t="e">
        <f>IF(AND(' RIESGOS DE GESTION'!#REF!="Muy Alta",' RIESGOS DE GESTION'!#REF!="Leve"),CONCATENATE("R5C",' RIESGOS DE GESTION'!#REF!),"")</f>
        <v>#REF!</v>
      </c>
      <c r="N10" s="39" t="e">
        <f>IF(AND(' RIESGOS DE GESTION'!#REF!="Muy Alta",' RIESGOS DE GESTION'!#REF!="Leve"),CONCATENATE("R5C",' RIESGOS DE GESTION'!#REF!),"")</f>
        <v>#REF!</v>
      </c>
      <c r="O10" s="40" t="e">
        <f>IF(AND(' RIESGOS DE GESTION'!#REF!="Muy Alta",' RIESGOS DE GESTION'!#REF!="Leve"),CONCATENATE("R5C",' RIESGOS DE GESTION'!#REF!),"")</f>
        <v>#REF!</v>
      </c>
      <c r="P10" s="38" t="e">
        <f>IF(AND(' RIESGOS DE GESTION'!#REF!="Muy Alta",' RIESGOS DE GESTION'!#REF!="Menor"),CONCATENATE("R5C",' RIESGOS DE GESTION'!#REF!),"")</f>
        <v>#REF!</v>
      </c>
      <c r="Q10" s="39" t="e">
        <f>IF(AND(' RIESGOS DE GESTION'!#REF!="Muy Alta",' RIESGOS DE GESTION'!#REF!="Menor"),CONCATENATE("R5C",' RIESGOS DE GESTION'!#REF!),"")</f>
        <v>#REF!</v>
      </c>
      <c r="R10" s="39" t="e">
        <f>IF(AND(' RIESGOS DE GESTION'!#REF!="Muy Alta",' RIESGOS DE GESTION'!#REF!="Menor"),CONCATENATE("R5C",' RIESGOS DE GESTION'!#REF!),"")</f>
        <v>#REF!</v>
      </c>
      <c r="S10" s="39" t="e">
        <f>IF(AND(' RIESGOS DE GESTION'!#REF!="Muy Alta",' RIESGOS DE GESTION'!#REF!="Menor"),CONCATENATE("R5C",' RIESGOS DE GESTION'!#REF!),"")</f>
        <v>#REF!</v>
      </c>
      <c r="T10" s="39" t="e">
        <f>IF(AND(' RIESGOS DE GESTION'!#REF!="Muy Alta",' RIESGOS DE GESTION'!#REF!="Menor"),CONCATENATE("R5C",' RIESGOS DE GESTION'!#REF!),"")</f>
        <v>#REF!</v>
      </c>
      <c r="U10" s="40" t="e">
        <f>IF(AND(' RIESGOS DE GESTION'!#REF!="Muy Alta",' RIESGOS DE GESTION'!#REF!="Menor"),CONCATENATE("R5C",' RIESGOS DE GESTION'!#REF!),"")</f>
        <v>#REF!</v>
      </c>
      <c r="V10" s="38" t="e">
        <f>IF(AND(' RIESGOS DE GESTION'!#REF!="Muy Alta",' RIESGOS DE GESTION'!#REF!="Moderado"),CONCATENATE("R5C",' RIESGOS DE GESTION'!#REF!),"")</f>
        <v>#REF!</v>
      </c>
      <c r="W10" s="39" t="e">
        <f>IF(AND(' RIESGOS DE GESTION'!#REF!="Muy Alta",' RIESGOS DE GESTION'!#REF!="Moderado"),CONCATENATE("R5C",' RIESGOS DE GESTION'!#REF!),"")</f>
        <v>#REF!</v>
      </c>
      <c r="X10" s="39" t="e">
        <f>IF(AND(' RIESGOS DE GESTION'!#REF!="Muy Alta",' RIESGOS DE GESTION'!#REF!="Moderado"),CONCATENATE("R5C",' RIESGOS DE GESTION'!#REF!),"")</f>
        <v>#REF!</v>
      </c>
      <c r="Y10" s="39" t="e">
        <f>IF(AND(' RIESGOS DE GESTION'!#REF!="Muy Alta",' RIESGOS DE GESTION'!#REF!="Moderado"),CONCATENATE("R5C",' RIESGOS DE GESTION'!#REF!),"")</f>
        <v>#REF!</v>
      </c>
      <c r="Z10" s="39" t="e">
        <f>IF(AND(' RIESGOS DE GESTION'!#REF!="Muy Alta",' RIESGOS DE GESTION'!#REF!="Moderado"),CONCATENATE("R5C",' RIESGOS DE GESTION'!#REF!),"")</f>
        <v>#REF!</v>
      </c>
      <c r="AA10" s="40" t="e">
        <f>IF(AND(' RIESGOS DE GESTION'!#REF!="Muy Alta",' RIESGOS DE GESTION'!#REF!="Moderado"),CONCATENATE("R5C",' RIESGOS DE GESTION'!#REF!),"")</f>
        <v>#REF!</v>
      </c>
      <c r="AB10" s="38" t="e">
        <f>IF(AND(' RIESGOS DE GESTION'!#REF!="Muy Alta",' RIESGOS DE GESTION'!#REF!="Mayor"),CONCATENATE("R5C",' RIESGOS DE GESTION'!#REF!),"")</f>
        <v>#REF!</v>
      </c>
      <c r="AC10" s="39" t="e">
        <f>IF(AND(' RIESGOS DE GESTION'!#REF!="Muy Alta",' RIESGOS DE GESTION'!#REF!="Mayor"),CONCATENATE("R5C",' RIESGOS DE GESTION'!#REF!),"")</f>
        <v>#REF!</v>
      </c>
      <c r="AD10" s="39" t="e">
        <f>IF(AND(' RIESGOS DE GESTION'!#REF!="Muy Alta",' RIESGOS DE GESTION'!#REF!="Mayor"),CONCATENATE("R5C",' RIESGOS DE GESTION'!#REF!),"")</f>
        <v>#REF!</v>
      </c>
      <c r="AE10" s="39" t="e">
        <f>IF(AND(' RIESGOS DE GESTION'!#REF!="Muy Alta",' RIESGOS DE GESTION'!#REF!="Mayor"),CONCATENATE("R5C",' RIESGOS DE GESTION'!#REF!),"")</f>
        <v>#REF!</v>
      </c>
      <c r="AF10" s="39" t="e">
        <f>IF(AND(' RIESGOS DE GESTION'!#REF!="Muy Alta",' RIESGOS DE GESTION'!#REF!="Mayor"),CONCATENATE("R5C",' RIESGOS DE GESTION'!#REF!),"")</f>
        <v>#REF!</v>
      </c>
      <c r="AG10" s="40" t="e">
        <f>IF(AND(' RIESGOS DE GESTION'!#REF!="Muy Alta",' RIESGOS DE GESTION'!#REF!="Mayor"),CONCATENATE("R5C",' RIESGOS DE GESTION'!#REF!),"")</f>
        <v>#REF!</v>
      </c>
      <c r="AH10" s="41" t="e">
        <f>IF(AND(' RIESGOS DE GESTION'!#REF!="Muy Alta",' RIESGOS DE GESTION'!#REF!="Catastrófico"),CONCATENATE("R5C",' RIESGOS DE GESTION'!#REF!),"")</f>
        <v>#REF!</v>
      </c>
      <c r="AI10" s="42" t="e">
        <f>IF(AND(' RIESGOS DE GESTION'!#REF!="Muy Alta",' RIESGOS DE GESTION'!#REF!="Catastrófico"),CONCATENATE("R5C",' RIESGOS DE GESTION'!#REF!),"")</f>
        <v>#REF!</v>
      </c>
      <c r="AJ10" s="42" t="e">
        <f>IF(AND(' RIESGOS DE GESTION'!#REF!="Muy Alta",' RIESGOS DE GESTION'!#REF!="Catastrófico"),CONCATENATE("R5C",' RIESGOS DE GESTION'!#REF!),"")</f>
        <v>#REF!</v>
      </c>
      <c r="AK10" s="42" t="e">
        <f>IF(AND(' RIESGOS DE GESTION'!#REF!="Muy Alta",' RIESGOS DE GESTION'!#REF!="Catastrófico"),CONCATENATE("R5C",' RIESGOS DE GESTION'!#REF!),"")</f>
        <v>#REF!</v>
      </c>
      <c r="AL10" s="42" t="e">
        <f>IF(AND(' RIESGOS DE GESTION'!#REF!="Muy Alta",' RIESGOS DE GESTION'!#REF!="Catastrófico"),CONCATENATE("R5C",' RIESGOS DE GESTION'!#REF!),"")</f>
        <v>#REF!</v>
      </c>
      <c r="AM10" s="43" t="e">
        <f>IF(AND(' RIESGOS DE GESTION'!#REF!="Muy Alta",' RIESGOS DE GESTION'!#REF!="Catastrófico"),CONCATENATE("R5C",' RIESGOS DE GESTION'!#REF!),"")</f>
        <v>#REF!</v>
      </c>
      <c r="AN10" s="69"/>
      <c r="AO10" s="688"/>
      <c r="AP10" s="689"/>
      <c r="AQ10" s="689"/>
      <c r="AR10" s="689"/>
      <c r="AS10" s="689"/>
      <c r="AT10" s="690"/>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583"/>
      <c r="C11" s="583"/>
      <c r="D11" s="584"/>
      <c r="E11" s="682"/>
      <c r="F11" s="681"/>
      <c r="G11" s="681"/>
      <c r="H11" s="681"/>
      <c r="I11" s="697"/>
      <c r="J11" s="38" t="e">
        <f>IF(AND(' RIESGOS DE GESTION'!#REF!="Muy Alta",' RIESGOS DE GESTION'!#REF!="Leve"),CONCATENATE("R6C",' RIESGOS DE GESTION'!#REF!),"")</f>
        <v>#REF!</v>
      </c>
      <c r="K11" s="39" t="e">
        <f>IF(AND(' RIESGOS DE GESTION'!#REF!="Muy Alta",' RIESGOS DE GESTION'!#REF!="Leve"),CONCATENATE("R6C",' RIESGOS DE GESTION'!#REF!),"")</f>
        <v>#REF!</v>
      </c>
      <c r="L11" s="39" t="e">
        <f>IF(AND(' RIESGOS DE GESTION'!#REF!="Muy Alta",' RIESGOS DE GESTION'!#REF!="Leve"),CONCATENATE("R6C",' RIESGOS DE GESTION'!#REF!),"")</f>
        <v>#REF!</v>
      </c>
      <c r="M11" s="39" t="e">
        <f>IF(AND(' RIESGOS DE GESTION'!#REF!="Muy Alta",' RIESGOS DE GESTION'!#REF!="Leve"),CONCATENATE("R6C",' RIESGOS DE GESTION'!#REF!),"")</f>
        <v>#REF!</v>
      </c>
      <c r="N11" s="39" t="e">
        <f>IF(AND(' RIESGOS DE GESTION'!#REF!="Muy Alta",' RIESGOS DE GESTION'!#REF!="Leve"),CONCATENATE("R6C",' RIESGOS DE GESTION'!#REF!),"")</f>
        <v>#REF!</v>
      </c>
      <c r="O11" s="40" t="e">
        <f>IF(AND(' RIESGOS DE GESTION'!#REF!="Muy Alta",' RIESGOS DE GESTION'!#REF!="Leve"),CONCATENATE("R6C",' RIESGOS DE GESTION'!#REF!),"")</f>
        <v>#REF!</v>
      </c>
      <c r="P11" s="38" t="e">
        <f>IF(AND(' RIESGOS DE GESTION'!#REF!="Muy Alta",' RIESGOS DE GESTION'!#REF!="Menor"),CONCATENATE("R6C",' RIESGOS DE GESTION'!#REF!),"")</f>
        <v>#REF!</v>
      </c>
      <c r="Q11" s="39" t="e">
        <f>IF(AND(' RIESGOS DE GESTION'!#REF!="Muy Alta",' RIESGOS DE GESTION'!#REF!="Menor"),CONCATENATE("R6C",' RIESGOS DE GESTION'!#REF!),"")</f>
        <v>#REF!</v>
      </c>
      <c r="R11" s="39" t="e">
        <f>IF(AND(' RIESGOS DE GESTION'!#REF!="Muy Alta",' RIESGOS DE GESTION'!#REF!="Menor"),CONCATENATE("R6C",' RIESGOS DE GESTION'!#REF!),"")</f>
        <v>#REF!</v>
      </c>
      <c r="S11" s="39" t="e">
        <f>IF(AND(' RIESGOS DE GESTION'!#REF!="Muy Alta",' RIESGOS DE GESTION'!#REF!="Menor"),CONCATENATE("R6C",' RIESGOS DE GESTION'!#REF!),"")</f>
        <v>#REF!</v>
      </c>
      <c r="T11" s="39" t="e">
        <f>IF(AND(' RIESGOS DE GESTION'!#REF!="Muy Alta",' RIESGOS DE GESTION'!#REF!="Menor"),CONCATENATE("R6C",' RIESGOS DE GESTION'!#REF!),"")</f>
        <v>#REF!</v>
      </c>
      <c r="U11" s="40" t="e">
        <f>IF(AND(' RIESGOS DE GESTION'!#REF!="Muy Alta",' RIESGOS DE GESTION'!#REF!="Menor"),CONCATENATE("R6C",' RIESGOS DE GESTION'!#REF!),"")</f>
        <v>#REF!</v>
      </c>
      <c r="V11" s="38" t="e">
        <f>IF(AND(' RIESGOS DE GESTION'!#REF!="Muy Alta",' RIESGOS DE GESTION'!#REF!="Moderado"),CONCATENATE("R6C",' RIESGOS DE GESTION'!#REF!),"")</f>
        <v>#REF!</v>
      </c>
      <c r="W11" s="39" t="e">
        <f>IF(AND(' RIESGOS DE GESTION'!#REF!="Muy Alta",' RIESGOS DE GESTION'!#REF!="Moderado"),CONCATENATE("R6C",' RIESGOS DE GESTION'!#REF!),"")</f>
        <v>#REF!</v>
      </c>
      <c r="X11" s="39" t="e">
        <f>IF(AND(' RIESGOS DE GESTION'!#REF!="Muy Alta",' RIESGOS DE GESTION'!#REF!="Moderado"),CONCATENATE("R6C",' RIESGOS DE GESTION'!#REF!),"")</f>
        <v>#REF!</v>
      </c>
      <c r="Y11" s="39" t="e">
        <f>IF(AND(' RIESGOS DE GESTION'!#REF!="Muy Alta",' RIESGOS DE GESTION'!#REF!="Moderado"),CONCATENATE("R6C",' RIESGOS DE GESTION'!#REF!),"")</f>
        <v>#REF!</v>
      </c>
      <c r="Z11" s="39" t="e">
        <f>IF(AND(' RIESGOS DE GESTION'!#REF!="Muy Alta",' RIESGOS DE GESTION'!#REF!="Moderado"),CONCATENATE("R6C",' RIESGOS DE GESTION'!#REF!),"")</f>
        <v>#REF!</v>
      </c>
      <c r="AA11" s="40" t="e">
        <f>IF(AND(' RIESGOS DE GESTION'!#REF!="Muy Alta",' RIESGOS DE GESTION'!#REF!="Moderado"),CONCATENATE("R6C",' RIESGOS DE GESTION'!#REF!),"")</f>
        <v>#REF!</v>
      </c>
      <c r="AB11" s="38" t="e">
        <f>IF(AND(' RIESGOS DE GESTION'!#REF!="Muy Alta",' RIESGOS DE GESTION'!#REF!="Mayor"),CONCATENATE("R6C",' RIESGOS DE GESTION'!#REF!),"")</f>
        <v>#REF!</v>
      </c>
      <c r="AC11" s="39" t="e">
        <f>IF(AND(' RIESGOS DE GESTION'!#REF!="Muy Alta",' RIESGOS DE GESTION'!#REF!="Mayor"),CONCATENATE("R6C",' RIESGOS DE GESTION'!#REF!),"")</f>
        <v>#REF!</v>
      </c>
      <c r="AD11" s="39" t="e">
        <f>IF(AND(' RIESGOS DE GESTION'!#REF!="Muy Alta",' RIESGOS DE GESTION'!#REF!="Mayor"),CONCATENATE("R6C",' RIESGOS DE GESTION'!#REF!),"")</f>
        <v>#REF!</v>
      </c>
      <c r="AE11" s="39" t="e">
        <f>IF(AND(' RIESGOS DE GESTION'!#REF!="Muy Alta",' RIESGOS DE GESTION'!#REF!="Mayor"),CONCATENATE("R6C",' RIESGOS DE GESTION'!#REF!),"")</f>
        <v>#REF!</v>
      </c>
      <c r="AF11" s="39" t="e">
        <f>IF(AND(' RIESGOS DE GESTION'!#REF!="Muy Alta",' RIESGOS DE GESTION'!#REF!="Mayor"),CONCATENATE("R6C",' RIESGOS DE GESTION'!#REF!),"")</f>
        <v>#REF!</v>
      </c>
      <c r="AG11" s="40" t="e">
        <f>IF(AND(' RIESGOS DE GESTION'!#REF!="Muy Alta",' RIESGOS DE GESTION'!#REF!="Mayor"),CONCATENATE("R6C",' RIESGOS DE GESTION'!#REF!),"")</f>
        <v>#REF!</v>
      </c>
      <c r="AH11" s="41" t="e">
        <f>IF(AND(' RIESGOS DE GESTION'!#REF!="Muy Alta",' RIESGOS DE GESTION'!#REF!="Catastrófico"),CONCATENATE("R6C",' RIESGOS DE GESTION'!#REF!),"")</f>
        <v>#REF!</v>
      </c>
      <c r="AI11" s="42" t="e">
        <f>IF(AND(' RIESGOS DE GESTION'!#REF!="Muy Alta",' RIESGOS DE GESTION'!#REF!="Catastrófico"),CONCATENATE("R6C",' RIESGOS DE GESTION'!#REF!),"")</f>
        <v>#REF!</v>
      </c>
      <c r="AJ11" s="42" t="e">
        <f>IF(AND(' RIESGOS DE GESTION'!#REF!="Muy Alta",' RIESGOS DE GESTION'!#REF!="Catastrófico"),CONCATENATE("R6C",' RIESGOS DE GESTION'!#REF!),"")</f>
        <v>#REF!</v>
      </c>
      <c r="AK11" s="42" t="e">
        <f>IF(AND(' RIESGOS DE GESTION'!#REF!="Muy Alta",' RIESGOS DE GESTION'!#REF!="Catastrófico"),CONCATENATE("R6C",' RIESGOS DE GESTION'!#REF!),"")</f>
        <v>#REF!</v>
      </c>
      <c r="AL11" s="42" t="e">
        <f>IF(AND(' RIESGOS DE GESTION'!#REF!="Muy Alta",' RIESGOS DE GESTION'!#REF!="Catastrófico"),CONCATENATE("R6C",' RIESGOS DE GESTION'!#REF!),"")</f>
        <v>#REF!</v>
      </c>
      <c r="AM11" s="43" t="e">
        <f>IF(AND(' RIESGOS DE GESTION'!#REF!="Muy Alta",' RIESGOS DE GESTION'!#REF!="Catastrófico"),CONCATENATE("R6C",' RIESGOS DE GESTION'!#REF!),"")</f>
        <v>#REF!</v>
      </c>
      <c r="AN11" s="69"/>
      <c r="AO11" s="688"/>
      <c r="AP11" s="689"/>
      <c r="AQ11" s="689"/>
      <c r="AR11" s="689"/>
      <c r="AS11" s="689"/>
      <c r="AT11" s="690"/>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583"/>
      <c r="C12" s="583"/>
      <c r="D12" s="584"/>
      <c r="E12" s="682"/>
      <c r="F12" s="681"/>
      <c r="G12" s="681"/>
      <c r="H12" s="681"/>
      <c r="I12" s="697"/>
      <c r="J12" s="38" t="e">
        <f>IF(AND(' RIESGOS DE GESTION'!#REF!="Muy Alta",' RIESGOS DE GESTION'!#REF!="Leve"),CONCATENATE("R7C",' RIESGOS DE GESTION'!#REF!),"")</f>
        <v>#REF!</v>
      </c>
      <c r="K12" s="39" t="e">
        <f>IF(AND(' RIESGOS DE GESTION'!#REF!="Muy Alta",' RIESGOS DE GESTION'!#REF!="Leve"),CONCATENATE("R7C",' RIESGOS DE GESTION'!#REF!),"")</f>
        <v>#REF!</v>
      </c>
      <c r="L12" s="39" t="e">
        <f>IF(AND(' RIESGOS DE GESTION'!#REF!="Muy Alta",' RIESGOS DE GESTION'!#REF!="Leve"),CONCATENATE("R7C",' RIESGOS DE GESTION'!#REF!),"")</f>
        <v>#REF!</v>
      </c>
      <c r="M12" s="39" t="e">
        <f>IF(AND(' RIESGOS DE GESTION'!#REF!="Muy Alta",' RIESGOS DE GESTION'!#REF!="Leve"),CONCATENATE("R7C",' RIESGOS DE GESTION'!#REF!),"")</f>
        <v>#REF!</v>
      </c>
      <c r="N12" s="39" t="e">
        <f>IF(AND(' RIESGOS DE GESTION'!#REF!="Muy Alta",' RIESGOS DE GESTION'!#REF!="Leve"),CONCATENATE("R7C",' RIESGOS DE GESTION'!#REF!),"")</f>
        <v>#REF!</v>
      </c>
      <c r="O12" s="40" t="e">
        <f>IF(AND(' RIESGOS DE GESTION'!#REF!="Muy Alta",' RIESGOS DE GESTION'!#REF!="Leve"),CONCATENATE("R7C",' RIESGOS DE GESTION'!#REF!),"")</f>
        <v>#REF!</v>
      </c>
      <c r="P12" s="38" t="e">
        <f>IF(AND(' RIESGOS DE GESTION'!#REF!="Muy Alta",' RIESGOS DE GESTION'!#REF!="Menor"),CONCATENATE("R7C",' RIESGOS DE GESTION'!#REF!),"")</f>
        <v>#REF!</v>
      </c>
      <c r="Q12" s="39" t="e">
        <f>IF(AND(' RIESGOS DE GESTION'!#REF!="Muy Alta",' RIESGOS DE GESTION'!#REF!="Menor"),CONCATENATE("R7C",' RIESGOS DE GESTION'!#REF!),"")</f>
        <v>#REF!</v>
      </c>
      <c r="R12" s="39" t="e">
        <f>IF(AND(' RIESGOS DE GESTION'!#REF!="Muy Alta",' RIESGOS DE GESTION'!#REF!="Menor"),CONCATENATE("R7C",' RIESGOS DE GESTION'!#REF!),"")</f>
        <v>#REF!</v>
      </c>
      <c r="S12" s="39" t="e">
        <f>IF(AND(' RIESGOS DE GESTION'!#REF!="Muy Alta",' RIESGOS DE GESTION'!#REF!="Menor"),CONCATENATE("R7C",' RIESGOS DE GESTION'!#REF!),"")</f>
        <v>#REF!</v>
      </c>
      <c r="T12" s="39" t="e">
        <f>IF(AND(' RIESGOS DE GESTION'!#REF!="Muy Alta",' RIESGOS DE GESTION'!#REF!="Menor"),CONCATENATE("R7C",' RIESGOS DE GESTION'!#REF!),"")</f>
        <v>#REF!</v>
      </c>
      <c r="U12" s="40" t="e">
        <f>IF(AND(' RIESGOS DE GESTION'!#REF!="Muy Alta",' RIESGOS DE GESTION'!#REF!="Menor"),CONCATENATE("R7C",' RIESGOS DE GESTION'!#REF!),"")</f>
        <v>#REF!</v>
      </c>
      <c r="V12" s="38" t="e">
        <f>IF(AND(' RIESGOS DE GESTION'!#REF!="Muy Alta",' RIESGOS DE GESTION'!#REF!="Moderado"),CONCATENATE("R7C",' RIESGOS DE GESTION'!#REF!),"")</f>
        <v>#REF!</v>
      </c>
      <c r="W12" s="39" t="e">
        <f>IF(AND(' RIESGOS DE GESTION'!#REF!="Muy Alta",' RIESGOS DE GESTION'!#REF!="Moderado"),CONCATENATE("R7C",' RIESGOS DE GESTION'!#REF!),"")</f>
        <v>#REF!</v>
      </c>
      <c r="X12" s="39" t="e">
        <f>IF(AND(' RIESGOS DE GESTION'!#REF!="Muy Alta",' RIESGOS DE GESTION'!#REF!="Moderado"),CONCATENATE("R7C",' RIESGOS DE GESTION'!#REF!),"")</f>
        <v>#REF!</v>
      </c>
      <c r="Y12" s="39" t="e">
        <f>IF(AND(' RIESGOS DE GESTION'!#REF!="Muy Alta",' RIESGOS DE GESTION'!#REF!="Moderado"),CONCATENATE("R7C",' RIESGOS DE GESTION'!#REF!),"")</f>
        <v>#REF!</v>
      </c>
      <c r="Z12" s="39" t="e">
        <f>IF(AND(' RIESGOS DE GESTION'!#REF!="Muy Alta",' RIESGOS DE GESTION'!#REF!="Moderado"),CONCATENATE("R7C",' RIESGOS DE GESTION'!#REF!),"")</f>
        <v>#REF!</v>
      </c>
      <c r="AA12" s="40" t="e">
        <f>IF(AND(' RIESGOS DE GESTION'!#REF!="Muy Alta",' RIESGOS DE GESTION'!#REF!="Moderado"),CONCATENATE("R7C",' RIESGOS DE GESTION'!#REF!),"")</f>
        <v>#REF!</v>
      </c>
      <c r="AB12" s="38" t="e">
        <f>IF(AND(' RIESGOS DE GESTION'!#REF!="Muy Alta",' RIESGOS DE GESTION'!#REF!="Mayor"),CONCATENATE("R7C",' RIESGOS DE GESTION'!#REF!),"")</f>
        <v>#REF!</v>
      </c>
      <c r="AC12" s="39" t="e">
        <f>IF(AND(' RIESGOS DE GESTION'!#REF!="Muy Alta",' RIESGOS DE GESTION'!#REF!="Mayor"),CONCATENATE("R7C",' RIESGOS DE GESTION'!#REF!),"")</f>
        <v>#REF!</v>
      </c>
      <c r="AD12" s="39" t="e">
        <f>IF(AND(' RIESGOS DE GESTION'!#REF!="Muy Alta",' RIESGOS DE GESTION'!#REF!="Mayor"),CONCATENATE("R7C",' RIESGOS DE GESTION'!#REF!),"")</f>
        <v>#REF!</v>
      </c>
      <c r="AE12" s="39" t="e">
        <f>IF(AND(' RIESGOS DE GESTION'!#REF!="Muy Alta",' RIESGOS DE GESTION'!#REF!="Mayor"),CONCATENATE("R7C",' RIESGOS DE GESTION'!#REF!),"")</f>
        <v>#REF!</v>
      </c>
      <c r="AF12" s="39" t="e">
        <f>IF(AND(' RIESGOS DE GESTION'!#REF!="Muy Alta",' RIESGOS DE GESTION'!#REF!="Mayor"),CONCATENATE("R7C",' RIESGOS DE GESTION'!#REF!),"")</f>
        <v>#REF!</v>
      </c>
      <c r="AG12" s="40" t="e">
        <f>IF(AND(' RIESGOS DE GESTION'!#REF!="Muy Alta",' RIESGOS DE GESTION'!#REF!="Mayor"),CONCATENATE("R7C",' RIESGOS DE GESTION'!#REF!),"")</f>
        <v>#REF!</v>
      </c>
      <c r="AH12" s="41" t="e">
        <f>IF(AND(' RIESGOS DE GESTION'!#REF!="Muy Alta",' RIESGOS DE GESTION'!#REF!="Catastrófico"),CONCATENATE("R7C",' RIESGOS DE GESTION'!#REF!),"")</f>
        <v>#REF!</v>
      </c>
      <c r="AI12" s="42" t="e">
        <f>IF(AND(' RIESGOS DE GESTION'!#REF!="Muy Alta",' RIESGOS DE GESTION'!#REF!="Catastrófico"),CONCATENATE("R7C",' RIESGOS DE GESTION'!#REF!),"")</f>
        <v>#REF!</v>
      </c>
      <c r="AJ12" s="42" t="e">
        <f>IF(AND(' RIESGOS DE GESTION'!#REF!="Muy Alta",' RIESGOS DE GESTION'!#REF!="Catastrófico"),CONCATENATE("R7C",' RIESGOS DE GESTION'!#REF!),"")</f>
        <v>#REF!</v>
      </c>
      <c r="AK12" s="42" t="e">
        <f>IF(AND(' RIESGOS DE GESTION'!#REF!="Muy Alta",' RIESGOS DE GESTION'!#REF!="Catastrófico"),CONCATENATE("R7C",' RIESGOS DE GESTION'!#REF!),"")</f>
        <v>#REF!</v>
      </c>
      <c r="AL12" s="42" t="e">
        <f>IF(AND(' RIESGOS DE GESTION'!#REF!="Muy Alta",' RIESGOS DE GESTION'!#REF!="Catastrófico"),CONCATENATE("R7C",' RIESGOS DE GESTION'!#REF!),"")</f>
        <v>#REF!</v>
      </c>
      <c r="AM12" s="43" t="e">
        <f>IF(AND(' RIESGOS DE GESTION'!#REF!="Muy Alta",' RIESGOS DE GESTION'!#REF!="Catastrófico"),CONCATENATE("R7C",' RIESGOS DE GESTION'!#REF!),"")</f>
        <v>#REF!</v>
      </c>
      <c r="AN12" s="69"/>
      <c r="AO12" s="688"/>
      <c r="AP12" s="689"/>
      <c r="AQ12" s="689"/>
      <c r="AR12" s="689"/>
      <c r="AS12" s="689"/>
      <c r="AT12" s="690"/>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583"/>
      <c r="C13" s="583"/>
      <c r="D13" s="584"/>
      <c r="E13" s="682"/>
      <c r="F13" s="681"/>
      <c r="G13" s="681"/>
      <c r="H13" s="681"/>
      <c r="I13" s="697"/>
      <c r="J13" s="38" t="e">
        <f>IF(AND(' RIESGOS DE GESTION'!#REF!="Muy Alta",' RIESGOS DE GESTION'!#REF!="Leve"),CONCATENATE("R8C",' RIESGOS DE GESTION'!#REF!),"")</f>
        <v>#REF!</v>
      </c>
      <c r="K13" s="39" t="e">
        <f>IF(AND(' RIESGOS DE GESTION'!#REF!="Muy Alta",' RIESGOS DE GESTION'!#REF!="Leve"),CONCATENATE("R8C",' RIESGOS DE GESTION'!#REF!),"")</f>
        <v>#REF!</v>
      </c>
      <c r="L13" s="39" t="e">
        <f>IF(AND(' RIESGOS DE GESTION'!#REF!="Muy Alta",' RIESGOS DE GESTION'!#REF!="Leve"),CONCATENATE("R8C",' RIESGOS DE GESTION'!#REF!),"")</f>
        <v>#REF!</v>
      </c>
      <c r="M13" s="39" t="e">
        <f>IF(AND(' RIESGOS DE GESTION'!#REF!="Muy Alta",' RIESGOS DE GESTION'!#REF!="Leve"),CONCATENATE("R8C",' RIESGOS DE GESTION'!#REF!),"")</f>
        <v>#REF!</v>
      </c>
      <c r="N13" s="39" t="e">
        <f>IF(AND(' RIESGOS DE GESTION'!#REF!="Muy Alta",' RIESGOS DE GESTION'!#REF!="Leve"),CONCATENATE("R8C",' RIESGOS DE GESTION'!#REF!),"")</f>
        <v>#REF!</v>
      </c>
      <c r="O13" s="40" t="e">
        <f>IF(AND(' RIESGOS DE GESTION'!#REF!="Muy Alta",' RIESGOS DE GESTION'!#REF!="Leve"),CONCATENATE("R8C",' RIESGOS DE GESTION'!#REF!),"")</f>
        <v>#REF!</v>
      </c>
      <c r="P13" s="38" t="e">
        <f>IF(AND(' RIESGOS DE GESTION'!#REF!="Muy Alta",' RIESGOS DE GESTION'!#REF!="Menor"),CONCATENATE("R8C",' RIESGOS DE GESTION'!#REF!),"")</f>
        <v>#REF!</v>
      </c>
      <c r="Q13" s="39" t="e">
        <f>IF(AND(' RIESGOS DE GESTION'!#REF!="Muy Alta",' RIESGOS DE GESTION'!#REF!="Menor"),CONCATENATE("R8C",' RIESGOS DE GESTION'!#REF!),"")</f>
        <v>#REF!</v>
      </c>
      <c r="R13" s="39" t="e">
        <f>IF(AND(' RIESGOS DE GESTION'!#REF!="Muy Alta",' RIESGOS DE GESTION'!#REF!="Menor"),CONCATENATE("R8C",' RIESGOS DE GESTION'!#REF!),"")</f>
        <v>#REF!</v>
      </c>
      <c r="S13" s="39" t="e">
        <f>IF(AND(' RIESGOS DE GESTION'!#REF!="Muy Alta",' RIESGOS DE GESTION'!#REF!="Menor"),CONCATENATE("R8C",' RIESGOS DE GESTION'!#REF!),"")</f>
        <v>#REF!</v>
      </c>
      <c r="T13" s="39" t="e">
        <f>IF(AND(' RIESGOS DE GESTION'!#REF!="Muy Alta",' RIESGOS DE GESTION'!#REF!="Menor"),CONCATENATE("R8C",' RIESGOS DE GESTION'!#REF!),"")</f>
        <v>#REF!</v>
      </c>
      <c r="U13" s="40" t="e">
        <f>IF(AND(' RIESGOS DE GESTION'!#REF!="Muy Alta",' RIESGOS DE GESTION'!#REF!="Menor"),CONCATENATE("R8C",' RIESGOS DE GESTION'!#REF!),"")</f>
        <v>#REF!</v>
      </c>
      <c r="V13" s="38" t="e">
        <f>IF(AND(' RIESGOS DE GESTION'!#REF!="Muy Alta",' RIESGOS DE GESTION'!#REF!="Moderado"),CONCATENATE("R8C",' RIESGOS DE GESTION'!#REF!),"")</f>
        <v>#REF!</v>
      </c>
      <c r="W13" s="39" t="e">
        <f>IF(AND(' RIESGOS DE GESTION'!#REF!="Muy Alta",' RIESGOS DE GESTION'!#REF!="Moderado"),CONCATENATE("R8C",' RIESGOS DE GESTION'!#REF!),"")</f>
        <v>#REF!</v>
      </c>
      <c r="X13" s="39" t="e">
        <f>IF(AND(' RIESGOS DE GESTION'!#REF!="Muy Alta",' RIESGOS DE GESTION'!#REF!="Moderado"),CONCATENATE("R8C",' RIESGOS DE GESTION'!#REF!),"")</f>
        <v>#REF!</v>
      </c>
      <c r="Y13" s="39" t="e">
        <f>IF(AND(' RIESGOS DE GESTION'!#REF!="Muy Alta",' RIESGOS DE GESTION'!#REF!="Moderado"),CONCATENATE("R8C",' RIESGOS DE GESTION'!#REF!),"")</f>
        <v>#REF!</v>
      </c>
      <c r="Z13" s="39" t="e">
        <f>IF(AND(' RIESGOS DE GESTION'!#REF!="Muy Alta",' RIESGOS DE GESTION'!#REF!="Moderado"),CONCATENATE("R8C",' RIESGOS DE GESTION'!#REF!),"")</f>
        <v>#REF!</v>
      </c>
      <c r="AA13" s="40" t="e">
        <f>IF(AND(' RIESGOS DE GESTION'!#REF!="Muy Alta",' RIESGOS DE GESTION'!#REF!="Moderado"),CONCATENATE("R8C",' RIESGOS DE GESTION'!#REF!),"")</f>
        <v>#REF!</v>
      </c>
      <c r="AB13" s="38" t="e">
        <f>IF(AND(' RIESGOS DE GESTION'!#REF!="Muy Alta",' RIESGOS DE GESTION'!#REF!="Mayor"),CONCATENATE("R8C",' RIESGOS DE GESTION'!#REF!),"")</f>
        <v>#REF!</v>
      </c>
      <c r="AC13" s="39" t="e">
        <f>IF(AND(' RIESGOS DE GESTION'!#REF!="Muy Alta",' RIESGOS DE GESTION'!#REF!="Mayor"),CONCATENATE("R8C",' RIESGOS DE GESTION'!#REF!),"")</f>
        <v>#REF!</v>
      </c>
      <c r="AD13" s="39" t="e">
        <f>IF(AND(' RIESGOS DE GESTION'!#REF!="Muy Alta",' RIESGOS DE GESTION'!#REF!="Mayor"),CONCATENATE("R8C",' RIESGOS DE GESTION'!#REF!),"")</f>
        <v>#REF!</v>
      </c>
      <c r="AE13" s="39" t="e">
        <f>IF(AND(' RIESGOS DE GESTION'!#REF!="Muy Alta",' RIESGOS DE GESTION'!#REF!="Mayor"),CONCATENATE("R8C",' RIESGOS DE GESTION'!#REF!),"")</f>
        <v>#REF!</v>
      </c>
      <c r="AF13" s="39" t="e">
        <f>IF(AND(' RIESGOS DE GESTION'!#REF!="Muy Alta",' RIESGOS DE GESTION'!#REF!="Mayor"),CONCATENATE("R8C",' RIESGOS DE GESTION'!#REF!),"")</f>
        <v>#REF!</v>
      </c>
      <c r="AG13" s="40" t="e">
        <f>IF(AND(' RIESGOS DE GESTION'!#REF!="Muy Alta",' RIESGOS DE GESTION'!#REF!="Mayor"),CONCATENATE("R8C",' RIESGOS DE GESTION'!#REF!),"")</f>
        <v>#REF!</v>
      </c>
      <c r="AH13" s="41" t="e">
        <f>IF(AND(' RIESGOS DE GESTION'!#REF!="Muy Alta",' RIESGOS DE GESTION'!#REF!="Catastrófico"),CONCATENATE("R8C",' RIESGOS DE GESTION'!#REF!),"")</f>
        <v>#REF!</v>
      </c>
      <c r="AI13" s="42" t="e">
        <f>IF(AND(' RIESGOS DE GESTION'!#REF!="Muy Alta",' RIESGOS DE GESTION'!#REF!="Catastrófico"),CONCATENATE("R8C",' RIESGOS DE GESTION'!#REF!),"")</f>
        <v>#REF!</v>
      </c>
      <c r="AJ13" s="42" t="e">
        <f>IF(AND(' RIESGOS DE GESTION'!#REF!="Muy Alta",' RIESGOS DE GESTION'!#REF!="Catastrófico"),CONCATENATE("R8C",' RIESGOS DE GESTION'!#REF!),"")</f>
        <v>#REF!</v>
      </c>
      <c r="AK13" s="42" t="e">
        <f>IF(AND(' RIESGOS DE GESTION'!#REF!="Muy Alta",' RIESGOS DE GESTION'!#REF!="Catastrófico"),CONCATENATE("R8C",' RIESGOS DE GESTION'!#REF!),"")</f>
        <v>#REF!</v>
      </c>
      <c r="AL13" s="42" t="e">
        <f>IF(AND(' RIESGOS DE GESTION'!#REF!="Muy Alta",' RIESGOS DE GESTION'!#REF!="Catastrófico"),CONCATENATE("R8C",' RIESGOS DE GESTION'!#REF!),"")</f>
        <v>#REF!</v>
      </c>
      <c r="AM13" s="43" t="e">
        <f>IF(AND(' RIESGOS DE GESTION'!#REF!="Muy Alta",' RIESGOS DE GESTION'!#REF!="Catastrófico"),CONCATENATE("R8C",' RIESGOS DE GESTION'!#REF!),"")</f>
        <v>#REF!</v>
      </c>
      <c r="AN13" s="69"/>
      <c r="AO13" s="688"/>
      <c r="AP13" s="689"/>
      <c r="AQ13" s="689"/>
      <c r="AR13" s="689"/>
      <c r="AS13" s="689"/>
      <c r="AT13" s="690"/>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583"/>
      <c r="C14" s="583"/>
      <c r="D14" s="584"/>
      <c r="E14" s="682"/>
      <c r="F14" s="681"/>
      <c r="G14" s="681"/>
      <c r="H14" s="681"/>
      <c r="I14" s="697"/>
      <c r="J14" s="38" t="e">
        <f>IF(AND(' RIESGOS DE GESTION'!#REF!="Muy Alta",' RIESGOS DE GESTION'!#REF!="Leve"),CONCATENATE("R9C",' RIESGOS DE GESTION'!#REF!),"")</f>
        <v>#REF!</v>
      </c>
      <c r="K14" s="39" t="e">
        <f>IF(AND(' RIESGOS DE GESTION'!#REF!="Muy Alta",' RIESGOS DE GESTION'!#REF!="Leve"),CONCATENATE("R9C",' RIESGOS DE GESTION'!#REF!),"")</f>
        <v>#REF!</v>
      </c>
      <c r="L14" s="39" t="e">
        <f>IF(AND(' RIESGOS DE GESTION'!#REF!="Muy Alta",' RIESGOS DE GESTION'!#REF!="Leve"),CONCATENATE("R9C",' RIESGOS DE GESTION'!#REF!),"")</f>
        <v>#REF!</v>
      </c>
      <c r="M14" s="39" t="e">
        <f>IF(AND(' RIESGOS DE GESTION'!#REF!="Muy Alta",' RIESGOS DE GESTION'!#REF!="Leve"),CONCATENATE("R9C",' RIESGOS DE GESTION'!#REF!),"")</f>
        <v>#REF!</v>
      </c>
      <c r="N14" s="39" t="e">
        <f>IF(AND(' RIESGOS DE GESTION'!#REF!="Muy Alta",' RIESGOS DE GESTION'!#REF!="Leve"),CONCATENATE("R9C",' RIESGOS DE GESTION'!#REF!),"")</f>
        <v>#REF!</v>
      </c>
      <c r="O14" s="40" t="e">
        <f>IF(AND(' RIESGOS DE GESTION'!#REF!="Muy Alta",' RIESGOS DE GESTION'!#REF!="Leve"),CONCATENATE("R9C",' RIESGOS DE GESTION'!#REF!),"")</f>
        <v>#REF!</v>
      </c>
      <c r="P14" s="38" t="e">
        <f>IF(AND(' RIESGOS DE GESTION'!#REF!="Muy Alta",' RIESGOS DE GESTION'!#REF!="Menor"),CONCATENATE("R9C",' RIESGOS DE GESTION'!#REF!),"")</f>
        <v>#REF!</v>
      </c>
      <c r="Q14" s="39" t="e">
        <f>IF(AND(' RIESGOS DE GESTION'!#REF!="Muy Alta",' RIESGOS DE GESTION'!#REF!="Menor"),CONCATENATE("R9C",' RIESGOS DE GESTION'!#REF!),"")</f>
        <v>#REF!</v>
      </c>
      <c r="R14" s="39" t="e">
        <f>IF(AND(' RIESGOS DE GESTION'!#REF!="Muy Alta",' RIESGOS DE GESTION'!#REF!="Menor"),CONCATENATE("R9C",' RIESGOS DE GESTION'!#REF!),"")</f>
        <v>#REF!</v>
      </c>
      <c r="S14" s="39" t="e">
        <f>IF(AND(' RIESGOS DE GESTION'!#REF!="Muy Alta",' RIESGOS DE GESTION'!#REF!="Menor"),CONCATENATE("R9C",' RIESGOS DE GESTION'!#REF!),"")</f>
        <v>#REF!</v>
      </c>
      <c r="T14" s="39" t="e">
        <f>IF(AND(' RIESGOS DE GESTION'!#REF!="Muy Alta",' RIESGOS DE GESTION'!#REF!="Menor"),CONCATENATE("R9C",' RIESGOS DE GESTION'!#REF!),"")</f>
        <v>#REF!</v>
      </c>
      <c r="U14" s="40" t="e">
        <f>IF(AND(' RIESGOS DE GESTION'!#REF!="Muy Alta",' RIESGOS DE GESTION'!#REF!="Menor"),CONCATENATE("R9C",' RIESGOS DE GESTION'!#REF!),"")</f>
        <v>#REF!</v>
      </c>
      <c r="V14" s="38" t="e">
        <f>IF(AND(' RIESGOS DE GESTION'!#REF!="Muy Alta",' RIESGOS DE GESTION'!#REF!="Moderado"),CONCATENATE("R9C",' RIESGOS DE GESTION'!#REF!),"")</f>
        <v>#REF!</v>
      </c>
      <c r="W14" s="39" t="e">
        <f>IF(AND(' RIESGOS DE GESTION'!#REF!="Muy Alta",' RIESGOS DE GESTION'!#REF!="Moderado"),CONCATENATE("R9C",' RIESGOS DE GESTION'!#REF!),"")</f>
        <v>#REF!</v>
      </c>
      <c r="X14" s="39" t="e">
        <f>IF(AND(' RIESGOS DE GESTION'!#REF!="Muy Alta",' RIESGOS DE GESTION'!#REF!="Moderado"),CONCATENATE("R9C",' RIESGOS DE GESTION'!#REF!),"")</f>
        <v>#REF!</v>
      </c>
      <c r="Y14" s="39" t="e">
        <f>IF(AND(' RIESGOS DE GESTION'!#REF!="Muy Alta",' RIESGOS DE GESTION'!#REF!="Moderado"),CONCATENATE("R9C",' RIESGOS DE GESTION'!#REF!),"")</f>
        <v>#REF!</v>
      </c>
      <c r="Z14" s="39" t="e">
        <f>IF(AND(' RIESGOS DE GESTION'!#REF!="Muy Alta",' RIESGOS DE GESTION'!#REF!="Moderado"),CONCATENATE("R9C",' RIESGOS DE GESTION'!#REF!),"")</f>
        <v>#REF!</v>
      </c>
      <c r="AA14" s="40" t="e">
        <f>IF(AND(' RIESGOS DE GESTION'!#REF!="Muy Alta",' RIESGOS DE GESTION'!#REF!="Moderado"),CONCATENATE("R9C",' RIESGOS DE GESTION'!#REF!),"")</f>
        <v>#REF!</v>
      </c>
      <c r="AB14" s="38" t="e">
        <f>IF(AND(' RIESGOS DE GESTION'!#REF!="Muy Alta",' RIESGOS DE GESTION'!#REF!="Mayor"),CONCATENATE("R9C",' RIESGOS DE GESTION'!#REF!),"")</f>
        <v>#REF!</v>
      </c>
      <c r="AC14" s="39" t="e">
        <f>IF(AND(' RIESGOS DE GESTION'!#REF!="Muy Alta",' RIESGOS DE GESTION'!#REF!="Mayor"),CONCATENATE("R9C",' RIESGOS DE GESTION'!#REF!),"")</f>
        <v>#REF!</v>
      </c>
      <c r="AD14" s="39" t="e">
        <f>IF(AND(' RIESGOS DE GESTION'!#REF!="Muy Alta",' RIESGOS DE GESTION'!#REF!="Mayor"),CONCATENATE("R9C",' RIESGOS DE GESTION'!#REF!),"")</f>
        <v>#REF!</v>
      </c>
      <c r="AE14" s="39" t="e">
        <f>IF(AND(' RIESGOS DE GESTION'!#REF!="Muy Alta",' RIESGOS DE GESTION'!#REF!="Mayor"),CONCATENATE("R9C",' RIESGOS DE GESTION'!#REF!),"")</f>
        <v>#REF!</v>
      </c>
      <c r="AF14" s="39" t="e">
        <f>IF(AND(' RIESGOS DE GESTION'!#REF!="Muy Alta",' RIESGOS DE GESTION'!#REF!="Mayor"),CONCATENATE("R9C",' RIESGOS DE GESTION'!#REF!),"")</f>
        <v>#REF!</v>
      </c>
      <c r="AG14" s="40" t="e">
        <f>IF(AND(' RIESGOS DE GESTION'!#REF!="Muy Alta",' RIESGOS DE GESTION'!#REF!="Mayor"),CONCATENATE("R9C",' RIESGOS DE GESTION'!#REF!),"")</f>
        <v>#REF!</v>
      </c>
      <c r="AH14" s="41" t="e">
        <f>IF(AND(' RIESGOS DE GESTION'!#REF!="Muy Alta",' RIESGOS DE GESTION'!#REF!="Catastrófico"),CONCATENATE("R9C",' RIESGOS DE GESTION'!#REF!),"")</f>
        <v>#REF!</v>
      </c>
      <c r="AI14" s="42" t="e">
        <f>IF(AND(' RIESGOS DE GESTION'!#REF!="Muy Alta",' RIESGOS DE GESTION'!#REF!="Catastrófico"),CONCATENATE("R9C",' RIESGOS DE GESTION'!#REF!),"")</f>
        <v>#REF!</v>
      </c>
      <c r="AJ14" s="42" t="e">
        <f>IF(AND(' RIESGOS DE GESTION'!#REF!="Muy Alta",' RIESGOS DE GESTION'!#REF!="Catastrófico"),CONCATENATE("R9C",' RIESGOS DE GESTION'!#REF!),"")</f>
        <v>#REF!</v>
      </c>
      <c r="AK14" s="42" t="e">
        <f>IF(AND(' RIESGOS DE GESTION'!#REF!="Muy Alta",' RIESGOS DE GESTION'!#REF!="Catastrófico"),CONCATENATE("R9C",' RIESGOS DE GESTION'!#REF!),"")</f>
        <v>#REF!</v>
      </c>
      <c r="AL14" s="42" t="e">
        <f>IF(AND(' RIESGOS DE GESTION'!#REF!="Muy Alta",' RIESGOS DE GESTION'!#REF!="Catastrófico"),CONCATENATE("R9C",' RIESGOS DE GESTION'!#REF!),"")</f>
        <v>#REF!</v>
      </c>
      <c r="AM14" s="43" t="e">
        <f>IF(AND(' RIESGOS DE GESTION'!#REF!="Muy Alta",' RIESGOS DE GESTION'!#REF!="Catastrófico"),CONCATENATE("R9C",' RIESGOS DE GESTION'!#REF!),"")</f>
        <v>#REF!</v>
      </c>
      <c r="AN14" s="69"/>
      <c r="AO14" s="688"/>
      <c r="AP14" s="689"/>
      <c r="AQ14" s="689"/>
      <c r="AR14" s="689"/>
      <c r="AS14" s="689"/>
      <c r="AT14" s="690"/>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583"/>
      <c r="C15" s="583"/>
      <c r="D15" s="584"/>
      <c r="E15" s="683"/>
      <c r="F15" s="684"/>
      <c r="G15" s="684"/>
      <c r="H15" s="684"/>
      <c r="I15" s="698"/>
      <c r="J15" s="44" t="e">
        <f>IF(AND(' RIESGOS DE GESTION'!#REF!="Muy Alta",' RIESGOS DE GESTION'!#REF!="Leve"),CONCATENATE("R10C",' RIESGOS DE GESTION'!#REF!),"")</f>
        <v>#REF!</v>
      </c>
      <c r="K15" s="45" t="e">
        <f>IF(AND(' RIESGOS DE GESTION'!#REF!="Muy Alta",' RIESGOS DE GESTION'!#REF!="Leve"),CONCATENATE("R10C",' RIESGOS DE GESTION'!#REF!),"")</f>
        <v>#REF!</v>
      </c>
      <c r="L15" s="45" t="e">
        <f>IF(AND(' RIESGOS DE GESTION'!#REF!="Muy Alta",' RIESGOS DE GESTION'!#REF!="Leve"),CONCATENATE("R10C",' RIESGOS DE GESTION'!#REF!),"")</f>
        <v>#REF!</v>
      </c>
      <c r="M15" s="45" t="e">
        <f>IF(AND(' RIESGOS DE GESTION'!#REF!="Muy Alta",' RIESGOS DE GESTION'!#REF!="Leve"),CONCATENATE("R10C",' RIESGOS DE GESTION'!#REF!),"")</f>
        <v>#REF!</v>
      </c>
      <c r="N15" s="45" t="e">
        <f>IF(AND(' RIESGOS DE GESTION'!#REF!="Muy Alta",' RIESGOS DE GESTION'!#REF!="Leve"),CONCATENATE("R10C",' RIESGOS DE GESTION'!#REF!),"")</f>
        <v>#REF!</v>
      </c>
      <c r="O15" s="46" t="e">
        <f>IF(AND(' RIESGOS DE GESTION'!#REF!="Muy Alta",' RIESGOS DE GESTION'!#REF!="Leve"),CONCATENATE("R10C",' RIESGOS DE GESTION'!#REF!),"")</f>
        <v>#REF!</v>
      </c>
      <c r="P15" s="38" t="e">
        <f>IF(AND(' RIESGOS DE GESTION'!#REF!="Muy Alta",' RIESGOS DE GESTION'!#REF!="Menor"),CONCATENATE("R10C",' RIESGOS DE GESTION'!#REF!),"")</f>
        <v>#REF!</v>
      </c>
      <c r="Q15" s="39" t="e">
        <f>IF(AND(' RIESGOS DE GESTION'!#REF!="Muy Alta",' RIESGOS DE GESTION'!#REF!="Menor"),CONCATENATE("R10C",' RIESGOS DE GESTION'!#REF!),"")</f>
        <v>#REF!</v>
      </c>
      <c r="R15" s="39" t="e">
        <f>IF(AND(' RIESGOS DE GESTION'!#REF!="Muy Alta",' RIESGOS DE GESTION'!#REF!="Menor"),CONCATENATE("R10C",' RIESGOS DE GESTION'!#REF!),"")</f>
        <v>#REF!</v>
      </c>
      <c r="S15" s="39" t="e">
        <f>IF(AND(' RIESGOS DE GESTION'!#REF!="Muy Alta",' RIESGOS DE GESTION'!#REF!="Menor"),CONCATENATE("R10C",' RIESGOS DE GESTION'!#REF!),"")</f>
        <v>#REF!</v>
      </c>
      <c r="T15" s="39" t="e">
        <f>IF(AND(' RIESGOS DE GESTION'!#REF!="Muy Alta",' RIESGOS DE GESTION'!#REF!="Menor"),CONCATENATE("R10C",' RIESGOS DE GESTION'!#REF!),"")</f>
        <v>#REF!</v>
      </c>
      <c r="U15" s="40" t="e">
        <f>IF(AND(' RIESGOS DE GESTION'!#REF!="Muy Alta",' RIESGOS DE GESTION'!#REF!="Menor"),CONCATENATE("R10C",' RIESGOS DE GESTION'!#REF!),"")</f>
        <v>#REF!</v>
      </c>
      <c r="V15" s="44" t="e">
        <f>IF(AND(' RIESGOS DE GESTION'!#REF!="Muy Alta",' RIESGOS DE GESTION'!#REF!="Moderado"),CONCATENATE("R10C",' RIESGOS DE GESTION'!#REF!),"")</f>
        <v>#REF!</v>
      </c>
      <c r="W15" s="45" t="e">
        <f>IF(AND(' RIESGOS DE GESTION'!#REF!="Muy Alta",' RIESGOS DE GESTION'!#REF!="Moderado"),CONCATENATE("R10C",' RIESGOS DE GESTION'!#REF!),"")</f>
        <v>#REF!</v>
      </c>
      <c r="X15" s="45" t="e">
        <f>IF(AND(' RIESGOS DE GESTION'!#REF!="Muy Alta",' RIESGOS DE GESTION'!#REF!="Moderado"),CONCATENATE("R10C",' RIESGOS DE GESTION'!#REF!),"")</f>
        <v>#REF!</v>
      </c>
      <c r="Y15" s="45" t="e">
        <f>IF(AND(' RIESGOS DE GESTION'!#REF!="Muy Alta",' RIESGOS DE GESTION'!#REF!="Moderado"),CONCATENATE("R10C",' RIESGOS DE GESTION'!#REF!),"")</f>
        <v>#REF!</v>
      </c>
      <c r="Z15" s="45" t="e">
        <f>IF(AND(' RIESGOS DE GESTION'!#REF!="Muy Alta",' RIESGOS DE GESTION'!#REF!="Moderado"),CONCATENATE("R10C",' RIESGOS DE GESTION'!#REF!),"")</f>
        <v>#REF!</v>
      </c>
      <c r="AA15" s="46" t="e">
        <f>IF(AND(' RIESGOS DE GESTION'!#REF!="Muy Alta",' RIESGOS DE GESTION'!#REF!="Moderado"),CONCATENATE("R10C",' RIESGOS DE GESTION'!#REF!),"")</f>
        <v>#REF!</v>
      </c>
      <c r="AB15" s="38" t="e">
        <f>IF(AND(' RIESGOS DE GESTION'!#REF!="Muy Alta",' RIESGOS DE GESTION'!#REF!="Mayor"),CONCATENATE("R10C",' RIESGOS DE GESTION'!#REF!),"")</f>
        <v>#REF!</v>
      </c>
      <c r="AC15" s="39" t="e">
        <f>IF(AND(' RIESGOS DE GESTION'!#REF!="Muy Alta",' RIESGOS DE GESTION'!#REF!="Mayor"),CONCATENATE("R10C",' RIESGOS DE GESTION'!#REF!),"")</f>
        <v>#REF!</v>
      </c>
      <c r="AD15" s="39" t="e">
        <f>IF(AND(' RIESGOS DE GESTION'!#REF!="Muy Alta",' RIESGOS DE GESTION'!#REF!="Mayor"),CONCATENATE("R10C",' RIESGOS DE GESTION'!#REF!),"")</f>
        <v>#REF!</v>
      </c>
      <c r="AE15" s="39" t="e">
        <f>IF(AND(' RIESGOS DE GESTION'!#REF!="Muy Alta",' RIESGOS DE GESTION'!#REF!="Mayor"),CONCATENATE("R10C",' RIESGOS DE GESTION'!#REF!),"")</f>
        <v>#REF!</v>
      </c>
      <c r="AF15" s="39" t="e">
        <f>IF(AND(' RIESGOS DE GESTION'!#REF!="Muy Alta",' RIESGOS DE GESTION'!#REF!="Mayor"),CONCATENATE("R10C",' RIESGOS DE GESTION'!#REF!),"")</f>
        <v>#REF!</v>
      </c>
      <c r="AG15" s="40" t="e">
        <f>IF(AND(' RIESGOS DE GESTION'!#REF!="Muy Alta",' RIESGOS DE GESTION'!#REF!="Mayor"),CONCATENATE("R10C",' RIESGOS DE GESTION'!#REF!),"")</f>
        <v>#REF!</v>
      </c>
      <c r="AH15" s="47" t="e">
        <f>IF(AND(' RIESGOS DE GESTION'!#REF!="Muy Alta",' RIESGOS DE GESTION'!#REF!="Catastrófico"),CONCATENATE("R10C",' RIESGOS DE GESTION'!#REF!),"")</f>
        <v>#REF!</v>
      </c>
      <c r="AI15" s="48" t="e">
        <f>IF(AND(' RIESGOS DE GESTION'!#REF!="Muy Alta",' RIESGOS DE GESTION'!#REF!="Catastrófico"),CONCATENATE("R10C",' RIESGOS DE GESTION'!#REF!),"")</f>
        <v>#REF!</v>
      </c>
      <c r="AJ15" s="48" t="e">
        <f>IF(AND(' RIESGOS DE GESTION'!#REF!="Muy Alta",' RIESGOS DE GESTION'!#REF!="Catastrófico"),CONCATENATE("R10C",' RIESGOS DE GESTION'!#REF!),"")</f>
        <v>#REF!</v>
      </c>
      <c r="AK15" s="48" t="e">
        <f>IF(AND(' RIESGOS DE GESTION'!#REF!="Muy Alta",' RIESGOS DE GESTION'!#REF!="Catastrófico"),CONCATENATE("R10C",' RIESGOS DE GESTION'!#REF!),"")</f>
        <v>#REF!</v>
      </c>
      <c r="AL15" s="48" t="e">
        <f>IF(AND(' RIESGOS DE GESTION'!#REF!="Muy Alta",' RIESGOS DE GESTION'!#REF!="Catastrófico"),CONCATENATE("R10C",' RIESGOS DE GESTION'!#REF!),"")</f>
        <v>#REF!</v>
      </c>
      <c r="AM15" s="49" t="e">
        <f>IF(AND(' RIESGOS DE GESTION'!#REF!="Muy Alta",' RIESGOS DE GESTION'!#REF!="Catastrófico"),CONCATENATE("R10C",' RIESGOS DE GESTION'!#REF!),"")</f>
        <v>#REF!</v>
      </c>
      <c r="AN15" s="69"/>
      <c r="AO15" s="691"/>
      <c r="AP15" s="692"/>
      <c r="AQ15" s="692"/>
      <c r="AR15" s="692"/>
      <c r="AS15" s="692"/>
      <c r="AT15" s="693"/>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583"/>
      <c r="C16" s="583"/>
      <c r="D16" s="584"/>
      <c r="E16" s="678" t="s">
        <v>417</v>
      </c>
      <c r="F16" s="679"/>
      <c r="G16" s="679"/>
      <c r="H16" s="679"/>
      <c r="I16" s="679"/>
      <c r="J16" s="50" t="e">
        <f>IF(AND(' RIESGOS DE GESTION'!#REF!="Alta",' RIESGOS DE GESTION'!#REF!="Leve"),CONCATENATE("R1C",' RIESGOS DE GESTION'!#REF!),"")</f>
        <v>#REF!</v>
      </c>
      <c r="K16" s="51" t="e">
        <f>IF(AND(' RIESGOS DE GESTION'!#REF!="Alta",' RIESGOS DE GESTION'!#REF!="Leve"),CONCATENATE("R1C",' RIESGOS DE GESTION'!#REF!),"")</f>
        <v>#REF!</v>
      </c>
      <c r="L16" s="51" t="e">
        <f>IF(AND(' RIESGOS DE GESTION'!#REF!="Alta",' RIESGOS DE GESTION'!#REF!="Leve"),CONCATENATE("R1C",' RIESGOS DE GESTION'!#REF!),"")</f>
        <v>#REF!</v>
      </c>
      <c r="M16" s="51" t="e">
        <f>IF(AND(' RIESGOS DE GESTION'!#REF!="Alta",' RIESGOS DE GESTION'!#REF!="Leve"),CONCATENATE("R1C",' RIESGOS DE GESTION'!#REF!),"")</f>
        <v>#REF!</v>
      </c>
      <c r="N16" s="51" t="e">
        <f>IF(AND(' RIESGOS DE GESTION'!#REF!="Alta",' RIESGOS DE GESTION'!#REF!="Leve"),CONCATENATE("R1C",' RIESGOS DE GESTION'!#REF!),"")</f>
        <v>#REF!</v>
      </c>
      <c r="O16" s="52" t="e">
        <f>IF(AND(' RIESGOS DE GESTION'!#REF!="Alta",' RIESGOS DE GESTION'!#REF!="Leve"),CONCATENATE("R1C",' RIESGOS DE GESTION'!#REF!),"")</f>
        <v>#REF!</v>
      </c>
      <c r="P16" s="50" t="e">
        <f>IF(AND(' RIESGOS DE GESTION'!#REF!="Alta",' RIESGOS DE GESTION'!#REF!="Menor"),CONCATENATE("R1C",' RIESGOS DE GESTION'!#REF!),"")</f>
        <v>#REF!</v>
      </c>
      <c r="Q16" s="51" t="e">
        <f>IF(AND(' RIESGOS DE GESTION'!#REF!="Alta",' RIESGOS DE GESTION'!#REF!="Menor"),CONCATENATE("R1C",' RIESGOS DE GESTION'!#REF!),"")</f>
        <v>#REF!</v>
      </c>
      <c r="R16" s="51" t="e">
        <f>IF(AND(' RIESGOS DE GESTION'!#REF!="Alta",' RIESGOS DE GESTION'!#REF!="Menor"),CONCATENATE("R1C",' RIESGOS DE GESTION'!#REF!),"")</f>
        <v>#REF!</v>
      </c>
      <c r="S16" s="51" t="e">
        <f>IF(AND(' RIESGOS DE GESTION'!#REF!="Alta",' RIESGOS DE GESTION'!#REF!="Menor"),CONCATENATE("R1C",' RIESGOS DE GESTION'!#REF!),"")</f>
        <v>#REF!</v>
      </c>
      <c r="T16" s="51" t="e">
        <f>IF(AND(' RIESGOS DE GESTION'!#REF!="Alta",' RIESGOS DE GESTION'!#REF!="Menor"),CONCATENATE("R1C",' RIESGOS DE GESTION'!#REF!),"")</f>
        <v>#REF!</v>
      </c>
      <c r="U16" s="52" t="e">
        <f>IF(AND(' RIESGOS DE GESTION'!#REF!="Alta",' RIESGOS DE GESTION'!#REF!="Menor"),CONCATENATE("R1C",' RIESGOS DE GESTION'!#REF!),"")</f>
        <v>#REF!</v>
      </c>
      <c r="V16" s="32" t="e">
        <f>IF(AND(' RIESGOS DE GESTION'!#REF!="Alta",' RIESGOS DE GESTION'!#REF!="Moderado"),CONCATENATE("R1C",' RIESGOS DE GESTION'!#REF!),"")</f>
        <v>#REF!</v>
      </c>
      <c r="W16" s="33" t="e">
        <f>IF(AND(' RIESGOS DE GESTION'!#REF!="Alta",' RIESGOS DE GESTION'!#REF!="Moderado"),CONCATENATE("R1C",' RIESGOS DE GESTION'!#REF!),"")</f>
        <v>#REF!</v>
      </c>
      <c r="X16" s="33" t="e">
        <f>IF(AND(' RIESGOS DE GESTION'!#REF!="Alta",' RIESGOS DE GESTION'!#REF!="Moderado"),CONCATENATE("R1C",' RIESGOS DE GESTION'!#REF!),"")</f>
        <v>#REF!</v>
      </c>
      <c r="Y16" s="33" t="e">
        <f>IF(AND(' RIESGOS DE GESTION'!#REF!="Alta",' RIESGOS DE GESTION'!#REF!="Moderado"),CONCATENATE("R1C",' RIESGOS DE GESTION'!#REF!),"")</f>
        <v>#REF!</v>
      </c>
      <c r="Z16" s="33" t="e">
        <f>IF(AND(' RIESGOS DE GESTION'!#REF!="Alta",' RIESGOS DE GESTION'!#REF!="Moderado"),CONCATENATE("R1C",' RIESGOS DE GESTION'!#REF!),"")</f>
        <v>#REF!</v>
      </c>
      <c r="AA16" s="34" t="e">
        <f>IF(AND(' RIESGOS DE GESTION'!#REF!="Alta",' RIESGOS DE GESTION'!#REF!="Moderado"),CONCATENATE("R1C",' RIESGOS DE GESTION'!#REF!),"")</f>
        <v>#REF!</v>
      </c>
      <c r="AB16" s="32" t="e">
        <f>IF(AND(' RIESGOS DE GESTION'!#REF!="Alta",' RIESGOS DE GESTION'!#REF!="Mayor"),CONCATENATE("R1C",' RIESGOS DE GESTION'!#REF!),"")</f>
        <v>#REF!</v>
      </c>
      <c r="AC16" s="33" t="e">
        <f>IF(AND(' RIESGOS DE GESTION'!#REF!="Alta",' RIESGOS DE GESTION'!#REF!="Mayor"),CONCATENATE("R1C",' RIESGOS DE GESTION'!#REF!),"")</f>
        <v>#REF!</v>
      </c>
      <c r="AD16" s="33" t="e">
        <f>IF(AND(' RIESGOS DE GESTION'!#REF!="Alta",' RIESGOS DE GESTION'!#REF!="Mayor"),CONCATENATE("R1C",' RIESGOS DE GESTION'!#REF!),"")</f>
        <v>#REF!</v>
      </c>
      <c r="AE16" s="33" t="e">
        <f>IF(AND(' RIESGOS DE GESTION'!#REF!="Alta",' RIESGOS DE GESTION'!#REF!="Mayor"),CONCATENATE("R1C",' RIESGOS DE GESTION'!#REF!),"")</f>
        <v>#REF!</v>
      </c>
      <c r="AF16" s="33" t="e">
        <f>IF(AND(' RIESGOS DE GESTION'!#REF!="Alta",' RIESGOS DE GESTION'!#REF!="Mayor"),CONCATENATE("R1C",' RIESGOS DE GESTION'!#REF!),"")</f>
        <v>#REF!</v>
      </c>
      <c r="AG16" s="34" t="e">
        <f>IF(AND(' RIESGOS DE GESTION'!#REF!="Alta",' RIESGOS DE GESTION'!#REF!="Mayor"),CONCATENATE("R1C",' RIESGOS DE GESTION'!#REF!),"")</f>
        <v>#REF!</v>
      </c>
      <c r="AH16" s="35" t="e">
        <f>IF(AND(' RIESGOS DE GESTION'!#REF!="Alta",' RIESGOS DE GESTION'!#REF!="Catastrófico"),CONCATENATE("R1C",' RIESGOS DE GESTION'!#REF!),"")</f>
        <v>#REF!</v>
      </c>
      <c r="AI16" s="36" t="e">
        <f>IF(AND(' RIESGOS DE GESTION'!#REF!="Alta",' RIESGOS DE GESTION'!#REF!="Catastrófico"),CONCATENATE("R1C",' RIESGOS DE GESTION'!#REF!),"")</f>
        <v>#REF!</v>
      </c>
      <c r="AJ16" s="36" t="e">
        <f>IF(AND(' RIESGOS DE GESTION'!#REF!="Alta",' RIESGOS DE GESTION'!#REF!="Catastrófico"),CONCATENATE("R1C",' RIESGOS DE GESTION'!#REF!),"")</f>
        <v>#REF!</v>
      </c>
      <c r="AK16" s="36" t="e">
        <f>IF(AND(' RIESGOS DE GESTION'!#REF!="Alta",' RIESGOS DE GESTION'!#REF!="Catastrófico"),CONCATENATE("R1C",' RIESGOS DE GESTION'!#REF!),"")</f>
        <v>#REF!</v>
      </c>
      <c r="AL16" s="36" t="e">
        <f>IF(AND(' RIESGOS DE GESTION'!#REF!="Alta",' RIESGOS DE GESTION'!#REF!="Catastrófico"),CONCATENATE("R1C",' RIESGOS DE GESTION'!#REF!),"")</f>
        <v>#REF!</v>
      </c>
      <c r="AM16" s="37" t="e">
        <f>IF(AND(' RIESGOS DE GESTION'!#REF!="Alta",' RIESGOS DE GESTION'!#REF!="Catastrófico"),CONCATENATE("R1C",' RIESGOS DE GESTION'!#REF!),"")</f>
        <v>#REF!</v>
      </c>
      <c r="AN16" s="69"/>
      <c r="AO16" s="669" t="s">
        <v>418</v>
      </c>
      <c r="AP16" s="670"/>
      <c r="AQ16" s="670"/>
      <c r="AR16" s="670"/>
      <c r="AS16" s="670"/>
      <c r="AT16" s="671"/>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583"/>
      <c r="C17" s="583"/>
      <c r="D17" s="584"/>
      <c r="E17" s="680"/>
      <c r="F17" s="681"/>
      <c r="G17" s="681"/>
      <c r="H17" s="681"/>
      <c r="I17" s="681"/>
      <c r="J17" s="53" t="e">
        <f>IF(AND(' RIESGOS DE GESTION'!#REF!="Alta",' RIESGOS DE GESTION'!#REF!="Leve"),CONCATENATE("R2C",' RIESGOS DE GESTION'!#REF!),"")</f>
        <v>#REF!</v>
      </c>
      <c r="K17" s="54" t="e">
        <f>IF(AND(' RIESGOS DE GESTION'!#REF!="Alta",' RIESGOS DE GESTION'!#REF!="Leve"),CONCATENATE("R2C",' RIESGOS DE GESTION'!#REF!),"")</f>
        <v>#REF!</v>
      </c>
      <c r="L17" s="54" t="e">
        <f>IF(AND(' RIESGOS DE GESTION'!#REF!="Alta",' RIESGOS DE GESTION'!#REF!="Leve"),CONCATENATE("R2C",' RIESGOS DE GESTION'!#REF!),"")</f>
        <v>#REF!</v>
      </c>
      <c r="M17" s="54" t="e">
        <f>IF(AND(' RIESGOS DE GESTION'!#REF!="Alta",' RIESGOS DE GESTION'!#REF!="Leve"),CONCATENATE("R2C",' RIESGOS DE GESTION'!#REF!),"")</f>
        <v>#REF!</v>
      </c>
      <c r="N17" s="54" t="e">
        <f>IF(AND(' RIESGOS DE GESTION'!#REF!="Alta",' RIESGOS DE GESTION'!#REF!="Leve"),CONCATENATE("R2C",' RIESGOS DE GESTION'!#REF!),"")</f>
        <v>#REF!</v>
      </c>
      <c r="O17" s="55" t="e">
        <f>IF(AND(' RIESGOS DE GESTION'!#REF!="Alta",' RIESGOS DE GESTION'!#REF!="Leve"),CONCATENATE("R2C",' RIESGOS DE GESTION'!#REF!),"")</f>
        <v>#REF!</v>
      </c>
      <c r="P17" s="53" t="e">
        <f>IF(AND(' RIESGOS DE GESTION'!#REF!="Alta",' RIESGOS DE GESTION'!#REF!="Menor"),CONCATENATE("R2C",' RIESGOS DE GESTION'!#REF!),"")</f>
        <v>#REF!</v>
      </c>
      <c r="Q17" s="54" t="e">
        <f>IF(AND(' RIESGOS DE GESTION'!#REF!="Alta",' RIESGOS DE GESTION'!#REF!="Menor"),CONCATENATE("R2C",' RIESGOS DE GESTION'!#REF!),"")</f>
        <v>#REF!</v>
      </c>
      <c r="R17" s="54" t="e">
        <f>IF(AND(' RIESGOS DE GESTION'!#REF!="Alta",' RIESGOS DE GESTION'!#REF!="Menor"),CONCATENATE("R2C",' RIESGOS DE GESTION'!#REF!),"")</f>
        <v>#REF!</v>
      </c>
      <c r="S17" s="54" t="e">
        <f>IF(AND(' RIESGOS DE GESTION'!#REF!="Alta",' RIESGOS DE GESTION'!#REF!="Menor"),CONCATENATE("R2C",' RIESGOS DE GESTION'!#REF!),"")</f>
        <v>#REF!</v>
      </c>
      <c r="T17" s="54" t="e">
        <f>IF(AND(' RIESGOS DE GESTION'!#REF!="Alta",' RIESGOS DE GESTION'!#REF!="Menor"),CONCATENATE("R2C",' RIESGOS DE GESTION'!#REF!),"")</f>
        <v>#REF!</v>
      </c>
      <c r="U17" s="55" t="e">
        <f>IF(AND(' RIESGOS DE GESTION'!#REF!="Alta",' RIESGOS DE GESTION'!#REF!="Menor"),CONCATENATE("R2C",' RIESGOS DE GESTION'!#REF!),"")</f>
        <v>#REF!</v>
      </c>
      <c r="V17" s="38" t="e">
        <f>IF(AND(' RIESGOS DE GESTION'!#REF!="Alta",' RIESGOS DE GESTION'!#REF!="Moderado"),CONCATENATE("R2C",' RIESGOS DE GESTION'!#REF!),"")</f>
        <v>#REF!</v>
      </c>
      <c r="W17" s="39" t="e">
        <f>IF(AND(' RIESGOS DE GESTION'!#REF!="Alta",' RIESGOS DE GESTION'!#REF!="Moderado"),CONCATENATE("R2C",' RIESGOS DE GESTION'!#REF!),"")</f>
        <v>#REF!</v>
      </c>
      <c r="X17" s="39" t="e">
        <f>IF(AND(' RIESGOS DE GESTION'!#REF!="Alta",' RIESGOS DE GESTION'!#REF!="Moderado"),CONCATENATE("R2C",' RIESGOS DE GESTION'!#REF!),"")</f>
        <v>#REF!</v>
      </c>
      <c r="Y17" s="39" t="e">
        <f>IF(AND(' RIESGOS DE GESTION'!#REF!="Alta",' RIESGOS DE GESTION'!#REF!="Moderado"),CONCATENATE("R2C",' RIESGOS DE GESTION'!#REF!),"")</f>
        <v>#REF!</v>
      </c>
      <c r="Z17" s="39" t="e">
        <f>IF(AND(' RIESGOS DE GESTION'!#REF!="Alta",' RIESGOS DE GESTION'!#REF!="Moderado"),CONCATENATE("R2C",' RIESGOS DE GESTION'!#REF!),"")</f>
        <v>#REF!</v>
      </c>
      <c r="AA17" s="40" t="e">
        <f>IF(AND(' RIESGOS DE GESTION'!#REF!="Alta",' RIESGOS DE GESTION'!#REF!="Moderado"),CONCATENATE("R2C",' RIESGOS DE GESTION'!#REF!),"")</f>
        <v>#REF!</v>
      </c>
      <c r="AB17" s="38" t="e">
        <f>IF(AND(' RIESGOS DE GESTION'!#REF!="Alta",' RIESGOS DE GESTION'!#REF!="Mayor"),CONCATENATE("R2C",' RIESGOS DE GESTION'!#REF!),"")</f>
        <v>#REF!</v>
      </c>
      <c r="AC17" s="39" t="e">
        <f>IF(AND(' RIESGOS DE GESTION'!#REF!="Alta",' RIESGOS DE GESTION'!#REF!="Mayor"),CONCATENATE("R2C",' RIESGOS DE GESTION'!#REF!),"")</f>
        <v>#REF!</v>
      </c>
      <c r="AD17" s="39" t="e">
        <f>IF(AND(' RIESGOS DE GESTION'!#REF!="Alta",' RIESGOS DE GESTION'!#REF!="Mayor"),CONCATENATE("R2C",' RIESGOS DE GESTION'!#REF!),"")</f>
        <v>#REF!</v>
      </c>
      <c r="AE17" s="39" t="e">
        <f>IF(AND(' RIESGOS DE GESTION'!#REF!="Alta",' RIESGOS DE GESTION'!#REF!="Mayor"),CONCATENATE("R2C",' RIESGOS DE GESTION'!#REF!),"")</f>
        <v>#REF!</v>
      </c>
      <c r="AF17" s="39" t="e">
        <f>IF(AND(' RIESGOS DE GESTION'!#REF!="Alta",' RIESGOS DE GESTION'!#REF!="Mayor"),CONCATENATE("R2C",' RIESGOS DE GESTION'!#REF!),"")</f>
        <v>#REF!</v>
      </c>
      <c r="AG17" s="40" t="e">
        <f>IF(AND(' RIESGOS DE GESTION'!#REF!="Alta",' RIESGOS DE GESTION'!#REF!="Mayor"),CONCATENATE("R2C",' RIESGOS DE GESTION'!#REF!),"")</f>
        <v>#REF!</v>
      </c>
      <c r="AH17" s="41" t="e">
        <f>IF(AND(' RIESGOS DE GESTION'!#REF!="Alta",' RIESGOS DE GESTION'!#REF!="Catastrófico"),CONCATENATE("R2C",' RIESGOS DE GESTION'!#REF!),"")</f>
        <v>#REF!</v>
      </c>
      <c r="AI17" s="42" t="e">
        <f>IF(AND(' RIESGOS DE GESTION'!#REF!="Alta",' RIESGOS DE GESTION'!#REF!="Catastrófico"),CONCATENATE("R2C",' RIESGOS DE GESTION'!#REF!),"")</f>
        <v>#REF!</v>
      </c>
      <c r="AJ17" s="42" t="e">
        <f>IF(AND(' RIESGOS DE GESTION'!#REF!="Alta",' RIESGOS DE GESTION'!#REF!="Catastrófico"),CONCATENATE("R2C",' RIESGOS DE GESTION'!#REF!),"")</f>
        <v>#REF!</v>
      </c>
      <c r="AK17" s="42" t="e">
        <f>IF(AND(' RIESGOS DE GESTION'!#REF!="Alta",' RIESGOS DE GESTION'!#REF!="Catastrófico"),CONCATENATE("R2C",' RIESGOS DE GESTION'!#REF!),"")</f>
        <v>#REF!</v>
      </c>
      <c r="AL17" s="42" t="e">
        <f>IF(AND(' RIESGOS DE GESTION'!#REF!="Alta",' RIESGOS DE GESTION'!#REF!="Catastrófico"),CONCATENATE("R2C",' RIESGOS DE GESTION'!#REF!),"")</f>
        <v>#REF!</v>
      </c>
      <c r="AM17" s="43" t="e">
        <f>IF(AND(' RIESGOS DE GESTION'!#REF!="Alta",' RIESGOS DE GESTION'!#REF!="Catastrófico"),CONCATENATE("R2C",' RIESGOS DE GESTION'!#REF!),"")</f>
        <v>#REF!</v>
      </c>
      <c r="AN17" s="69"/>
      <c r="AO17" s="672"/>
      <c r="AP17" s="673"/>
      <c r="AQ17" s="673"/>
      <c r="AR17" s="673"/>
      <c r="AS17" s="673"/>
      <c r="AT17" s="674"/>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583"/>
      <c r="C18" s="583"/>
      <c r="D18" s="584"/>
      <c r="E18" s="682"/>
      <c r="F18" s="681"/>
      <c r="G18" s="681"/>
      <c r="H18" s="681"/>
      <c r="I18" s="681"/>
      <c r="J18" s="53" t="e">
        <f>IF(AND(' RIESGOS DE GESTION'!#REF!="Alta",' RIESGOS DE GESTION'!#REF!="Leve"),CONCATENATE("R3C",' RIESGOS DE GESTION'!#REF!),"")</f>
        <v>#REF!</v>
      </c>
      <c r="K18" s="54" t="e">
        <f>IF(AND(' RIESGOS DE GESTION'!#REF!="Alta",' RIESGOS DE GESTION'!#REF!="Leve"),CONCATENATE("R3C",' RIESGOS DE GESTION'!#REF!),"")</f>
        <v>#REF!</v>
      </c>
      <c r="L18" s="54" t="e">
        <f>IF(AND(' RIESGOS DE GESTION'!#REF!="Alta",' RIESGOS DE GESTION'!#REF!="Leve"),CONCATENATE("R3C",' RIESGOS DE GESTION'!#REF!),"")</f>
        <v>#REF!</v>
      </c>
      <c r="M18" s="54" t="e">
        <f>IF(AND(' RIESGOS DE GESTION'!#REF!="Alta",' RIESGOS DE GESTION'!#REF!="Leve"),CONCATENATE("R3C",' RIESGOS DE GESTION'!#REF!),"")</f>
        <v>#REF!</v>
      </c>
      <c r="N18" s="54" t="e">
        <f>IF(AND(' RIESGOS DE GESTION'!#REF!="Alta",' RIESGOS DE GESTION'!#REF!="Leve"),CONCATENATE("R3C",' RIESGOS DE GESTION'!#REF!),"")</f>
        <v>#REF!</v>
      </c>
      <c r="O18" s="55" t="e">
        <f>IF(AND(' RIESGOS DE GESTION'!#REF!="Alta",' RIESGOS DE GESTION'!#REF!="Leve"),CONCATENATE("R3C",' RIESGOS DE GESTION'!#REF!),"")</f>
        <v>#REF!</v>
      </c>
      <c r="P18" s="53" t="e">
        <f>IF(AND(' RIESGOS DE GESTION'!#REF!="Alta",' RIESGOS DE GESTION'!#REF!="Menor"),CONCATENATE("R3C",' RIESGOS DE GESTION'!#REF!),"")</f>
        <v>#REF!</v>
      </c>
      <c r="Q18" s="54" t="e">
        <f>IF(AND(' RIESGOS DE GESTION'!#REF!="Alta",' RIESGOS DE GESTION'!#REF!="Menor"),CONCATENATE("R3C",' RIESGOS DE GESTION'!#REF!),"")</f>
        <v>#REF!</v>
      </c>
      <c r="R18" s="54" t="e">
        <f>IF(AND(' RIESGOS DE GESTION'!#REF!="Alta",' RIESGOS DE GESTION'!#REF!="Menor"),CONCATENATE("R3C",' RIESGOS DE GESTION'!#REF!),"")</f>
        <v>#REF!</v>
      </c>
      <c r="S18" s="54" t="e">
        <f>IF(AND(' RIESGOS DE GESTION'!#REF!="Alta",' RIESGOS DE GESTION'!#REF!="Menor"),CONCATENATE("R3C",' RIESGOS DE GESTION'!#REF!),"")</f>
        <v>#REF!</v>
      </c>
      <c r="T18" s="54" t="e">
        <f>IF(AND(' RIESGOS DE GESTION'!#REF!="Alta",' RIESGOS DE GESTION'!#REF!="Menor"),CONCATENATE("R3C",' RIESGOS DE GESTION'!#REF!),"")</f>
        <v>#REF!</v>
      </c>
      <c r="U18" s="55" t="e">
        <f>IF(AND(' RIESGOS DE GESTION'!#REF!="Alta",' RIESGOS DE GESTION'!#REF!="Menor"),CONCATENATE("R3C",' RIESGOS DE GESTION'!#REF!),"")</f>
        <v>#REF!</v>
      </c>
      <c r="V18" s="38" t="e">
        <f>IF(AND(' RIESGOS DE GESTION'!#REF!="Alta",' RIESGOS DE GESTION'!#REF!="Moderado"),CONCATENATE("R3C",' RIESGOS DE GESTION'!#REF!),"")</f>
        <v>#REF!</v>
      </c>
      <c r="W18" s="39" t="e">
        <f>IF(AND(' RIESGOS DE GESTION'!#REF!="Alta",' RIESGOS DE GESTION'!#REF!="Moderado"),CONCATENATE("R3C",' RIESGOS DE GESTION'!#REF!),"")</f>
        <v>#REF!</v>
      </c>
      <c r="X18" s="39" t="e">
        <f>IF(AND(' RIESGOS DE GESTION'!#REF!="Alta",' RIESGOS DE GESTION'!#REF!="Moderado"),CONCATENATE("R3C",' RIESGOS DE GESTION'!#REF!),"")</f>
        <v>#REF!</v>
      </c>
      <c r="Y18" s="39" t="e">
        <f>IF(AND(' RIESGOS DE GESTION'!#REF!="Alta",' RIESGOS DE GESTION'!#REF!="Moderado"),CONCATENATE("R3C",' RIESGOS DE GESTION'!#REF!),"")</f>
        <v>#REF!</v>
      </c>
      <c r="Z18" s="39" t="e">
        <f>IF(AND(' RIESGOS DE GESTION'!#REF!="Alta",' RIESGOS DE GESTION'!#REF!="Moderado"),CONCATENATE("R3C",' RIESGOS DE GESTION'!#REF!),"")</f>
        <v>#REF!</v>
      </c>
      <c r="AA18" s="40" t="e">
        <f>IF(AND(' RIESGOS DE GESTION'!#REF!="Alta",' RIESGOS DE GESTION'!#REF!="Moderado"),CONCATENATE("R3C",' RIESGOS DE GESTION'!#REF!),"")</f>
        <v>#REF!</v>
      </c>
      <c r="AB18" s="38" t="e">
        <f>IF(AND(' RIESGOS DE GESTION'!#REF!="Alta",' RIESGOS DE GESTION'!#REF!="Mayor"),CONCATENATE("R3C",' RIESGOS DE GESTION'!#REF!),"")</f>
        <v>#REF!</v>
      </c>
      <c r="AC18" s="39" t="e">
        <f>IF(AND(' RIESGOS DE GESTION'!#REF!="Alta",' RIESGOS DE GESTION'!#REF!="Mayor"),CONCATENATE("R3C",' RIESGOS DE GESTION'!#REF!),"")</f>
        <v>#REF!</v>
      </c>
      <c r="AD18" s="39" t="e">
        <f>IF(AND(' RIESGOS DE GESTION'!#REF!="Alta",' RIESGOS DE GESTION'!#REF!="Mayor"),CONCATENATE("R3C",' RIESGOS DE GESTION'!#REF!),"")</f>
        <v>#REF!</v>
      </c>
      <c r="AE18" s="39" t="e">
        <f>IF(AND(' RIESGOS DE GESTION'!#REF!="Alta",' RIESGOS DE GESTION'!#REF!="Mayor"),CONCATENATE("R3C",' RIESGOS DE GESTION'!#REF!),"")</f>
        <v>#REF!</v>
      </c>
      <c r="AF18" s="39" t="e">
        <f>IF(AND(' RIESGOS DE GESTION'!#REF!="Alta",' RIESGOS DE GESTION'!#REF!="Mayor"),CONCATENATE("R3C",' RIESGOS DE GESTION'!#REF!),"")</f>
        <v>#REF!</v>
      </c>
      <c r="AG18" s="40" t="e">
        <f>IF(AND(' RIESGOS DE GESTION'!#REF!="Alta",' RIESGOS DE GESTION'!#REF!="Mayor"),CONCATENATE("R3C",' RIESGOS DE GESTION'!#REF!),"")</f>
        <v>#REF!</v>
      </c>
      <c r="AH18" s="41" t="e">
        <f>IF(AND(' RIESGOS DE GESTION'!#REF!="Alta",' RIESGOS DE GESTION'!#REF!="Catastrófico"),CONCATENATE("R3C",' RIESGOS DE GESTION'!#REF!),"")</f>
        <v>#REF!</v>
      </c>
      <c r="AI18" s="42" t="e">
        <f>IF(AND(' RIESGOS DE GESTION'!#REF!="Alta",' RIESGOS DE GESTION'!#REF!="Catastrófico"),CONCATENATE("R3C",' RIESGOS DE GESTION'!#REF!),"")</f>
        <v>#REF!</v>
      </c>
      <c r="AJ18" s="42" t="e">
        <f>IF(AND(' RIESGOS DE GESTION'!#REF!="Alta",' RIESGOS DE GESTION'!#REF!="Catastrófico"),CONCATENATE("R3C",' RIESGOS DE GESTION'!#REF!),"")</f>
        <v>#REF!</v>
      </c>
      <c r="AK18" s="42" t="e">
        <f>IF(AND(' RIESGOS DE GESTION'!#REF!="Alta",' RIESGOS DE GESTION'!#REF!="Catastrófico"),CONCATENATE("R3C",' RIESGOS DE GESTION'!#REF!),"")</f>
        <v>#REF!</v>
      </c>
      <c r="AL18" s="42" t="e">
        <f>IF(AND(' RIESGOS DE GESTION'!#REF!="Alta",' RIESGOS DE GESTION'!#REF!="Catastrófico"),CONCATENATE("R3C",' RIESGOS DE GESTION'!#REF!),"")</f>
        <v>#REF!</v>
      </c>
      <c r="AM18" s="43" t="e">
        <f>IF(AND(' RIESGOS DE GESTION'!#REF!="Alta",' RIESGOS DE GESTION'!#REF!="Catastrófico"),CONCATENATE("R3C",' RIESGOS DE GESTION'!#REF!),"")</f>
        <v>#REF!</v>
      </c>
      <c r="AN18" s="69"/>
      <c r="AO18" s="672"/>
      <c r="AP18" s="673"/>
      <c r="AQ18" s="673"/>
      <c r="AR18" s="673"/>
      <c r="AS18" s="673"/>
      <c r="AT18" s="674"/>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583"/>
      <c r="C19" s="583"/>
      <c r="D19" s="584"/>
      <c r="E19" s="682"/>
      <c r="F19" s="681"/>
      <c r="G19" s="681"/>
      <c r="H19" s="681"/>
      <c r="I19" s="681"/>
      <c r="J19" s="53" t="e">
        <f>IF(AND(' RIESGOS DE GESTION'!#REF!="Alta",' RIESGOS DE GESTION'!#REF!="Leve"),CONCATENATE("R4C",' RIESGOS DE GESTION'!#REF!),"")</f>
        <v>#REF!</v>
      </c>
      <c r="K19" s="54" t="e">
        <f>IF(AND(' RIESGOS DE GESTION'!#REF!="Alta",' RIESGOS DE GESTION'!#REF!="Leve"),CONCATENATE("R4C",' RIESGOS DE GESTION'!#REF!),"")</f>
        <v>#REF!</v>
      </c>
      <c r="L19" s="54" t="e">
        <f>IF(AND(' RIESGOS DE GESTION'!#REF!="Alta",' RIESGOS DE GESTION'!#REF!="Leve"),CONCATENATE("R4C",' RIESGOS DE GESTION'!#REF!),"")</f>
        <v>#REF!</v>
      </c>
      <c r="M19" s="54" t="e">
        <f>IF(AND(' RIESGOS DE GESTION'!#REF!="Alta",' RIESGOS DE GESTION'!#REF!="Leve"),CONCATENATE("R4C",' RIESGOS DE GESTION'!#REF!),"")</f>
        <v>#REF!</v>
      </c>
      <c r="N19" s="54" t="e">
        <f>IF(AND(' RIESGOS DE GESTION'!#REF!="Alta",' RIESGOS DE GESTION'!#REF!="Leve"),CONCATENATE("R4C",' RIESGOS DE GESTION'!#REF!),"")</f>
        <v>#REF!</v>
      </c>
      <c r="O19" s="55" t="e">
        <f>IF(AND(' RIESGOS DE GESTION'!#REF!="Alta",' RIESGOS DE GESTION'!#REF!="Leve"),CONCATENATE("R4C",' RIESGOS DE GESTION'!#REF!),"")</f>
        <v>#REF!</v>
      </c>
      <c r="P19" s="53" t="e">
        <f>IF(AND(' RIESGOS DE GESTION'!#REF!="Alta",' RIESGOS DE GESTION'!#REF!="Menor"),CONCATENATE("R4C",' RIESGOS DE GESTION'!#REF!),"")</f>
        <v>#REF!</v>
      </c>
      <c r="Q19" s="54" t="e">
        <f>IF(AND(' RIESGOS DE GESTION'!#REF!="Alta",' RIESGOS DE GESTION'!#REF!="Menor"),CONCATENATE("R4C",' RIESGOS DE GESTION'!#REF!),"")</f>
        <v>#REF!</v>
      </c>
      <c r="R19" s="54" t="e">
        <f>IF(AND(' RIESGOS DE GESTION'!#REF!="Alta",' RIESGOS DE GESTION'!#REF!="Menor"),CONCATENATE("R4C",' RIESGOS DE GESTION'!#REF!),"")</f>
        <v>#REF!</v>
      </c>
      <c r="S19" s="54" t="e">
        <f>IF(AND(' RIESGOS DE GESTION'!#REF!="Alta",' RIESGOS DE GESTION'!#REF!="Menor"),CONCATENATE("R4C",' RIESGOS DE GESTION'!#REF!),"")</f>
        <v>#REF!</v>
      </c>
      <c r="T19" s="54" t="e">
        <f>IF(AND(' RIESGOS DE GESTION'!#REF!="Alta",' RIESGOS DE GESTION'!#REF!="Menor"),CONCATENATE("R4C",' RIESGOS DE GESTION'!#REF!),"")</f>
        <v>#REF!</v>
      </c>
      <c r="U19" s="55" t="e">
        <f>IF(AND(' RIESGOS DE GESTION'!#REF!="Alta",' RIESGOS DE GESTION'!#REF!="Menor"),CONCATENATE("R4C",' RIESGOS DE GESTION'!#REF!),"")</f>
        <v>#REF!</v>
      </c>
      <c r="V19" s="38" t="e">
        <f>IF(AND(' RIESGOS DE GESTION'!#REF!="Alta",' RIESGOS DE GESTION'!#REF!="Moderado"),CONCATENATE("R4C",' RIESGOS DE GESTION'!#REF!),"")</f>
        <v>#REF!</v>
      </c>
      <c r="W19" s="39" t="e">
        <f>IF(AND(' RIESGOS DE GESTION'!#REF!="Alta",' RIESGOS DE GESTION'!#REF!="Moderado"),CONCATENATE("R4C",' RIESGOS DE GESTION'!#REF!),"")</f>
        <v>#REF!</v>
      </c>
      <c r="X19" s="39" t="e">
        <f>IF(AND(' RIESGOS DE GESTION'!#REF!="Alta",' RIESGOS DE GESTION'!#REF!="Moderado"),CONCATENATE("R4C",' RIESGOS DE GESTION'!#REF!),"")</f>
        <v>#REF!</v>
      </c>
      <c r="Y19" s="39" t="e">
        <f>IF(AND(' RIESGOS DE GESTION'!#REF!="Alta",' RIESGOS DE GESTION'!#REF!="Moderado"),CONCATENATE("R4C",' RIESGOS DE GESTION'!#REF!),"")</f>
        <v>#REF!</v>
      </c>
      <c r="Z19" s="39" t="e">
        <f>IF(AND(' RIESGOS DE GESTION'!#REF!="Alta",' RIESGOS DE GESTION'!#REF!="Moderado"),CONCATENATE("R4C",' RIESGOS DE GESTION'!#REF!),"")</f>
        <v>#REF!</v>
      </c>
      <c r="AA19" s="40" t="e">
        <f>IF(AND(' RIESGOS DE GESTION'!#REF!="Alta",' RIESGOS DE GESTION'!#REF!="Moderado"),CONCATENATE("R4C",' RIESGOS DE GESTION'!#REF!),"")</f>
        <v>#REF!</v>
      </c>
      <c r="AB19" s="38" t="e">
        <f>IF(AND(' RIESGOS DE GESTION'!#REF!="Alta",' RIESGOS DE GESTION'!#REF!="Mayor"),CONCATENATE("R4C",' RIESGOS DE GESTION'!#REF!),"")</f>
        <v>#REF!</v>
      </c>
      <c r="AC19" s="39" t="e">
        <f>IF(AND(' RIESGOS DE GESTION'!#REF!="Alta",' RIESGOS DE GESTION'!#REF!="Mayor"),CONCATENATE("R4C",' RIESGOS DE GESTION'!#REF!),"")</f>
        <v>#REF!</v>
      </c>
      <c r="AD19" s="39" t="e">
        <f>IF(AND(' RIESGOS DE GESTION'!#REF!="Alta",' RIESGOS DE GESTION'!#REF!="Mayor"),CONCATENATE("R4C",' RIESGOS DE GESTION'!#REF!),"")</f>
        <v>#REF!</v>
      </c>
      <c r="AE19" s="39" t="e">
        <f>IF(AND(' RIESGOS DE GESTION'!#REF!="Alta",' RIESGOS DE GESTION'!#REF!="Mayor"),CONCATENATE("R4C",' RIESGOS DE GESTION'!#REF!),"")</f>
        <v>#REF!</v>
      </c>
      <c r="AF19" s="39" t="e">
        <f>IF(AND(' RIESGOS DE GESTION'!#REF!="Alta",' RIESGOS DE GESTION'!#REF!="Mayor"),CONCATENATE("R4C",' RIESGOS DE GESTION'!#REF!),"")</f>
        <v>#REF!</v>
      </c>
      <c r="AG19" s="40" t="e">
        <f>IF(AND(' RIESGOS DE GESTION'!#REF!="Alta",' RIESGOS DE GESTION'!#REF!="Mayor"),CONCATENATE("R4C",' RIESGOS DE GESTION'!#REF!),"")</f>
        <v>#REF!</v>
      </c>
      <c r="AH19" s="41" t="e">
        <f>IF(AND(' RIESGOS DE GESTION'!#REF!="Alta",' RIESGOS DE GESTION'!#REF!="Catastrófico"),CONCATENATE("R4C",' RIESGOS DE GESTION'!#REF!),"")</f>
        <v>#REF!</v>
      </c>
      <c r="AI19" s="42" t="e">
        <f>IF(AND(' RIESGOS DE GESTION'!#REF!="Alta",' RIESGOS DE GESTION'!#REF!="Catastrófico"),CONCATENATE("R4C",' RIESGOS DE GESTION'!#REF!),"")</f>
        <v>#REF!</v>
      </c>
      <c r="AJ19" s="42" t="e">
        <f>IF(AND(' RIESGOS DE GESTION'!#REF!="Alta",' RIESGOS DE GESTION'!#REF!="Catastrófico"),CONCATENATE("R4C",' RIESGOS DE GESTION'!#REF!),"")</f>
        <v>#REF!</v>
      </c>
      <c r="AK19" s="42" t="e">
        <f>IF(AND(' RIESGOS DE GESTION'!#REF!="Alta",' RIESGOS DE GESTION'!#REF!="Catastrófico"),CONCATENATE("R4C",' RIESGOS DE GESTION'!#REF!),"")</f>
        <v>#REF!</v>
      </c>
      <c r="AL19" s="42" t="e">
        <f>IF(AND(' RIESGOS DE GESTION'!#REF!="Alta",' RIESGOS DE GESTION'!#REF!="Catastrófico"),CONCATENATE("R4C",' RIESGOS DE GESTION'!#REF!),"")</f>
        <v>#REF!</v>
      </c>
      <c r="AM19" s="43" t="e">
        <f>IF(AND(' RIESGOS DE GESTION'!#REF!="Alta",' RIESGOS DE GESTION'!#REF!="Catastrófico"),CONCATENATE("R4C",' RIESGOS DE GESTION'!#REF!),"")</f>
        <v>#REF!</v>
      </c>
      <c r="AN19" s="69"/>
      <c r="AO19" s="672"/>
      <c r="AP19" s="673"/>
      <c r="AQ19" s="673"/>
      <c r="AR19" s="673"/>
      <c r="AS19" s="673"/>
      <c r="AT19" s="674"/>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583"/>
      <c r="C20" s="583"/>
      <c r="D20" s="584"/>
      <c r="E20" s="682"/>
      <c r="F20" s="681"/>
      <c r="G20" s="681"/>
      <c r="H20" s="681"/>
      <c r="I20" s="681"/>
      <c r="J20" s="53" t="e">
        <f>IF(AND(' RIESGOS DE GESTION'!#REF!="Alta",' RIESGOS DE GESTION'!#REF!="Leve"),CONCATENATE("R5C",' RIESGOS DE GESTION'!#REF!),"")</f>
        <v>#REF!</v>
      </c>
      <c r="K20" s="54" t="e">
        <f>IF(AND(' RIESGOS DE GESTION'!#REF!="Alta",' RIESGOS DE GESTION'!#REF!="Leve"),CONCATENATE("R5C",' RIESGOS DE GESTION'!#REF!),"")</f>
        <v>#REF!</v>
      </c>
      <c r="L20" s="54" t="e">
        <f>IF(AND(' RIESGOS DE GESTION'!#REF!="Alta",' RIESGOS DE GESTION'!#REF!="Leve"),CONCATENATE("R5C",' RIESGOS DE GESTION'!#REF!),"")</f>
        <v>#REF!</v>
      </c>
      <c r="M20" s="54" t="e">
        <f>IF(AND(' RIESGOS DE GESTION'!#REF!="Alta",' RIESGOS DE GESTION'!#REF!="Leve"),CONCATENATE("R5C",' RIESGOS DE GESTION'!#REF!),"")</f>
        <v>#REF!</v>
      </c>
      <c r="N20" s="54" t="e">
        <f>IF(AND(' RIESGOS DE GESTION'!#REF!="Alta",' RIESGOS DE GESTION'!#REF!="Leve"),CONCATENATE("R5C",' RIESGOS DE GESTION'!#REF!),"")</f>
        <v>#REF!</v>
      </c>
      <c r="O20" s="55" t="e">
        <f>IF(AND(' RIESGOS DE GESTION'!#REF!="Alta",' RIESGOS DE GESTION'!#REF!="Leve"),CONCATENATE("R5C",' RIESGOS DE GESTION'!#REF!),"")</f>
        <v>#REF!</v>
      </c>
      <c r="P20" s="53" t="e">
        <f>IF(AND(' RIESGOS DE GESTION'!#REF!="Alta",' RIESGOS DE GESTION'!#REF!="Menor"),CONCATENATE("R5C",' RIESGOS DE GESTION'!#REF!),"")</f>
        <v>#REF!</v>
      </c>
      <c r="Q20" s="54" t="e">
        <f>IF(AND(' RIESGOS DE GESTION'!#REF!="Alta",' RIESGOS DE GESTION'!#REF!="Menor"),CONCATENATE("R5C",' RIESGOS DE GESTION'!#REF!),"")</f>
        <v>#REF!</v>
      </c>
      <c r="R20" s="54" t="e">
        <f>IF(AND(' RIESGOS DE GESTION'!#REF!="Alta",' RIESGOS DE GESTION'!#REF!="Menor"),CONCATENATE("R5C",' RIESGOS DE GESTION'!#REF!),"")</f>
        <v>#REF!</v>
      </c>
      <c r="S20" s="54" t="e">
        <f>IF(AND(' RIESGOS DE GESTION'!#REF!="Alta",' RIESGOS DE GESTION'!#REF!="Menor"),CONCATENATE("R5C",' RIESGOS DE GESTION'!#REF!),"")</f>
        <v>#REF!</v>
      </c>
      <c r="T20" s="54" t="e">
        <f>IF(AND(' RIESGOS DE GESTION'!#REF!="Alta",' RIESGOS DE GESTION'!#REF!="Menor"),CONCATENATE("R5C",' RIESGOS DE GESTION'!#REF!),"")</f>
        <v>#REF!</v>
      </c>
      <c r="U20" s="55" t="e">
        <f>IF(AND(' RIESGOS DE GESTION'!#REF!="Alta",' RIESGOS DE GESTION'!#REF!="Menor"),CONCATENATE("R5C",' RIESGOS DE GESTION'!#REF!),"")</f>
        <v>#REF!</v>
      </c>
      <c r="V20" s="38" t="e">
        <f>IF(AND(' RIESGOS DE GESTION'!#REF!="Alta",' RIESGOS DE GESTION'!#REF!="Moderado"),CONCATENATE("R5C",' RIESGOS DE GESTION'!#REF!),"")</f>
        <v>#REF!</v>
      </c>
      <c r="W20" s="39" t="e">
        <f>IF(AND(' RIESGOS DE GESTION'!#REF!="Alta",' RIESGOS DE GESTION'!#REF!="Moderado"),CONCATENATE("R5C",' RIESGOS DE GESTION'!#REF!),"")</f>
        <v>#REF!</v>
      </c>
      <c r="X20" s="39" t="e">
        <f>IF(AND(' RIESGOS DE GESTION'!#REF!="Alta",' RIESGOS DE GESTION'!#REF!="Moderado"),CONCATENATE("R5C",' RIESGOS DE GESTION'!#REF!),"")</f>
        <v>#REF!</v>
      </c>
      <c r="Y20" s="39" t="e">
        <f>IF(AND(' RIESGOS DE GESTION'!#REF!="Alta",' RIESGOS DE GESTION'!#REF!="Moderado"),CONCATENATE("R5C",' RIESGOS DE GESTION'!#REF!),"")</f>
        <v>#REF!</v>
      </c>
      <c r="Z20" s="39" t="e">
        <f>IF(AND(' RIESGOS DE GESTION'!#REF!="Alta",' RIESGOS DE GESTION'!#REF!="Moderado"),CONCATENATE("R5C",' RIESGOS DE GESTION'!#REF!),"")</f>
        <v>#REF!</v>
      </c>
      <c r="AA20" s="40" t="e">
        <f>IF(AND(' RIESGOS DE GESTION'!#REF!="Alta",' RIESGOS DE GESTION'!#REF!="Moderado"),CONCATENATE("R5C",' RIESGOS DE GESTION'!#REF!),"")</f>
        <v>#REF!</v>
      </c>
      <c r="AB20" s="38" t="e">
        <f>IF(AND(' RIESGOS DE GESTION'!#REF!="Alta",' RIESGOS DE GESTION'!#REF!="Mayor"),CONCATENATE("R5C",' RIESGOS DE GESTION'!#REF!),"")</f>
        <v>#REF!</v>
      </c>
      <c r="AC20" s="39" t="e">
        <f>IF(AND(' RIESGOS DE GESTION'!#REF!="Alta",' RIESGOS DE GESTION'!#REF!="Mayor"),CONCATENATE("R5C",' RIESGOS DE GESTION'!#REF!),"")</f>
        <v>#REF!</v>
      </c>
      <c r="AD20" s="39" t="e">
        <f>IF(AND(' RIESGOS DE GESTION'!#REF!="Alta",' RIESGOS DE GESTION'!#REF!="Mayor"),CONCATENATE("R5C",' RIESGOS DE GESTION'!#REF!),"")</f>
        <v>#REF!</v>
      </c>
      <c r="AE20" s="39" t="e">
        <f>IF(AND(' RIESGOS DE GESTION'!#REF!="Alta",' RIESGOS DE GESTION'!#REF!="Mayor"),CONCATENATE("R5C",' RIESGOS DE GESTION'!#REF!),"")</f>
        <v>#REF!</v>
      </c>
      <c r="AF20" s="39" t="e">
        <f>IF(AND(' RIESGOS DE GESTION'!#REF!="Alta",' RIESGOS DE GESTION'!#REF!="Mayor"),CONCATENATE("R5C",' RIESGOS DE GESTION'!#REF!),"")</f>
        <v>#REF!</v>
      </c>
      <c r="AG20" s="40" t="e">
        <f>IF(AND(' RIESGOS DE GESTION'!#REF!="Alta",' RIESGOS DE GESTION'!#REF!="Mayor"),CONCATENATE("R5C",' RIESGOS DE GESTION'!#REF!),"")</f>
        <v>#REF!</v>
      </c>
      <c r="AH20" s="41" t="e">
        <f>IF(AND(' RIESGOS DE GESTION'!#REF!="Alta",' RIESGOS DE GESTION'!#REF!="Catastrófico"),CONCATENATE("R5C",' RIESGOS DE GESTION'!#REF!),"")</f>
        <v>#REF!</v>
      </c>
      <c r="AI20" s="42" t="e">
        <f>IF(AND(' RIESGOS DE GESTION'!#REF!="Alta",' RIESGOS DE GESTION'!#REF!="Catastrófico"),CONCATENATE("R5C",' RIESGOS DE GESTION'!#REF!),"")</f>
        <v>#REF!</v>
      </c>
      <c r="AJ20" s="42" t="e">
        <f>IF(AND(' RIESGOS DE GESTION'!#REF!="Alta",' RIESGOS DE GESTION'!#REF!="Catastrófico"),CONCATENATE("R5C",' RIESGOS DE GESTION'!#REF!),"")</f>
        <v>#REF!</v>
      </c>
      <c r="AK20" s="42" t="e">
        <f>IF(AND(' RIESGOS DE GESTION'!#REF!="Alta",' RIESGOS DE GESTION'!#REF!="Catastrófico"),CONCATENATE("R5C",' RIESGOS DE GESTION'!#REF!),"")</f>
        <v>#REF!</v>
      </c>
      <c r="AL20" s="42" t="e">
        <f>IF(AND(' RIESGOS DE GESTION'!#REF!="Alta",' RIESGOS DE GESTION'!#REF!="Catastrófico"),CONCATENATE("R5C",' RIESGOS DE GESTION'!#REF!),"")</f>
        <v>#REF!</v>
      </c>
      <c r="AM20" s="43" t="e">
        <f>IF(AND(' RIESGOS DE GESTION'!#REF!="Alta",' RIESGOS DE GESTION'!#REF!="Catastrófico"),CONCATENATE("R5C",' RIESGOS DE GESTION'!#REF!),"")</f>
        <v>#REF!</v>
      </c>
      <c r="AN20" s="69"/>
      <c r="AO20" s="672"/>
      <c r="AP20" s="673"/>
      <c r="AQ20" s="673"/>
      <c r="AR20" s="673"/>
      <c r="AS20" s="673"/>
      <c r="AT20" s="674"/>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583"/>
      <c r="C21" s="583"/>
      <c r="D21" s="584"/>
      <c r="E21" s="682"/>
      <c r="F21" s="681"/>
      <c r="G21" s="681"/>
      <c r="H21" s="681"/>
      <c r="I21" s="681"/>
      <c r="J21" s="53" t="e">
        <f>IF(AND(' RIESGOS DE GESTION'!#REF!="Alta",' RIESGOS DE GESTION'!#REF!="Leve"),CONCATENATE("R6C",' RIESGOS DE GESTION'!#REF!),"")</f>
        <v>#REF!</v>
      </c>
      <c r="K21" s="54" t="e">
        <f>IF(AND(' RIESGOS DE GESTION'!#REF!="Alta",' RIESGOS DE GESTION'!#REF!="Leve"),CONCATENATE("R6C",' RIESGOS DE GESTION'!#REF!),"")</f>
        <v>#REF!</v>
      </c>
      <c r="L21" s="54" t="e">
        <f>IF(AND(' RIESGOS DE GESTION'!#REF!="Alta",' RIESGOS DE GESTION'!#REF!="Leve"),CONCATENATE("R6C",' RIESGOS DE GESTION'!#REF!),"")</f>
        <v>#REF!</v>
      </c>
      <c r="M21" s="54" t="e">
        <f>IF(AND(' RIESGOS DE GESTION'!#REF!="Alta",' RIESGOS DE GESTION'!#REF!="Leve"),CONCATENATE("R6C",' RIESGOS DE GESTION'!#REF!),"")</f>
        <v>#REF!</v>
      </c>
      <c r="N21" s="54" t="e">
        <f>IF(AND(' RIESGOS DE GESTION'!#REF!="Alta",' RIESGOS DE GESTION'!#REF!="Leve"),CONCATENATE("R6C",' RIESGOS DE GESTION'!#REF!),"")</f>
        <v>#REF!</v>
      </c>
      <c r="O21" s="55" t="e">
        <f>IF(AND(' RIESGOS DE GESTION'!#REF!="Alta",' RIESGOS DE GESTION'!#REF!="Leve"),CONCATENATE("R6C",' RIESGOS DE GESTION'!#REF!),"")</f>
        <v>#REF!</v>
      </c>
      <c r="P21" s="53" t="e">
        <f>IF(AND(' RIESGOS DE GESTION'!#REF!="Alta",' RIESGOS DE GESTION'!#REF!="Menor"),CONCATENATE("R6C",' RIESGOS DE GESTION'!#REF!),"")</f>
        <v>#REF!</v>
      </c>
      <c r="Q21" s="54" t="e">
        <f>IF(AND(' RIESGOS DE GESTION'!#REF!="Alta",' RIESGOS DE GESTION'!#REF!="Menor"),CONCATENATE("R6C",' RIESGOS DE GESTION'!#REF!),"")</f>
        <v>#REF!</v>
      </c>
      <c r="R21" s="54" t="e">
        <f>IF(AND(' RIESGOS DE GESTION'!#REF!="Alta",' RIESGOS DE GESTION'!#REF!="Menor"),CONCATENATE("R6C",' RIESGOS DE GESTION'!#REF!),"")</f>
        <v>#REF!</v>
      </c>
      <c r="S21" s="54" t="e">
        <f>IF(AND(' RIESGOS DE GESTION'!#REF!="Alta",' RIESGOS DE GESTION'!#REF!="Menor"),CONCATENATE("R6C",' RIESGOS DE GESTION'!#REF!),"")</f>
        <v>#REF!</v>
      </c>
      <c r="T21" s="54" t="e">
        <f>IF(AND(' RIESGOS DE GESTION'!#REF!="Alta",' RIESGOS DE GESTION'!#REF!="Menor"),CONCATENATE("R6C",' RIESGOS DE GESTION'!#REF!),"")</f>
        <v>#REF!</v>
      </c>
      <c r="U21" s="55" t="e">
        <f>IF(AND(' RIESGOS DE GESTION'!#REF!="Alta",' RIESGOS DE GESTION'!#REF!="Menor"),CONCATENATE("R6C",' RIESGOS DE GESTION'!#REF!),"")</f>
        <v>#REF!</v>
      </c>
      <c r="V21" s="38" t="e">
        <f>IF(AND(' RIESGOS DE GESTION'!#REF!="Alta",' RIESGOS DE GESTION'!#REF!="Moderado"),CONCATENATE("R6C",' RIESGOS DE GESTION'!#REF!),"")</f>
        <v>#REF!</v>
      </c>
      <c r="W21" s="39" t="e">
        <f>IF(AND(' RIESGOS DE GESTION'!#REF!="Alta",' RIESGOS DE GESTION'!#REF!="Moderado"),CONCATENATE("R6C",' RIESGOS DE GESTION'!#REF!),"")</f>
        <v>#REF!</v>
      </c>
      <c r="X21" s="39" t="e">
        <f>IF(AND(' RIESGOS DE GESTION'!#REF!="Alta",' RIESGOS DE GESTION'!#REF!="Moderado"),CONCATENATE("R6C",' RIESGOS DE GESTION'!#REF!),"")</f>
        <v>#REF!</v>
      </c>
      <c r="Y21" s="39" t="e">
        <f>IF(AND(' RIESGOS DE GESTION'!#REF!="Alta",' RIESGOS DE GESTION'!#REF!="Moderado"),CONCATENATE("R6C",' RIESGOS DE GESTION'!#REF!),"")</f>
        <v>#REF!</v>
      </c>
      <c r="Z21" s="39" t="e">
        <f>IF(AND(' RIESGOS DE GESTION'!#REF!="Alta",' RIESGOS DE GESTION'!#REF!="Moderado"),CONCATENATE("R6C",' RIESGOS DE GESTION'!#REF!),"")</f>
        <v>#REF!</v>
      </c>
      <c r="AA21" s="40" t="e">
        <f>IF(AND(' RIESGOS DE GESTION'!#REF!="Alta",' RIESGOS DE GESTION'!#REF!="Moderado"),CONCATENATE("R6C",' RIESGOS DE GESTION'!#REF!),"")</f>
        <v>#REF!</v>
      </c>
      <c r="AB21" s="38" t="e">
        <f>IF(AND(' RIESGOS DE GESTION'!#REF!="Alta",' RIESGOS DE GESTION'!#REF!="Mayor"),CONCATENATE("R6C",' RIESGOS DE GESTION'!#REF!),"")</f>
        <v>#REF!</v>
      </c>
      <c r="AC21" s="39" t="e">
        <f>IF(AND(' RIESGOS DE GESTION'!#REF!="Alta",' RIESGOS DE GESTION'!#REF!="Mayor"),CONCATENATE("R6C",' RIESGOS DE GESTION'!#REF!),"")</f>
        <v>#REF!</v>
      </c>
      <c r="AD21" s="39" t="e">
        <f>IF(AND(' RIESGOS DE GESTION'!#REF!="Alta",' RIESGOS DE GESTION'!#REF!="Mayor"),CONCATENATE("R6C",' RIESGOS DE GESTION'!#REF!),"")</f>
        <v>#REF!</v>
      </c>
      <c r="AE21" s="39" t="e">
        <f>IF(AND(' RIESGOS DE GESTION'!#REF!="Alta",' RIESGOS DE GESTION'!#REF!="Mayor"),CONCATENATE("R6C",' RIESGOS DE GESTION'!#REF!),"")</f>
        <v>#REF!</v>
      </c>
      <c r="AF21" s="39" t="e">
        <f>IF(AND(' RIESGOS DE GESTION'!#REF!="Alta",' RIESGOS DE GESTION'!#REF!="Mayor"),CONCATENATE("R6C",' RIESGOS DE GESTION'!#REF!),"")</f>
        <v>#REF!</v>
      </c>
      <c r="AG21" s="40" t="e">
        <f>IF(AND(' RIESGOS DE GESTION'!#REF!="Alta",' RIESGOS DE GESTION'!#REF!="Mayor"),CONCATENATE("R6C",' RIESGOS DE GESTION'!#REF!),"")</f>
        <v>#REF!</v>
      </c>
      <c r="AH21" s="41" t="e">
        <f>IF(AND(' RIESGOS DE GESTION'!#REF!="Alta",' RIESGOS DE GESTION'!#REF!="Catastrófico"),CONCATENATE("R6C",' RIESGOS DE GESTION'!#REF!),"")</f>
        <v>#REF!</v>
      </c>
      <c r="AI21" s="42" t="e">
        <f>IF(AND(' RIESGOS DE GESTION'!#REF!="Alta",' RIESGOS DE GESTION'!#REF!="Catastrófico"),CONCATENATE("R6C",' RIESGOS DE GESTION'!#REF!),"")</f>
        <v>#REF!</v>
      </c>
      <c r="AJ21" s="42" t="e">
        <f>IF(AND(' RIESGOS DE GESTION'!#REF!="Alta",' RIESGOS DE GESTION'!#REF!="Catastrófico"),CONCATENATE("R6C",' RIESGOS DE GESTION'!#REF!),"")</f>
        <v>#REF!</v>
      </c>
      <c r="AK21" s="42" t="e">
        <f>IF(AND(' RIESGOS DE GESTION'!#REF!="Alta",' RIESGOS DE GESTION'!#REF!="Catastrófico"),CONCATENATE("R6C",' RIESGOS DE GESTION'!#REF!),"")</f>
        <v>#REF!</v>
      </c>
      <c r="AL21" s="42" t="e">
        <f>IF(AND(' RIESGOS DE GESTION'!#REF!="Alta",' RIESGOS DE GESTION'!#REF!="Catastrófico"),CONCATENATE("R6C",' RIESGOS DE GESTION'!#REF!),"")</f>
        <v>#REF!</v>
      </c>
      <c r="AM21" s="43" t="e">
        <f>IF(AND(' RIESGOS DE GESTION'!#REF!="Alta",' RIESGOS DE GESTION'!#REF!="Catastrófico"),CONCATENATE("R6C",' RIESGOS DE GESTION'!#REF!),"")</f>
        <v>#REF!</v>
      </c>
      <c r="AN21" s="69"/>
      <c r="AO21" s="672"/>
      <c r="AP21" s="673"/>
      <c r="AQ21" s="673"/>
      <c r="AR21" s="673"/>
      <c r="AS21" s="673"/>
      <c r="AT21" s="674"/>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583"/>
      <c r="C22" s="583"/>
      <c r="D22" s="584"/>
      <c r="E22" s="682"/>
      <c r="F22" s="681"/>
      <c r="G22" s="681"/>
      <c r="H22" s="681"/>
      <c r="I22" s="681"/>
      <c r="J22" s="53" t="e">
        <f>IF(AND(' RIESGOS DE GESTION'!#REF!="Alta",' RIESGOS DE GESTION'!#REF!="Leve"),CONCATENATE("R7C",' RIESGOS DE GESTION'!#REF!),"")</f>
        <v>#REF!</v>
      </c>
      <c r="K22" s="54" t="e">
        <f>IF(AND(' RIESGOS DE GESTION'!#REF!="Alta",' RIESGOS DE GESTION'!#REF!="Leve"),CONCATENATE("R7C",' RIESGOS DE GESTION'!#REF!),"")</f>
        <v>#REF!</v>
      </c>
      <c r="L22" s="54" t="e">
        <f>IF(AND(' RIESGOS DE GESTION'!#REF!="Alta",' RIESGOS DE GESTION'!#REF!="Leve"),CONCATENATE("R7C",' RIESGOS DE GESTION'!#REF!),"")</f>
        <v>#REF!</v>
      </c>
      <c r="M22" s="54" t="e">
        <f>IF(AND(' RIESGOS DE GESTION'!#REF!="Alta",' RIESGOS DE GESTION'!#REF!="Leve"),CONCATENATE("R7C",' RIESGOS DE GESTION'!#REF!),"")</f>
        <v>#REF!</v>
      </c>
      <c r="N22" s="54" t="e">
        <f>IF(AND(' RIESGOS DE GESTION'!#REF!="Alta",' RIESGOS DE GESTION'!#REF!="Leve"),CONCATENATE("R7C",' RIESGOS DE GESTION'!#REF!),"")</f>
        <v>#REF!</v>
      </c>
      <c r="O22" s="55" t="e">
        <f>IF(AND(' RIESGOS DE GESTION'!#REF!="Alta",' RIESGOS DE GESTION'!#REF!="Leve"),CONCATENATE("R7C",' RIESGOS DE GESTION'!#REF!),"")</f>
        <v>#REF!</v>
      </c>
      <c r="P22" s="53" t="e">
        <f>IF(AND(' RIESGOS DE GESTION'!#REF!="Alta",' RIESGOS DE GESTION'!#REF!="Menor"),CONCATENATE("R7C",' RIESGOS DE GESTION'!#REF!),"")</f>
        <v>#REF!</v>
      </c>
      <c r="Q22" s="54" t="e">
        <f>IF(AND(' RIESGOS DE GESTION'!#REF!="Alta",' RIESGOS DE GESTION'!#REF!="Menor"),CONCATENATE("R7C",' RIESGOS DE GESTION'!#REF!),"")</f>
        <v>#REF!</v>
      </c>
      <c r="R22" s="54" t="e">
        <f>IF(AND(' RIESGOS DE GESTION'!#REF!="Alta",' RIESGOS DE GESTION'!#REF!="Menor"),CONCATENATE("R7C",' RIESGOS DE GESTION'!#REF!),"")</f>
        <v>#REF!</v>
      </c>
      <c r="S22" s="54" t="e">
        <f>IF(AND(' RIESGOS DE GESTION'!#REF!="Alta",' RIESGOS DE GESTION'!#REF!="Menor"),CONCATENATE("R7C",' RIESGOS DE GESTION'!#REF!),"")</f>
        <v>#REF!</v>
      </c>
      <c r="T22" s="54" t="e">
        <f>IF(AND(' RIESGOS DE GESTION'!#REF!="Alta",' RIESGOS DE GESTION'!#REF!="Menor"),CONCATENATE("R7C",' RIESGOS DE GESTION'!#REF!),"")</f>
        <v>#REF!</v>
      </c>
      <c r="U22" s="55" t="e">
        <f>IF(AND(' RIESGOS DE GESTION'!#REF!="Alta",' RIESGOS DE GESTION'!#REF!="Menor"),CONCATENATE("R7C",' RIESGOS DE GESTION'!#REF!),"")</f>
        <v>#REF!</v>
      </c>
      <c r="V22" s="38" t="e">
        <f>IF(AND(' RIESGOS DE GESTION'!#REF!="Alta",' RIESGOS DE GESTION'!#REF!="Moderado"),CONCATENATE("R7C",' RIESGOS DE GESTION'!#REF!),"")</f>
        <v>#REF!</v>
      </c>
      <c r="W22" s="39" t="e">
        <f>IF(AND(' RIESGOS DE GESTION'!#REF!="Alta",' RIESGOS DE GESTION'!#REF!="Moderado"),CONCATENATE("R7C",' RIESGOS DE GESTION'!#REF!),"")</f>
        <v>#REF!</v>
      </c>
      <c r="X22" s="39" t="e">
        <f>IF(AND(' RIESGOS DE GESTION'!#REF!="Alta",' RIESGOS DE GESTION'!#REF!="Moderado"),CONCATENATE("R7C",' RIESGOS DE GESTION'!#REF!),"")</f>
        <v>#REF!</v>
      </c>
      <c r="Y22" s="39" t="e">
        <f>IF(AND(' RIESGOS DE GESTION'!#REF!="Alta",' RIESGOS DE GESTION'!#REF!="Moderado"),CONCATENATE("R7C",' RIESGOS DE GESTION'!#REF!),"")</f>
        <v>#REF!</v>
      </c>
      <c r="Z22" s="39" t="e">
        <f>IF(AND(' RIESGOS DE GESTION'!#REF!="Alta",' RIESGOS DE GESTION'!#REF!="Moderado"),CONCATENATE("R7C",' RIESGOS DE GESTION'!#REF!),"")</f>
        <v>#REF!</v>
      </c>
      <c r="AA22" s="40" t="e">
        <f>IF(AND(' RIESGOS DE GESTION'!#REF!="Alta",' RIESGOS DE GESTION'!#REF!="Moderado"),CONCATENATE("R7C",' RIESGOS DE GESTION'!#REF!),"")</f>
        <v>#REF!</v>
      </c>
      <c r="AB22" s="38" t="e">
        <f>IF(AND(' RIESGOS DE GESTION'!#REF!="Alta",' RIESGOS DE GESTION'!#REF!="Mayor"),CONCATENATE("R7C",' RIESGOS DE GESTION'!#REF!),"")</f>
        <v>#REF!</v>
      </c>
      <c r="AC22" s="39" t="e">
        <f>IF(AND(' RIESGOS DE GESTION'!#REF!="Alta",' RIESGOS DE GESTION'!#REF!="Mayor"),CONCATENATE("R7C",' RIESGOS DE GESTION'!#REF!),"")</f>
        <v>#REF!</v>
      </c>
      <c r="AD22" s="39" t="e">
        <f>IF(AND(' RIESGOS DE GESTION'!#REF!="Alta",' RIESGOS DE GESTION'!#REF!="Mayor"),CONCATENATE("R7C",' RIESGOS DE GESTION'!#REF!),"")</f>
        <v>#REF!</v>
      </c>
      <c r="AE22" s="39" t="e">
        <f>IF(AND(' RIESGOS DE GESTION'!#REF!="Alta",' RIESGOS DE GESTION'!#REF!="Mayor"),CONCATENATE("R7C",' RIESGOS DE GESTION'!#REF!),"")</f>
        <v>#REF!</v>
      </c>
      <c r="AF22" s="39" t="e">
        <f>IF(AND(' RIESGOS DE GESTION'!#REF!="Alta",' RIESGOS DE GESTION'!#REF!="Mayor"),CONCATENATE("R7C",' RIESGOS DE GESTION'!#REF!),"")</f>
        <v>#REF!</v>
      </c>
      <c r="AG22" s="40" t="e">
        <f>IF(AND(' RIESGOS DE GESTION'!#REF!="Alta",' RIESGOS DE GESTION'!#REF!="Mayor"),CONCATENATE("R7C",' RIESGOS DE GESTION'!#REF!),"")</f>
        <v>#REF!</v>
      </c>
      <c r="AH22" s="41" t="e">
        <f>IF(AND(' RIESGOS DE GESTION'!#REF!="Alta",' RIESGOS DE GESTION'!#REF!="Catastrófico"),CONCATENATE("R7C",' RIESGOS DE GESTION'!#REF!),"")</f>
        <v>#REF!</v>
      </c>
      <c r="AI22" s="42" t="e">
        <f>IF(AND(' RIESGOS DE GESTION'!#REF!="Alta",' RIESGOS DE GESTION'!#REF!="Catastrófico"),CONCATENATE("R7C",' RIESGOS DE GESTION'!#REF!),"")</f>
        <v>#REF!</v>
      </c>
      <c r="AJ22" s="42" t="e">
        <f>IF(AND(' RIESGOS DE GESTION'!#REF!="Alta",' RIESGOS DE GESTION'!#REF!="Catastrófico"),CONCATENATE("R7C",' RIESGOS DE GESTION'!#REF!),"")</f>
        <v>#REF!</v>
      </c>
      <c r="AK22" s="42" t="e">
        <f>IF(AND(' RIESGOS DE GESTION'!#REF!="Alta",' RIESGOS DE GESTION'!#REF!="Catastrófico"),CONCATENATE("R7C",' RIESGOS DE GESTION'!#REF!),"")</f>
        <v>#REF!</v>
      </c>
      <c r="AL22" s="42" t="e">
        <f>IF(AND(' RIESGOS DE GESTION'!#REF!="Alta",' RIESGOS DE GESTION'!#REF!="Catastrófico"),CONCATENATE("R7C",' RIESGOS DE GESTION'!#REF!),"")</f>
        <v>#REF!</v>
      </c>
      <c r="AM22" s="43" t="e">
        <f>IF(AND(' RIESGOS DE GESTION'!#REF!="Alta",' RIESGOS DE GESTION'!#REF!="Catastrófico"),CONCATENATE("R7C",' RIESGOS DE GESTION'!#REF!),"")</f>
        <v>#REF!</v>
      </c>
      <c r="AN22" s="69"/>
      <c r="AO22" s="672"/>
      <c r="AP22" s="673"/>
      <c r="AQ22" s="673"/>
      <c r="AR22" s="673"/>
      <c r="AS22" s="673"/>
      <c r="AT22" s="674"/>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583"/>
      <c r="C23" s="583"/>
      <c r="D23" s="584"/>
      <c r="E23" s="682"/>
      <c r="F23" s="681"/>
      <c r="G23" s="681"/>
      <c r="H23" s="681"/>
      <c r="I23" s="681"/>
      <c r="J23" s="53" t="e">
        <f>IF(AND(' RIESGOS DE GESTION'!#REF!="Alta",' RIESGOS DE GESTION'!#REF!="Leve"),CONCATENATE("R8C",' RIESGOS DE GESTION'!#REF!),"")</f>
        <v>#REF!</v>
      </c>
      <c r="K23" s="54" t="e">
        <f>IF(AND(' RIESGOS DE GESTION'!#REF!="Alta",' RIESGOS DE GESTION'!#REF!="Leve"),CONCATENATE("R8C",' RIESGOS DE GESTION'!#REF!),"")</f>
        <v>#REF!</v>
      </c>
      <c r="L23" s="54" t="e">
        <f>IF(AND(' RIESGOS DE GESTION'!#REF!="Alta",' RIESGOS DE GESTION'!#REF!="Leve"),CONCATENATE("R8C",' RIESGOS DE GESTION'!#REF!),"")</f>
        <v>#REF!</v>
      </c>
      <c r="M23" s="54" t="e">
        <f>IF(AND(' RIESGOS DE GESTION'!#REF!="Alta",' RIESGOS DE GESTION'!#REF!="Leve"),CONCATENATE("R8C",' RIESGOS DE GESTION'!#REF!),"")</f>
        <v>#REF!</v>
      </c>
      <c r="N23" s="54" t="e">
        <f>IF(AND(' RIESGOS DE GESTION'!#REF!="Alta",' RIESGOS DE GESTION'!#REF!="Leve"),CONCATENATE("R8C",' RIESGOS DE GESTION'!#REF!),"")</f>
        <v>#REF!</v>
      </c>
      <c r="O23" s="55" t="e">
        <f>IF(AND(' RIESGOS DE GESTION'!#REF!="Alta",' RIESGOS DE GESTION'!#REF!="Leve"),CONCATENATE("R8C",' RIESGOS DE GESTION'!#REF!),"")</f>
        <v>#REF!</v>
      </c>
      <c r="P23" s="53" t="e">
        <f>IF(AND(' RIESGOS DE GESTION'!#REF!="Alta",' RIESGOS DE GESTION'!#REF!="Menor"),CONCATENATE("R8C",' RIESGOS DE GESTION'!#REF!),"")</f>
        <v>#REF!</v>
      </c>
      <c r="Q23" s="54" t="e">
        <f>IF(AND(' RIESGOS DE GESTION'!#REF!="Alta",' RIESGOS DE GESTION'!#REF!="Menor"),CONCATENATE("R8C",' RIESGOS DE GESTION'!#REF!),"")</f>
        <v>#REF!</v>
      </c>
      <c r="R23" s="54" t="e">
        <f>IF(AND(' RIESGOS DE GESTION'!#REF!="Alta",' RIESGOS DE GESTION'!#REF!="Menor"),CONCATENATE("R8C",' RIESGOS DE GESTION'!#REF!),"")</f>
        <v>#REF!</v>
      </c>
      <c r="S23" s="54" t="e">
        <f>IF(AND(' RIESGOS DE GESTION'!#REF!="Alta",' RIESGOS DE GESTION'!#REF!="Menor"),CONCATENATE("R8C",' RIESGOS DE GESTION'!#REF!),"")</f>
        <v>#REF!</v>
      </c>
      <c r="T23" s="54" t="e">
        <f>IF(AND(' RIESGOS DE GESTION'!#REF!="Alta",' RIESGOS DE GESTION'!#REF!="Menor"),CONCATENATE("R8C",' RIESGOS DE GESTION'!#REF!),"")</f>
        <v>#REF!</v>
      </c>
      <c r="U23" s="55" t="e">
        <f>IF(AND(' RIESGOS DE GESTION'!#REF!="Alta",' RIESGOS DE GESTION'!#REF!="Menor"),CONCATENATE("R8C",' RIESGOS DE GESTION'!#REF!),"")</f>
        <v>#REF!</v>
      </c>
      <c r="V23" s="38" t="e">
        <f>IF(AND(' RIESGOS DE GESTION'!#REF!="Alta",' RIESGOS DE GESTION'!#REF!="Moderado"),CONCATENATE("R8C",' RIESGOS DE GESTION'!#REF!),"")</f>
        <v>#REF!</v>
      </c>
      <c r="W23" s="39" t="e">
        <f>IF(AND(' RIESGOS DE GESTION'!#REF!="Alta",' RIESGOS DE GESTION'!#REF!="Moderado"),CONCATENATE("R8C",' RIESGOS DE GESTION'!#REF!),"")</f>
        <v>#REF!</v>
      </c>
      <c r="X23" s="39" t="e">
        <f>IF(AND(' RIESGOS DE GESTION'!#REF!="Alta",' RIESGOS DE GESTION'!#REF!="Moderado"),CONCATENATE("R8C",' RIESGOS DE GESTION'!#REF!),"")</f>
        <v>#REF!</v>
      </c>
      <c r="Y23" s="39" t="e">
        <f>IF(AND(' RIESGOS DE GESTION'!#REF!="Alta",' RIESGOS DE GESTION'!#REF!="Moderado"),CONCATENATE("R8C",' RIESGOS DE GESTION'!#REF!),"")</f>
        <v>#REF!</v>
      </c>
      <c r="Z23" s="39" t="e">
        <f>IF(AND(' RIESGOS DE GESTION'!#REF!="Alta",' RIESGOS DE GESTION'!#REF!="Moderado"),CONCATENATE("R8C",' RIESGOS DE GESTION'!#REF!),"")</f>
        <v>#REF!</v>
      </c>
      <c r="AA23" s="40" t="e">
        <f>IF(AND(' RIESGOS DE GESTION'!#REF!="Alta",' RIESGOS DE GESTION'!#REF!="Moderado"),CONCATENATE("R8C",' RIESGOS DE GESTION'!#REF!),"")</f>
        <v>#REF!</v>
      </c>
      <c r="AB23" s="38" t="e">
        <f>IF(AND(' RIESGOS DE GESTION'!#REF!="Alta",' RIESGOS DE GESTION'!#REF!="Mayor"),CONCATENATE("R8C",' RIESGOS DE GESTION'!#REF!),"")</f>
        <v>#REF!</v>
      </c>
      <c r="AC23" s="39" t="e">
        <f>IF(AND(' RIESGOS DE GESTION'!#REF!="Alta",' RIESGOS DE GESTION'!#REF!="Mayor"),CONCATENATE("R8C",' RIESGOS DE GESTION'!#REF!),"")</f>
        <v>#REF!</v>
      </c>
      <c r="AD23" s="39" t="e">
        <f>IF(AND(' RIESGOS DE GESTION'!#REF!="Alta",' RIESGOS DE GESTION'!#REF!="Mayor"),CONCATENATE("R8C",' RIESGOS DE GESTION'!#REF!),"")</f>
        <v>#REF!</v>
      </c>
      <c r="AE23" s="39" t="e">
        <f>IF(AND(' RIESGOS DE GESTION'!#REF!="Alta",' RIESGOS DE GESTION'!#REF!="Mayor"),CONCATENATE("R8C",' RIESGOS DE GESTION'!#REF!),"")</f>
        <v>#REF!</v>
      </c>
      <c r="AF23" s="39" t="e">
        <f>IF(AND(' RIESGOS DE GESTION'!#REF!="Alta",' RIESGOS DE GESTION'!#REF!="Mayor"),CONCATENATE("R8C",' RIESGOS DE GESTION'!#REF!),"")</f>
        <v>#REF!</v>
      </c>
      <c r="AG23" s="40" t="e">
        <f>IF(AND(' RIESGOS DE GESTION'!#REF!="Alta",' RIESGOS DE GESTION'!#REF!="Mayor"),CONCATENATE("R8C",' RIESGOS DE GESTION'!#REF!),"")</f>
        <v>#REF!</v>
      </c>
      <c r="AH23" s="41" t="e">
        <f>IF(AND(' RIESGOS DE GESTION'!#REF!="Alta",' RIESGOS DE GESTION'!#REF!="Catastrófico"),CONCATENATE("R8C",' RIESGOS DE GESTION'!#REF!),"")</f>
        <v>#REF!</v>
      </c>
      <c r="AI23" s="42" t="e">
        <f>IF(AND(' RIESGOS DE GESTION'!#REF!="Alta",' RIESGOS DE GESTION'!#REF!="Catastrófico"),CONCATENATE("R8C",' RIESGOS DE GESTION'!#REF!),"")</f>
        <v>#REF!</v>
      </c>
      <c r="AJ23" s="42" t="e">
        <f>IF(AND(' RIESGOS DE GESTION'!#REF!="Alta",' RIESGOS DE GESTION'!#REF!="Catastrófico"),CONCATENATE("R8C",' RIESGOS DE GESTION'!#REF!),"")</f>
        <v>#REF!</v>
      </c>
      <c r="AK23" s="42" t="e">
        <f>IF(AND(' RIESGOS DE GESTION'!#REF!="Alta",' RIESGOS DE GESTION'!#REF!="Catastrófico"),CONCATENATE("R8C",' RIESGOS DE GESTION'!#REF!),"")</f>
        <v>#REF!</v>
      </c>
      <c r="AL23" s="42" t="e">
        <f>IF(AND(' RIESGOS DE GESTION'!#REF!="Alta",' RIESGOS DE GESTION'!#REF!="Catastrófico"),CONCATENATE("R8C",' RIESGOS DE GESTION'!#REF!),"")</f>
        <v>#REF!</v>
      </c>
      <c r="AM23" s="43" t="e">
        <f>IF(AND(' RIESGOS DE GESTION'!#REF!="Alta",' RIESGOS DE GESTION'!#REF!="Catastrófico"),CONCATENATE("R8C",' RIESGOS DE GESTION'!#REF!),"")</f>
        <v>#REF!</v>
      </c>
      <c r="AN23" s="69"/>
      <c r="AO23" s="672"/>
      <c r="AP23" s="673"/>
      <c r="AQ23" s="673"/>
      <c r="AR23" s="673"/>
      <c r="AS23" s="673"/>
      <c r="AT23" s="674"/>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583"/>
      <c r="C24" s="583"/>
      <c r="D24" s="584"/>
      <c r="E24" s="682"/>
      <c r="F24" s="681"/>
      <c r="G24" s="681"/>
      <c r="H24" s="681"/>
      <c r="I24" s="681"/>
      <c r="J24" s="53" t="e">
        <f>IF(AND(' RIESGOS DE GESTION'!#REF!="Alta",' RIESGOS DE GESTION'!#REF!="Leve"),CONCATENATE("R9C",' RIESGOS DE GESTION'!#REF!),"")</f>
        <v>#REF!</v>
      </c>
      <c r="K24" s="54" t="e">
        <f>IF(AND(' RIESGOS DE GESTION'!#REF!="Alta",' RIESGOS DE GESTION'!#REF!="Leve"),CONCATENATE("R9C",' RIESGOS DE GESTION'!#REF!),"")</f>
        <v>#REF!</v>
      </c>
      <c r="L24" s="54" t="e">
        <f>IF(AND(' RIESGOS DE GESTION'!#REF!="Alta",' RIESGOS DE GESTION'!#REF!="Leve"),CONCATENATE("R9C",' RIESGOS DE GESTION'!#REF!),"")</f>
        <v>#REF!</v>
      </c>
      <c r="M24" s="54" t="e">
        <f>IF(AND(' RIESGOS DE GESTION'!#REF!="Alta",' RIESGOS DE GESTION'!#REF!="Leve"),CONCATENATE("R9C",' RIESGOS DE GESTION'!#REF!),"")</f>
        <v>#REF!</v>
      </c>
      <c r="N24" s="54" t="e">
        <f>IF(AND(' RIESGOS DE GESTION'!#REF!="Alta",' RIESGOS DE GESTION'!#REF!="Leve"),CONCATENATE("R9C",' RIESGOS DE GESTION'!#REF!),"")</f>
        <v>#REF!</v>
      </c>
      <c r="O24" s="55" t="e">
        <f>IF(AND(' RIESGOS DE GESTION'!#REF!="Alta",' RIESGOS DE GESTION'!#REF!="Leve"),CONCATENATE("R9C",' RIESGOS DE GESTION'!#REF!),"")</f>
        <v>#REF!</v>
      </c>
      <c r="P24" s="53" t="e">
        <f>IF(AND(' RIESGOS DE GESTION'!#REF!="Alta",' RIESGOS DE GESTION'!#REF!="Menor"),CONCATENATE("R9C",' RIESGOS DE GESTION'!#REF!),"")</f>
        <v>#REF!</v>
      </c>
      <c r="Q24" s="54" t="e">
        <f>IF(AND(' RIESGOS DE GESTION'!#REF!="Alta",' RIESGOS DE GESTION'!#REF!="Menor"),CONCATENATE("R9C",' RIESGOS DE GESTION'!#REF!),"")</f>
        <v>#REF!</v>
      </c>
      <c r="R24" s="54" t="e">
        <f>IF(AND(' RIESGOS DE GESTION'!#REF!="Alta",' RIESGOS DE GESTION'!#REF!="Menor"),CONCATENATE("R9C",' RIESGOS DE GESTION'!#REF!),"")</f>
        <v>#REF!</v>
      </c>
      <c r="S24" s="54" t="e">
        <f>IF(AND(' RIESGOS DE GESTION'!#REF!="Alta",' RIESGOS DE GESTION'!#REF!="Menor"),CONCATENATE("R9C",' RIESGOS DE GESTION'!#REF!),"")</f>
        <v>#REF!</v>
      </c>
      <c r="T24" s="54" t="e">
        <f>IF(AND(' RIESGOS DE GESTION'!#REF!="Alta",' RIESGOS DE GESTION'!#REF!="Menor"),CONCATENATE("R9C",' RIESGOS DE GESTION'!#REF!),"")</f>
        <v>#REF!</v>
      </c>
      <c r="U24" s="55" t="e">
        <f>IF(AND(' RIESGOS DE GESTION'!#REF!="Alta",' RIESGOS DE GESTION'!#REF!="Menor"),CONCATENATE("R9C",' RIESGOS DE GESTION'!#REF!),"")</f>
        <v>#REF!</v>
      </c>
      <c r="V24" s="38" t="e">
        <f>IF(AND(' RIESGOS DE GESTION'!#REF!="Alta",' RIESGOS DE GESTION'!#REF!="Moderado"),CONCATENATE("R9C",' RIESGOS DE GESTION'!#REF!),"")</f>
        <v>#REF!</v>
      </c>
      <c r="W24" s="39" t="e">
        <f>IF(AND(' RIESGOS DE GESTION'!#REF!="Alta",' RIESGOS DE GESTION'!#REF!="Moderado"),CONCATENATE("R9C",' RIESGOS DE GESTION'!#REF!),"")</f>
        <v>#REF!</v>
      </c>
      <c r="X24" s="39" t="e">
        <f>IF(AND(' RIESGOS DE GESTION'!#REF!="Alta",' RIESGOS DE GESTION'!#REF!="Moderado"),CONCATENATE("R9C",' RIESGOS DE GESTION'!#REF!),"")</f>
        <v>#REF!</v>
      </c>
      <c r="Y24" s="39" t="e">
        <f>IF(AND(' RIESGOS DE GESTION'!#REF!="Alta",' RIESGOS DE GESTION'!#REF!="Moderado"),CONCATENATE("R9C",' RIESGOS DE GESTION'!#REF!),"")</f>
        <v>#REF!</v>
      </c>
      <c r="Z24" s="39" t="e">
        <f>IF(AND(' RIESGOS DE GESTION'!#REF!="Alta",' RIESGOS DE GESTION'!#REF!="Moderado"),CONCATENATE("R9C",' RIESGOS DE GESTION'!#REF!),"")</f>
        <v>#REF!</v>
      </c>
      <c r="AA24" s="40" t="e">
        <f>IF(AND(' RIESGOS DE GESTION'!#REF!="Alta",' RIESGOS DE GESTION'!#REF!="Moderado"),CONCATENATE("R9C",' RIESGOS DE GESTION'!#REF!),"")</f>
        <v>#REF!</v>
      </c>
      <c r="AB24" s="38" t="e">
        <f>IF(AND(' RIESGOS DE GESTION'!#REF!="Alta",' RIESGOS DE GESTION'!#REF!="Mayor"),CONCATENATE("R9C",' RIESGOS DE GESTION'!#REF!),"")</f>
        <v>#REF!</v>
      </c>
      <c r="AC24" s="39" t="e">
        <f>IF(AND(' RIESGOS DE GESTION'!#REF!="Alta",' RIESGOS DE GESTION'!#REF!="Mayor"),CONCATENATE("R9C",' RIESGOS DE GESTION'!#REF!),"")</f>
        <v>#REF!</v>
      </c>
      <c r="AD24" s="39" t="e">
        <f>IF(AND(' RIESGOS DE GESTION'!#REF!="Alta",' RIESGOS DE GESTION'!#REF!="Mayor"),CONCATENATE("R9C",' RIESGOS DE GESTION'!#REF!),"")</f>
        <v>#REF!</v>
      </c>
      <c r="AE24" s="39" t="e">
        <f>IF(AND(' RIESGOS DE GESTION'!#REF!="Alta",' RIESGOS DE GESTION'!#REF!="Mayor"),CONCATENATE("R9C",' RIESGOS DE GESTION'!#REF!),"")</f>
        <v>#REF!</v>
      </c>
      <c r="AF24" s="39" t="e">
        <f>IF(AND(' RIESGOS DE GESTION'!#REF!="Alta",' RIESGOS DE GESTION'!#REF!="Mayor"),CONCATENATE("R9C",' RIESGOS DE GESTION'!#REF!),"")</f>
        <v>#REF!</v>
      </c>
      <c r="AG24" s="40" t="e">
        <f>IF(AND(' RIESGOS DE GESTION'!#REF!="Alta",' RIESGOS DE GESTION'!#REF!="Mayor"),CONCATENATE("R9C",' RIESGOS DE GESTION'!#REF!),"")</f>
        <v>#REF!</v>
      </c>
      <c r="AH24" s="41" t="e">
        <f>IF(AND(' RIESGOS DE GESTION'!#REF!="Alta",' RIESGOS DE GESTION'!#REF!="Catastrófico"),CONCATENATE("R9C",' RIESGOS DE GESTION'!#REF!),"")</f>
        <v>#REF!</v>
      </c>
      <c r="AI24" s="42" t="e">
        <f>IF(AND(' RIESGOS DE GESTION'!#REF!="Alta",' RIESGOS DE GESTION'!#REF!="Catastrófico"),CONCATENATE("R9C",' RIESGOS DE GESTION'!#REF!),"")</f>
        <v>#REF!</v>
      </c>
      <c r="AJ24" s="42" t="e">
        <f>IF(AND(' RIESGOS DE GESTION'!#REF!="Alta",' RIESGOS DE GESTION'!#REF!="Catastrófico"),CONCATENATE("R9C",' RIESGOS DE GESTION'!#REF!),"")</f>
        <v>#REF!</v>
      </c>
      <c r="AK24" s="42" t="e">
        <f>IF(AND(' RIESGOS DE GESTION'!#REF!="Alta",' RIESGOS DE GESTION'!#REF!="Catastrófico"),CONCATENATE("R9C",' RIESGOS DE GESTION'!#REF!),"")</f>
        <v>#REF!</v>
      </c>
      <c r="AL24" s="42" t="e">
        <f>IF(AND(' RIESGOS DE GESTION'!#REF!="Alta",' RIESGOS DE GESTION'!#REF!="Catastrófico"),CONCATENATE("R9C",' RIESGOS DE GESTION'!#REF!),"")</f>
        <v>#REF!</v>
      </c>
      <c r="AM24" s="43" t="e">
        <f>IF(AND(' RIESGOS DE GESTION'!#REF!="Alta",' RIESGOS DE GESTION'!#REF!="Catastrófico"),CONCATENATE("R9C",' RIESGOS DE GESTION'!#REF!),"")</f>
        <v>#REF!</v>
      </c>
      <c r="AN24" s="69"/>
      <c r="AO24" s="672"/>
      <c r="AP24" s="673"/>
      <c r="AQ24" s="673"/>
      <c r="AR24" s="673"/>
      <c r="AS24" s="673"/>
      <c r="AT24" s="674"/>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583"/>
      <c r="C25" s="583"/>
      <c r="D25" s="584"/>
      <c r="E25" s="683"/>
      <c r="F25" s="684"/>
      <c r="G25" s="684"/>
      <c r="H25" s="684"/>
      <c r="I25" s="684"/>
      <c r="J25" s="56" t="e">
        <f>IF(AND(' RIESGOS DE GESTION'!#REF!="Alta",' RIESGOS DE GESTION'!#REF!="Leve"),CONCATENATE("R10C",' RIESGOS DE GESTION'!#REF!),"")</f>
        <v>#REF!</v>
      </c>
      <c r="K25" s="57" t="e">
        <f>IF(AND(' RIESGOS DE GESTION'!#REF!="Alta",' RIESGOS DE GESTION'!#REF!="Leve"),CONCATENATE("R10C",' RIESGOS DE GESTION'!#REF!),"")</f>
        <v>#REF!</v>
      </c>
      <c r="L25" s="57" t="e">
        <f>IF(AND(' RIESGOS DE GESTION'!#REF!="Alta",' RIESGOS DE GESTION'!#REF!="Leve"),CONCATENATE("R10C",' RIESGOS DE GESTION'!#REF!),"")</f>
        <v>#REF!</v>
      </c>
      <c r="M25" s="57" t="e">
        <f>IF(AND(' RIESGOS DE GESTION'!#REF!="Alta",' RIESGOS DE GESTION'!#REF!="Leve"),CONCATENATE("R10C",' RIESGOS DE GESTION'!#REF!),"")</f>
        <v>#REF!</v>
      </c>
      <c r="N25" s="57" t="e">
        <f>IF(AND(' RIESGOS DE GESTION'!#REF!="Alta",' RIESGOS DE GESTION'!#REF!="Leve"),CONCATENATE("R10C",' RIESGOS DE GESTION'!#REF!),"")</f>
        <v>#REF!</v>
      </c>
      <c r="O25" s="58" t="e">
        <f>IF(AND(' RIESGOS DE GESTION'!#REF!="Alta",' RIESGOS DE GESTION'!#REF!="Leve"),CONCATENATE("R10C",' RIESGOS DE GESTION'!#REF!),"")</f>
        <v>#REF!</v>
      </c>
      <c r="P25" s="56" t="e">
        <f>IF(AND(' RIESGOS DE GESTION'!#REF!="Alta",' RIESGOS DE GESTION'!#REF!="Menor"),CONCATENATE("R10C",' RIESGOS DE GESTION'!#REF!),"")</f>
        <v>#REF!</v>
      </c>
      <c r="Q25" s="57" t="e">
        <f>IF(AND(' RIESGOS DE GESTION'!#REF!="Alta",' RIESGOS DE GESTION'!#REF!="Menor"),CONCATENATE("R10C",' RIESGOS DE GESTION'!#REF!),"")</f>
        <v>#REF!</v>
      </c>
      <c r="R25" s="57" t="e">
        <f>IF(AND(' RIESGOS DE GESTION'!#REF!="Alta",' RIESGOS DE GESTION'!#REF!="Menor"),CONCATENATE("R10C",' RIESGOS DE GESTION'!#REF!),"")</f>
        <v>#REF!</v>
      </c>
      <c r="S25" s="57" t="e">
        <f>IF(AND(' RIESGOS DE GESTION'!#REF!="Alta",' RIESGOS DE GESTION'!#REF!="Menor"),CONCATENATE("R10C",' RIESGOS DE GESTION'!#REF!),"")</f>
        <v>#REF!</v>
      </c>
      <c r="T25" s="57" t="e">
        <f>IF(AND(' RIESGOS DE GESTION'!#REF!="Alta",' RIESGOS DE GESTION'!#REF!="Menor"),CONCATENATE("R10C",' RIESGOS DE GESTION'!#REF!),"")</f>
        <v>#REF!</v>
      </c>
      <c r="U25" s="58" t="e">
        <f>IF(AND(' RIESGOS DE GESTION'!#REF!="Alta",' RIESGOS DE GESTION'!#REF!="Menor"),CONCATENATE("R10C",' RIESGOS DE GESTION'!#REF!),"")</f>
        <v>#REF!</v>
      </c>
      <c r="V25" s="44" t="e">
        <f>IF(AND(' RIESGOS DE GESTION'!#REF!="Alta",' RIESGOS DE GESTION'!#REF!="Moderado"),CONCATENATE("R10C",' RIESGOS DE GESTION'!#REF!),"")</f>
        <v>#REF!</v>
      </c>
      <c r="W25" s="45" t="e">
        <f>IF(AND(' RIESGOS DE GESTION'!#REF!="Alta",' RIESGOS DE GESTION'!#REF!="Moderado"),CONCATENATE("R10C",' RIESGOS DE GESTION'!#REF!),"")</f>
        <v>#REF!</v>
      </c>
      <c r="X25" s="45" t="e">
        <f>IF(AND(' RIESGOS DE GESTION'!#REF!="Alta",' RIESGOS DE GESTION'!#REF!="Moderado"),CONCATENATE("R10C",' RIESGOS DE GESTION'!#REF!),"")</f>
        <v>#REF!</v>
      </c>
      <c r="Y25" s="45" t="e">
        <f>IF(AND(' RIESGOS DE GESTION'!#REF!="Alta",' RIESGOS DE GESTION'!#REF!="Moderado"),CONCATENATE("R10C",' RIESGOS DE GESTION'!#REF!),"")</f>
        <v>#REF!</v>
      </c>
      <c r="Z25" s="45" t="e">
        <f>IF(AND(' RIESGOS DE GESTION'!#REF!="Alta",' RIESGOS DE GESTION'!#REF!="Moderado"),CONCATENATE("R10C",' RIESGOS DE GESTION'!#REF!),"")</f>
        <v>#REF!</v>
      </c>
      <c r="AA25" s="46" t="e">
        <f>IF(AND(' RIESGOS DE GESTION'!#REF!="Alta",' RIESGOS DE GESTION'!#REF!="Moderado"),CONCATENATE("R10C",' RIESGOS DE GESTION'!#REF!),"")</f>
        <v>#REF!</v>
      </c>
      <c r="AB25" s="44" t="e">
        <f>IF(AND(' RIESGOS DE GESTION'!#REF!="Alta",' RIESGOS DE GESTION'!#REF!="Mayor"),CONCATENATE("R10C",' RIESGOS DE GESTION'!#REF!),"")</f>
        <v>#REF!</v>
      </c>
      <c r="AC25" s="45" t="e">
        <f>IF(AND(' RIESGOS DE GESTION'!#REF!="Alta",' RIESGOS DE GESTION'!#REF!="Mayor"),CONCATENATE("R10C",' RIESGOS DE GESTION'!#REF!),"")</f>
        <v>#REF!</v>
      </c>
      <c r="AD25" s="45" t="e">
        <f>IF(AND(' RIESGOS DE GESTION'!#REF!="Alta",' RIESGOS DE GESTION'!#REF!="Mayor"),CONCATENATE("R10C",' RIESGOS DE GESTION'!#REF!),"")</f>
        <v>#REF!</v>
      </c>
      <c r="AE25" s="45" t="e">
        <f>IF(AND(' RIESGOS DE GESTION'!#REF!="Alta",' RIESGOS DE GESTION'!#REF!="Mayor"),CONCATENATE("R10C",' RIESGOS DE GESTION'!#REF!),"")</f>
        <v>#REF!</v>
      </c>
      <c r="AF25" s="45" t="e">
        <f>IF(AND(' RIESGOS DE GESTION'!#REF!="Alta",' RIESGOS DE GESTION'!#REF!="Mayor"),CONCATENATE("R10C",' RIESGOS DE GESTION'!#REF!),"")</f>
        <v>#REF!</v>
      </c>
      <c r="AG25" s="46" t="e">
        <f>IF(AND(' RIESGOS DE GESTION'!#REF!="Alta",' RIESGOS DE GESTION'!#REF!="Mayor"),CONCATENATE("R10C",' RIESGOS DE GESTION'!#REF!),"")</f>
        <v>#REF!</v>
      </c>
      <c r="AH25" s="47" t="e">
        <f>IF(AND(' RIESGOS DE GESTION'!#REF!="Alta",' RIESGOS DE GESTION'!#REF!="Catastrófico"),CONCATENATE("R10C",' RIESGOS DE GESTION'!#REF!),"")</f>
        <v>#REF!</v>
      </c>
      <c r="AI25" s="48" t="e">
        <f>IF(AND(' RIESGOS DE GESTION'!#REF!="Alta",' RIESGOS DE GESTION'!#REF!="Catastrófico"),CONCATENATE("R10C",' RIESGOS DE GESTION'!#REF!),"")</f>
        <v>#REF!</v>
      </c>
      <c r="AJ25" s="48" t="e">
        <f>IF(AND(' RIESGOS DE GESTION'!#REF!="Alta",' RIESGOS DE GESTION'!#REF!="Catastrófico"),CONCATENATE("R10C",' RIESGOS DE GESTION'!#REF!),"")</f>
        <v>#REF!</v>
      </c>
      <c r="AK25" s="48" t="e">
        <f>IF(AND(' RIESGOS DE GESTION'!#REF!="Alta",' RIESGOS DE GESTION'!#REF!="Catastrófico"),CONCATENATE("R10C",' RIESGOS DE GESTION'!#REF!),"")</f>
        <v>#REF!</v>
      </c>
      <c r="AL25" s="48" t="e">
        <f>IF(AND(' RIESGOS DE GESTION'!#REF!="Alta",' RIESGOS DE GESTION'!#REF!="Catastrófico"),CONCATENATE("R10C",' RIESGOS DE GESTION'!#REF!),"")</f>
        <v>#REF!</v>
      </c>
      <c r="AM25" s="49" t="e">
        <f>IF(AND(' RIESGOS DE GESTION'!#REF!="Alta",' RIESGOS DE GESTION'!#REF!="Catastrófico"),CONCATENATE("R10C",' RIESGOS DE GESTION'!#REF!),"")</f>
        <v>#REF!</v>
      </c>
      <c r="AN25" s="69"/>
      <c r="AO25" s="675"/>
      <c r="AP25" s="676"/>
      <c r="AQ25" s="676"/>
      <c r="AR25" s="676"/>
      <c r="AS25" s="676"/>
      <c r="AT25" s="677"/>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583"/>
      <c r="C26" s="583"/>
      <c r="D26" s="584"/>
      <c r="E26" s="678" t="s">
        <v>419</v>
      </c>
      <c r="F26" s="679"/>
      <c r="G26" s="679"/>
      <c r="H26" s="679"/>
      <c r="I26" s="696"/>
      <c r="J26" s="50" t="e">
        <f>IF(AND(' RIESGOS DE GESTION'!#REF!="Media",' RIESGOS DE GESTION'!#REF!="Leve"),CONCATENATE("R1C",' RIESGOS DE GESTION'!#REF!),"")</f>
        <v>#REF!</v>
      </c>
      <c r="K26" s="51" t="e">
        <f>IF(AND(' RIESGOS DE GESTION'!#REF!="Media",' RIESGOS DE GESTION'!#REF!="Leve"),CONCATENATE("R1C",' RIESGOS DE GESTION'!#REF!),"")</f>
        <v>#REF!</v>
      </c>
      <c r="L26" s="51" t="e">
        <f>IF(AND(' RIESGOS DE GESTION'!#REF!="Media",' RIESGOS DE GESTION'!#REF!="Leve"),CONCATENATE("R1C",' RIESGOS DE GESTION'!#REF!),"")</f>
        <v>#REF!</v>
      </c>
      <c r="M26" s="51" t="e">
        <f>IF(AND(' RIESGOS DE GESTION'!#REF!="Media",' RIESGOS DE GESTION'!#REF!="Leve"),CONCATENATE("R1C",' RIESGOS DE GESTION'!#REF!),"")</f>
        <v>#REF!</v>
      </c>
      <c r="N26" s="51" t="e">
        <f>IF(AND(' RIESGOS DE GESTION'!#REF!="Media",' RIESGOS DE GESTION'!#REF!="Leve"),CONCATENATE("R1C",' RIESGOS DE GESTION'!#REF!),"")</f>
        <v>#REF!</v>
      </c>
      <c r="O26" s="52" t="e">
        <f>IF(AND(' RIESGOS DE GESTION'!#REF!="Media",' RIESGOS DE GESTION'!#REF!="Leve"),CONCATENATE("R1C",' RIESGOS DE GESTION'!#REF!),"")</f>
        <v>#REF!</v>
      </c>
      <c r="P26" s="50" t="e">
        <f>IF(AND(' RIESGOS DE GESTION'!#REF!="Media",' RIESGOS DE GESTION'!#REF!="Menor"),CONCATENATE("R1C",' RIESGOS DE GESTION'!#REF!),"")</f>
        <v>#REF!</v>
      </c>
      <c r="Q26" s="51" t="e">
        <f>IF(AND(' RIESGOS DE GESTION'!#REF!="Media",' RIESGOS DE GESTION'!#REF!="Menor"),CONCATENATE("R1C",' RIESGOS DE GESTION'!#REF!),"")</f>
        <v>#REF!</v>
      </c>
      <c r="R26" s="51" t="e">
        <f>IF(AND(' RIESGOS DE GESTION'!#REF!="Media",' RIESGOS DE GESTION'!#REF!="Menor"),CONCATENATE("R1C",' RIESGOS DE GESTION'!#REF!),"")</f>
        <v>#REF!</v>
      </c>
      <c r="S26" s="51" t="e">
        <f>IF(AND(' RIESGOS DE GESTION'!#REF!="Media",' RIESGOS DE GESTION'!#REF!="Menor"),CONCATENATE("R1C",' RIESGOS DE GESTION'!#REF!),"")</f>
        <v>#REF!</v>
      </c>
      <c r="T26" s="51" t="e">
        <f>IF(AND(' RIESGOS DE GESTION'!#REF!="Media",' RIESGOS DE GESTION'!#REF!="Menor"),CONCATENATE("R1C",' RIESGOS DE GESTION'!#REF!),"")</f>
        <v>#REF!</v>
      </c>
      <c r="U26" s="52" t="e">
        <f>IF(AND(' RIESGOS DE GESTION'!#REF!="Media",' RIESGOS DE GESTION'!#REF!="Menor"),CONCATENATE("R1C",' RIESGOS DE GESTION'!#REF!),"")</f>
        <v>#REF!</v>
      </c>
      <c r="V26" s="50" t="e">
        <f>IF(AND(' RIESGOS DE GESTION'!#REF!="Media",' RIESGOS DE GESTION'!#REF!="Moderado"),CONCATENATE("R1C",' RIESGOS DE GESTION'!#REF!),"")</f>
        <v>#REF!</v>
      </c>
      <c r="W26" s="51" t="e">
        <f>IF(AND(' RIESGOS DE GESTION'!#REF!="Media",' RIESGOS DE GESTION'!#REF!="Moderado"),CONCATENATE("R1C",' RIESGOS DE GESTION'!#REF!),"")</f>
        <v>#REF!</v>
      </c>
      <c r="X26" s="51" t="e">
        <f>IF(AND(' RIESGOS DE GESTION'!#REF!="Media",' RIESGOS DE GESTION'!#REF!="Moderado"),CONCATENATE("R1C",' RIESGOS DE GESTION'!#REF!),"")</f>
        <v>#REF!</v>
      </c>
      <c r="Y26" s="51" t="e">
        <f>IF(AND(' RIESGOS DE GESTION'!#REF!="Media",' RIESGOS DE GESTION'!#REF!="Moderado"),CONCATENATE("R1C",' RIESGOS DE GESTION'!#REF!),"")</f>
        <v>#REF!</v>
      </c>
      <c r="Z26" s="51" t="e">
        <f>IF(AND(' RIESGOS DE GESTION'!#REF!="Media",' RIESGOS DE GESTION'!#REF!="Moderado"),CONCATENATE("R1C",' RIESGOS DE GESTION'!#REF!),"")</f>
        <v>#REF!</v>
      </c>
      <c r="AA26" s="52" t="e">
        <f>IF(AND(' RIESGOS DE GESTION'!#REF!="Media",' RIESGOS DE GESTION'!#REF!="Moderado"),CONCATENATE("R1C",' RIESGOS DE GESTION'!#REF!),"")</f>
        <v>#REF!</v>
      </c>
      <c r="AB26" s="32" t="e">
        <f>IF(AND(' RIESGOS DE GESTION'!#REF!="Media",' RIESGOS DE GESTION'!#REF!="Mayor"),CONCATENATE("R1C",' RIESGOS DE GESTION'!#REF!),"")</f>
        <v>#REF!</v>
      </c>
      <c r="AC26" s="33" t="e">
        <f>IF(AND(' RIESGOS DE GESTION'!#REF!="Media",' RIESGOS DE GESTION'!#REF!="Mayor"),CONCATENATE("R1C",' RIESGOS DE GESTION'!#REF!),"")</f>
        <v>#REF!</v>
      </c>
      <c r="AD26" s="33" t="e">
        <f>IF(AND(' RIESGOS DE GESTION'!#REF!="Media",' RIESGOS DE GESTION'!#REF!="Mayor"),CONCATENATE("R1C",' RIESGOS DE GESTION'!#REF!),"")</f>
        <v>#REF!</v>
      </c>
      <c r="AE26" s="33" t="e">
        <f>IF(AND(' RIESGOS DE GESTION'!#REF!="Media",' RIESGOS DE GESTION'!#REF!="Mayor"),CONCATENATE("R1C",' RIESGOS DE GESTION'!#REF!),"")</f>
        <v>#REF!</v>
      </c>
      <c r="AF26" s="33" t="e">
        <f>IF(AND(' RIESGOS DE GESTION'!#REF!="Media",' RIESGOS DE GESTION'!#REF!="Mayor"),CONCATENATE("R1C",' RIESGOS DE GESTION'!#REF!),"")</f>
        <v>#REF!</v>
      </c>
      <c r="AG26" s="34" t="e">
        <f>IF(AND(' RIESGOS DE GESTION'!#REF!="Media",' RIESGOS DE GESTION'!#REF!="Mayor"),CONCATENATE("R1C",' RIESGOS DE GESTION'!#REF!),"")</f>
        <v>#REF!</v>
      </c>
      <c r="AH26" s="35" t="e">
        <f>IF(AND(' RIESGOS DE GESTION'!#REF!="Media",' RIESGOS DE GESTION'!#REF!="Catastrófico"),CONCATENATE("R1C",' RIESGOS DE GESTION'!#REF!),"")</f>
        <v>#REF!</v>
      </c>
      <c r="AI26" s="36" t="e">
        <f>IF(AND(' RIESGOS DE GESTION'!#REF!="Media",' RIESGOS DE GESTION'!#REF!="Catastrófico"),CONCATENATE("R1C",' RIESGOS DE GESTION'!#REF!),"")</f>
        <v>#REF!</v>
      </c>
      <c r="AJ26" s="36" t="e">
        <f>IF(AND(' RIESGOS DE GESTION'!#REF!="Media",' RIESGOS DE GESTION'!#REF!="Catastrófico"),CONCATENATE("R1C",' RIESGOS DE GESTION'!#REF!),"")</f>
        <v>#REF!</v>
      </c>
      <c r="AK26" s="36" t="e">
        <f>IF(AND(' RIESGOS DE GESTION'!#REF!="Media",' RIESGOS DE GESTION'!#REF!="Catastrófico"),CONCATENATE("R1C",' RIESGOS DE GESTION'!#REF!),"")</f>
        <v>#REF!</v>
      </c>
      <c r="AL26" s="36" t="e">
        <f>IF(AND(' RIESGOS DE GESTION'!#REF!="Media",' RIESGOS DE GESTION'!#REF!="Catastrófico"),CONCATENATE("R1C",' RIESGOS DE GESTION'!#REF!),"")</f>
        <v>#REF!</v>
      </c>
      <c r="AM26" s="37" t="e">
        <f>IF(AND(' RIESGOS DE GESTION'!#REF!="Media",' RIESGOS DE GESTION'!#REF!="Catastrófico"),CONCATENATE("R1C",' RIESGOS DE GESTION'!#REF!),"")</f>
        <v>#REF!</v>
      </c>
      <c r="AN26" s="69"/>
      <c r="AO26" s="708" t="s">
        <v>420</v>
      </c>
      <c r="AP26" s="709"/>
      <c r="AQ26" s="709"/>
      <c r="AR26" s="709"/>
      <c r="AS26" s="709"/>
      <c r="AT26" s="710"/>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583"/>
      <c r="C27" s="583"/>
      <c r="D27" s="584"/>
      <c r="E27" s="680"/>
      <c r="F27" s="681"/>
      <c r="G27" s="681"/>
      <c r="H27" s="681"/>
      <c r="I27" s="697"/>
      <c r="J27" s="53" t="e">
        <f>IF(AND(' RIESGOS DE GESTION'!#REF!="Media",' RIESGOS DE GESTION'!#REF!="Leve"),CONCATENATE("R2C",' RIESGOS DE GESTION'!#REF!),"")</f>
        <v>#REF!</v>
      </c>
      <c r="K27" s="54" t="e">
        <f>IF(AND(' RIESGOS DE GESTION'!#REF!="Media",' RIESGOS DE GESTION'!#REF!="Leve"),CONCATENATE("R2C",' RIESGOS DE GESTION'!#REF!),"")</f>
        <v>#REF!</v>
      </c>
      <c r="L27" s="54" t="e">
        <f>IF(AND(' RIESGOS DE GESTION'!#REF!="Media",' RIESGOS DE GESTION'!#REF!="Leve"),CONCATENATE("R2C",' RIESGOS DE GESTION'!#REF!),"")</f>
        <v>#REF!</v>
      </c>
      <c r="M27" s="54" t="e">
        <f>IF(AND(' RIESGOS DE GESTION'!#REF!="Media",' RIESGOS DE GESTION'!#REF!="Leve"),CONCATENATE("R2C",' RIESGOS DE GESTION'!#REF!),"")</f>
        <v>#REF!</v>
      </c>
      <c r="N27" s="54" t="e">
        <f>IF(AND(' RIESGOS DE GESTION'!#REF!="Media",' RIESGOS DE GESTION'!#REF!="Leve"),CONCATENATE("R2C",' RIESGOS DE GESTION'!#REF!),"")</f>
        <v>#REF!</v>
      </c>
      <c r="O27" s="55" t="e">
        <f>IF(AND(' RIESGOS DE GESTION'!#REF!="Media",' RIESGOS DE GESTION'!#REF!="Leve"),CONCATENATE("R2C",' RIESGOS DE GESTION'!#REF!),"")</f>
        <v>#REF!</v>
      </c>
      <c r="P27" s="53" t="e">
        <f>IF(AND(' RIESGOS DE GESTION'!#REF!="Media",' RIESGOS DE GESTION'!#REF!="Menor"),CONCATENATE("R2C",' RIESGOS DE GESTION'!#REF!),"")</f>
        <v>#REF!</v>
      </c>
      <c r="Q27" s="54" t="e">
        <f>IF(AND(' RIESGOS DE GESTION'!#REF!="Media",' RIESGOS DE GESTION'!#REF!="Menor"),CONCATENATE("R2C",' RIESGOS DE GESTION'!#REF!),"")</f>
        <v>#REF!</v>
      </c>
      <c r="R27" s="54" t="e">
        <f>IF(AND(' RIESGOS DE GESTION'!#REF!="Media",' RIESGOS DE GESTION'!#REF!="Menor"),CONCATENATE("R2C",' RIESGOS DE GESTION'!#REF!),"")</f>
        <v>#REF!</v>
      </c>
      <c r="S27" s="54" t="e">
        <f>IF(AND(' RIESGOS DE GESTION'!#REF!="Media",' RIESGOS DE GESTION'!#REF!="Menor"),CONCATENATE("R2C",' RIESGOS DE GESTION'!#REF!),"")</f>
        <v>#REF!</v>
      </c>
      <c r="T27" s="54" t="e">
        <f>IF(AND(' RIESGOS DE GESTION'!#REF!="Media",' RIESGOS DE GESTION'!#REF!="Menor"),CONCATENATE("R2C",' RIESGOS DE GESTION'!#REF!),"")</f>
        <v>#REF!</v>
      </c>
      <c r="U27" s="55" t="e">
        <f>IF(AND(' RIESGOS DE GESTION'!#REF!="Media",' RIESGOS DE GESTION'!#REF!="Menor"),CONCATENATE("R2C",' RIESGOS DE GESTION'!#REF!),"")</f>
        <v>#REF!</v>
      </c>
      <c r="V27" s="53" t="e">
        <f>IF(AND(' RIESGOS DE GESTION'!#REF!="Media",' RIESGOS DE GESTION'!#REF!="Moderado"),CONCATENATE("R2C",' RIESGOS DE GESTION'!#REF!),"")</f>
        <v>#REF!</v>
      </c>
      <c r="W27" s="54" t="e">
        <f>IF(AND(' RIESGOS DE GESTION'!#REF!="Media",' RIESGOS DE GESTION'!#REF!="Moderado"),CONCATENATE("R2C",' RIESGOS DE GESTION'!#REF!),"")</f>
        <v>#REF!</v>
      </c>
      <c r="X27" s="54" t="e">
        <f>IF(AND(' RIESGOS DE GESTION'!#REF!="Media",' RIESGOS DE GESTION'!#REF!="Moderado"),CONCATENATE("R2C",' RIESGOS DE GESTION'!#REF!),"")</f>
        <v>#REF!</v>
      </c>
      <c r="Y27" s="54" t="e">
        <f>IF(AND(' RIESGOS DE GESTION'!#REF!="Media",' RIESGOS DE GESTION'!#REF!="Moderado"),CONCATENATE("R2C",' RIESGOS DE GESTION'!#REF!),"")</f>
        <v>#REF!</v>
      </c>
      <c r="Z27" s="54" t="e">
        <f>IF(AND(' RIESGOS DE GESTION'!#REF!="Media",' RIESGOS DE GESTION'!#REF!="Moderado"),CONCATENATE("R2C",' RIESGOS DE GESTION'!#REF!),"")</f>
        <v>#REF!</v>
      </c>
      <c r="AA27" s="55" t="e">
        <f>IF(AND(' RIESGOS DE GESTION'!#REF!="Media",' RIESGOS DE GESTION'!#REF!="Moderado"),CONCATENATE("R2C",' RIESGOS DE GESTION'!#REF!),"")</f>
        <v>#REF!</v>
      </c>
      <c r="AB27" s="38" t="e">
        <f>IF(AND(' RIESGOS DE GESTION'!#REF!="Media",' RIESGOS DE GESTION'!#REF!="Mayor"),CONCATENATE("R2C",' RIESGOS DE GESTION'!#REF!),"")</f>
        <v>#REF!</v>
      </c>
      <c r="AC27" s="39" t="e">
        <f>IF(AND(' RIESGOS DE GESTION'!#REF!="Media",' RIESGOS DE GESTION'!#REF!="Mayor"),CONCATENATE("R2C",' RIESGOS DE GESTION'!#REF!),"")</f>
        <v>#REF!</v>
      </c>
      <c r="AD27" s="39" t="e">
        <f>IF(AND(' RIESGOS DE GESTION'!#REF!="Media",' RIESGOS DE GESTION'!#REF!="Mayor"),CONCATENATE("R2C",' RIESGOS DE GESTION'!#REF!),"")</f>
        <v>#REF!</v>
      </c>
      <c r="AE27" s="39" t="e">
        <f>IF(AND(' RIESGOS DE GESTION'!#REF!="Media",' RIESGOS DE GESTION'!#REF!="Mayor"),CONCATENATE("R2C",' RIESGOS DE GESTION'!#REF!),"")</f>
        <v>#REF!</v>
      </c>
      <c r="AF27" s="39" t="e">
        <f>IF(AND(' RIESGOS DE GESTION'!#REF!="Media",' RIESGOS DE GESTION'!#REF!="Mayor"),CONCATENATE("R2C",' RIESGOS DE GESTION'!#REF!),"")</f>
        <v>#REF!</v>
      </c>
      <c r="AG27" s="40" t="e">
        <f>IF(AND(' RIESGOS DE GESTION'!#REF!="Media",' RIESGOS DE GESTION'!#REF!="Mayor"),CONCATENATE("R2C",' RIESGOS DE GESTION'!#REF!),"")</f>
        <v>#REF!</v>
      </c>
      <c r="AH27" s="41" t="e">
        <f>IF(AND(' RIESGOS DE GESTION'!#REF!="Media",' RIESGOS DE GESTION'!#REF!="Catastrófico"),CONCATENATE("R2C",' RIESGOS DE GESTION'!#REF!),"")</f>
        <v>#REF!</v>
      </c>
      <c r="AI27" s="42" t="e">
        <f>IF(AND(' RIESGOS DE GESTION'!#REF!="Media",' RIESGOS DE GESTION'!#REF!="Catastrófico"),CONCATENATE("R2C",' RIESGOS DE GESTION'!#REF!),"")</f>
        <v>#REF!</v>
      </c>
      <c r="AJ27" s="42" t="e">
        <f>IF(AND(' RIESGOS DE GESTION'!#REF!="Media",' RIESGOS DE GESTION'!#REF!="Catastrófico"),CONCATENATE("R2C",' RIESGOS DE GESTION'!#REF!),"")</f>
        <v>#REF!</v>
      </c>
      <c r="AK27" s="42" t="e">
        <f>IF(AND(' RIESGOS DE GESTION'!#REF!="Media",' RIESGOS DE GESTION'!#REF!="Catastrófico"),CONCATENATE("R2C",' RIESGOS DE GESTION'!#REF!),"")</f>
        <v>#REF!</v>
      </c>
      <c r="AL27" s="42" t="e">
        <f>IF(AND(' RIESGOS DE GESTION'!#REF!="Media",' RIESGOS DE GESTION'!#REF!="Catastrófico"),CONCATENATE("R2C",' RIESGOS DE GESTION'!#REF!),"")</f>
        <v>#REF!</v>
      </c>
      <c r="AM27" s="43" t="e">
        <f>IF(AND(' RIESGOS DE GESTION'!#REF!="Media",' RIESGOS DE GESTION'!#REF!="Catastrófico"),CONCATENATE("R2C",' RIESGOS DE GESTION'!#REF!),"")</f>
        <v>#REF!</v>
      </c>
      <c r="AN27" s="69"/>
      <c r="AO27" s="711"/>
      <c r="AP27" s="712"/>
      <c r="AQ27" s="712"/>
      <c r="AR27" s="712"/>
      <c r="AS27" s="712"/>
      <c r="AT27" s="713"/>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583"/>
      <c r="C28" s="583"/>
      <c r="D28" s="584"/>
      <c r="E28" s="682"/>
      <c r="F28" s="681"/>
      <c r="G28" s="681"/>
      <c r="H28" s="681"/>
      <c r="I28" s="697"/>
      <c r="J28" s="53" t="e">
        <f>IF(AND(' RIESGOS DE GESTION'!#REF!="Media",' RIESGOS DE GESTION'!#REF!="Leve"),CONCATENATE("R3C",' RIESGOS DE GESTION'!#REF!),"")</f>
        <v>#REF!</v>
      </c>
      <c r="K28" s="54" t="e">
        <f>IF(AND(' RIESGOS DE GESTION'!#REF!="Media",' RIESGOS DE GESTION'!#REF!="Leve"),CONCATENATE("R3C",' RIESGOS DE GESTION'!#REF!),"")</f>
        <v>#REF!</v>
      </c>
      <c r="L28" s="54" t="e">
        <f>IF(AND(' RIESGOS DE GESTION'!#REF!="Media",' RIESGOS DE GESTION'!#REF!="Leve"),CONCATENATE("R3C",' RIESGOS DE GESTION'!#REF!),"")</f>
        <v>#REF!</v>
      </c>
      <c r="M28" s="54" t="e">
        <f>IF(AND(' RIESGOS DE GESTION'!#REF!="Media",' RIESGOS DE GESTION'!#REF!="Leve"),CONCATENATE("R3C",' RIESGOS DE GESTION'!#REF!),"")</f>
        <v>#REF!</v>
      </c>
      <c r="N28" s="54" t="e">
        <f>IF(AND(' RIESGOS DE GESTION'!#REF!="Media",' RIESGOS DE GESTION'!#REF!="Leve"),CONCATENATE("R3C",' RIESGOS DE GESTION'!#REF!),"")</f>
        <v>#REF!</v>
      </c>
      <c r="O28" s="55" t="e">
        <f>IF(AND(' RIESGOS DE GESTION'!#REF!="Media",' RIESGOS DE GESTION'!#REF!="Leve"),CONCATENATE("R3C",' RIESGOS DE GESTION'!#REF!),"")</f>
        <v>#REF!</v>
      </c>
      <c r="P28" s="53" t="e">
        <f>IF(AND(' RIESGOS DE GESTION'!#REF!="Media",' RIESGOS DE GESTION'!#REF!="Menor"),CONCATENATE("R3C",' RIESGOS DE GESTION'!#REF!),"")</f>
        <v>#REF!</v>
      </c>
      <c r="Q28" s="54" t="e">
        <f>IF(AND(' RIESGOS DE GESTION'!#REF!="Media",' RIESGOS DE GESTION'!#REF!="Menor"),CONCATENATE("R3C",' RIESGOS DE GESTION'!#REF!),"")</f>
        <v>#REF!</v>
      </c>
      <c r="R28" s="54" t="e">
        <f>IF(AND(' RIESGOS DE GESTION'!#REF!="Media",' RIESGOS DE GESTION'!#REF!="Menor"),CONCATENATE("R3C",' RIESGOS DE GESTION'!#REF!),"")</f>
        <v>#REF!</v>
      </c>
      <c r="S28" s="54" t="e">
        <f>IF(AND(' RIESGOS DE GESTION'!#REF!="Media",' RIESGOS DE GESTION'!#REF!="Menor"),CONCATENATE("R3C",' RIESGOS DE GESTION'!#REF!),"")</f>
        <v>#REF!</v>
      </c>
      <c r="T28" s="54" t="e">
        <f>IF(AND(' RIESGOS DE GESTION'!#REF!="Media",' RIESGOS DE GESTION'!#REF!="Menor"),CONCATENATE("R3C",' RIESGOS DE GESTION'!#REF!),"")</f>
        <v>#REF!</v>
      </c>
      <c r="U28" s="55" t="e">
        <f>IF(AND(' RIESGOS DE GESTION'!#REF!="Media",' RIESGOS DE GESTION'!#REF!="Menor"),CONCATENATE("R3C",' RIESGOS DE GESTION'!#REF!),"")</f>
        <v>#REF!</v>
      </c>
      <c r="V28" s="53" t="e">
        <f>IF(AND(' RIESGOS DE GESTION'!#REF!="Media",' RIESGOS DE GESTION'!#REF!="Moderado"),CONCATENATE("R3C",' RIESGOS DE GESTION'!#REF!),"")</f>
        <v>#REF!</v>
      </c>
      <c r="W28" s="54" t="e">
        <f>IF(AND(' RIESGOS DE GESTION'!#REF!="Media",' RIESGOS DE GESTION'!#REF!="Moderado"),CONCATENATE("R3C",' RIESGOS DE GESTION'!#REF!),"")</f>
        <v>#REF!</v>
      </c>
      <c r="X28" s="54" t="e">
        <f>IF(AND(' RIESGOS DE GESTION'!#REF!="Media",' RIESGOS DE GESTION'!#REF!="Moderado"),CONCATENATE("R3C",' RIESGOS DE GESTION'!#REF!),"")</f>
        <v>#REF!</v>
      </c>
      <c r="Y28" s="54" t="e">
        <f>IF(AND(' RIESGOS DE GESTION'!#REF!="Media",' RIESGOS DE GESTION'!#REF!="Moderado"),CONCATENATE("R3C",' RIESGOS DE GESTION'!#REF!),"")</f>
        <v>#REF!</v>
      </c>
      <c r="Z28" s="54" t="e">
        <f>IF(AND(' RIESGOS DE GESTION'!#REF!="Media",' RIESGOS DE GESTION'!#REF!="Moderado"),CONCATENATE("R3C",' RIESGOS DE GESTION'!#REF!),"")</f>
        <v>#REF!</v>
      </c>
      <c r="AA28" s="55" t="e">
        <f>IF(AND(' RIESGOS DE GESTION'!#REF!="Media",' RIESGOS DE GESTION'!#REF!="Moderado"),CONCATENATE("R3C",' RIESGOS DE GESTION'!#REF!),"")</f>
        <v>#REF!</v>
      </c>
      <c r="AB28" s="38" t="e">
        <f>IF(AND(' RIESGOS DE GESTION'!#REF!="Media",' RIESGOS DE GESTION'!#REF!="Mayor"),CONCATENATE("R3C",' RIESGOS DE GESTION'!#REF!),"")</f>
        <v>#REF!</v>
      </c>
      <c r="AC28" s="39" t="e">
        <f>IF(AND(' RIESGOS DE GESTION'!#REF!="Media",' RIESGOS DE GESTION'!#REF!="Mayor"),CONCATENATE("R3C",' RIESGOS DE GESTION'!#REF!),"")</f>
        <v>#REF!</v>
      </c>
      <c r="AD28" s="39" t="e">
        <f>IF(AND(' RIESGOS DE GESTION'!#REF!="Media",' RIESGOS DE GESTION'!#REF!="Mayor"),CONCATENATE("R3C",' RIESGOS DE GESTION'!#REF!),"")</f>
        <v>#REF!</v>
      </c>
      <c r="AE28" s="39" t="e">
        <f>IF(AND(' RIESGOS DE GESTION'!#REF!="Media",' RIESGOS DE GESTION'!#REF!="Mayor"),CONCATENATE("R3C",' RIESGOS DE GESTION'!#REF!),"")</f>
        <v>#REF!</v>
      </c>
      <c r="AF28" s="39" t="e">
        <f>IF(AND(' RIESGOS DE GESTION'!#REF!="Media",' RIESGOS DE GESTION'!#REF!="Mayor"),CONCATENATE("R3C",' RIESGOS DE GESTION'!#REF!),"")</f>
        <v>#REF!</v>
      </c>
      <c r="AG28" s="40" t="e">
        <f>IF(AND(' RIESGOS DE GESTION'!#REF!="Media",' RIESGOS DE GESTION'!#REF!="Mayor"),CONCATENATE("R3C",' RIESGOS DE GESTION'!#REF!),"")</f>
        <v>#REF!</v>
      </c>
      <c r="AH28" s="41" t="e">
        <f>IF(AND(' RIESGOS DE GESTION'!#REF!="Media",' RIESGOS DE GESTION'!#REF!="Catastrófico"),CONCATENATE("R3C",' RIESGOS DE GESTION'!#REF!),"")</f>
        <v>#REF!</v>
      </c>
      <c r="AI28" s="42" t="e">
        <f>IF(AND(' RIESGOS DE GESTION'!#REF!="Media",' RIESGOS DE GESTION'!#REF!="Catastrófico"),CONCATENATE("R3C",' RIESGOS DE GESTION'!#REF!),"")</f>
        <v>#REF!</v>
      </c>
      <c r="AJ28" s="42" t="e">
        <f>IF(AND(' RIESGOS DE GESTION'!#REF!="Media",' RIESGOS DE GESTION'!#REF!="Catastrófico"),CONCATENATE("R3C",' RIESGOS DE GESTION'!#REF!),"")</f>
        <v>#REF!</v>
      </c>
      <c r="AK28" s="42" t="e">
        <f>IF(AND(' RIESGOS DE GESTION'!#REF!="Media",' RIESGOS DE GESTION'!#REF!="Catastrófico"),CONCATENATE("R3C",' RIESGOS DE GESTION'!#REF!),"")</f>
        <v>#REF!</v>
      </c>
      <c r="AL28" s="42" t="e">
        <f>IF(AND(' RIESGOS DE GESTION'!#REF!="Media",' RIESGOS DE GESTION'!#REF!="Catastrófico"),CONCATENATE("R3C",' RIESGOS DE GESTION'!#REF!),"")</f>
        <v>#REF!</v>
      </c>
      <c r="AM28" s="43" t="e">
        <f>IF(AND(' RIESGOS DE GESTION'!#REF!="Media",' RIESGOS DE GESTION'!#REF!="Catastrófico"),CONCATENATE("R3C",' RIESGOS DE GESTION'!#REF!),"")</f>
        <v>#REF!</v>
      </c>
      <c r="AN28" s="69"/>
      <c r="AO28" s="711"/>
      <c r="AP28" s="712"/>
      <c r="AQ28" s="712"/>
      <c r="AR28" s="712"/>
      <c r="AS28" s="712"/>
      <c r="AT28" s="713"/>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583"/>
      <c r="C29" s="583"/>
      <c r="D29" s="584"/>
      <c r="E29" s="682"/>
      <c r="F29" s="681"/>
      <c r="G29" s="681"/>
      <c r="H29" s="681"/>
      <c r="I29" s="697"/>
      <c r="J29" s="53" t="e">
        <f>IF(AND(' RIESGOS DE GESTION'!#REF!="Media",' RIESGOS DE GESTION'!#REF!="Leve"),CONCATENATE("R4C",' RIESGOS DE GESTION'!#REF!),"")</f>
        <v>#REF!</v>
      </c>
      <c r="K29" s="54" t="e">
        <f>IF(AND(' RIESGOS DE GESTION'!#REF!="Media",' RIESGOS DE GESTION'!#REF!="Leve"),CONCATENATE("R4C",' RIESGOS DE GESTION'!#REF!),"")</f>
        <v>#REF!</v>
      </c>
      <c r="L29" s="54" t="e">
        <f>IF(AND(' RIESGOS DE GESTION'!#REF!="Media",' RIESGOS DE GESTION'!#REF!="Leve"),CONCATENATE("R4C",' RIESGOS DE GESTION'!#REF!),"")</f>
        <v>#REF!</v>
      </c>
      <c r="M29" s="54" t="e">
        <f>IF(AND(' RIESGOS DE GESTION'!#REF!="Media",' RIESGOS DE GESTION'!#REF!="Leve"),CONCATENATE("R4C",' RIESGOS DE GESTION'!#REF!),"")</f>
        <v>#REF!</v>
      </c>
      <c r="N29" s="54" t="e">
        <f>IF(AND(' RIESGOS DE GESTION'!#REF!="Media",' RIESGOS DE GESTION'!#REF!="Leve"),CONCATENATE("R4C",' RIESGOS DE GESTION'!#REF!),"")</f>
        <v>#REF!</v>
      </c>
      <c r="O29" s="55" t="e">
        <f>IF(AND(' RIESGOS DE GESTION'!#REF!="Media",' RIESGOS DE GESTION'!#REF!="Leve"),CONCATENATE("R4C",' RIESGOS DE GESTION'!#REF!),"")</f>
        <v>#REF!</v>
      </c>
      <c r="P29" s="53" t="e">
        <f>IF(AND(' RIESGOS DE GESTION'!#REF!="Media",' RIESGOS DE GESTION'!#REF!="Menor"),CONCATENATE("R4C",' RIESGOS DE GESTION'!#REF!),"")</f>
        <v>#REF!</v>
      </c>
      <c r="Q29" s="54" t="e">
        <f>IF(AND(' RIESGOS DE GESTION'!#REF!="Media",' RIESGOS DE GESTION'!#REF!="Menor"),CONCATENATE("R4C",' RIESGOS DE GESTION'!#REF!),"")</f>
        <v>#REF!</v>
      </c>
      <c r="R29" s="54" t="e">
        <f>IF(AND(' RIESGOS DE GESTION'!#REF!="Media",' RIESGOS DE GESTION'!#REF!="Menor"),CONCATENATE("R4C",' RIESGOS DE GESTION'!#REF!),"")</f>
        <v>#REF!</v>
      </c>
      <c r="S29" s="54" t="e">
        <f>IF(AND(' RIESGOS DE GESTION'!#REF!="Media",' RIESGOS DE GESTION'!#REF!="Menor"),CONCATENATE("R4C",' RIESGOS DE GESTION'!#REF!),"")</f>
        <v>#REF!</v>
      </c>
      <c r="T29" s="54" t="e">
        <f>IF(AND(' RIESGOS DE GESTION'!#REF!="Media",' RIESGOS DE GESTION'!#REF!="Menor"),CONCATENATE("R4C",' RIESGOS DE GESTION'!#REF!),"")</f>
        <v>#REF!</v>
      </c>
      <c r="U29" s="55" t="e">
        <f>IF(AND(' RIESGOS DE GESTION'!#REF!="Media",' RIESGOS DE GESTION'!#REF!="Menor"),CONCATENATE("R4C",' RIESGOS DE GESTION'!#REF!),"")</f>
        <v>#REF!</v>
      </c>
      <c r="V29" s="53" t="e">
        <f>IF(AND(' RIESGOS DE GESTION'!#REF!="Media",' RIESGOS DE GESTION'!#REF!="Moderado"),CONCATENATE("R4C",' RIESGOS DE GESTION'!#REF!),"")</f>
        <v>#REF!</v>
      </c>
      <c r="W29" s="54" t="e">
        <f>IF(AND(' RIESGOS DE GESTION'!#REF!="Media",' RIESGOS DE GESTION'!#REF!="Moderado"),CONCATENATE("R4C",' RIESGOS DE GESTION'!#REF!),"")</f>
        <v>#REF!</v>
      </c>
      <c r="X29" s="54" t="e">
        <f>IF(AND(' RIESGOS DE GESTION'!#REF!="Media",' RIESGOS DE GESTION'!#REF!="Moderado"),CONCATENATE("R4C",' RIESGOS DE GESTION'!#REF!),"")</f>
        <v>#REF!</v>
      </c>
      <c r="Y29" s="54" t="e">
        <f>IF(AND(' RIESGOS DE GESTION'!#REF!="Media",' RIESGOS DE GESTION'!#REF!="Moderado"),CONCATENATE("R4C",' RIESGOS DE GESTION'!#REF!),"")</f>
        <v>#REF!</v>
      </c>
      <c r="Z29" s="54" t="e">
        <f>IF(AND(' RIESGOS DE GESTION'!#REF!="Media",' RIESGOS DE GESTION'!#REF!="Moderado"),CONCATENATE("R4C",' RIESGOS DE GESTION'!#REF!),"")</f>
        <v>#REF!</v>
      </c>
      <c r="AA29" s="55" t="e">
        <f>IF(AND(' RIESGOS DE GESTION'!#REF!="Media",' RIESGOS DE GESTION'!#REF!="Moderado"),CONCATENATE("R4C",' RIESGOS DE GESTION'!#REF!),"")</f>
        <v>#REF!</v>
      </c>
      <c r="AB29" s="38" t="e">
        <f>IF(AND(' RIESGOS DE GESTION'!#REF!="Media",' RIESGOS DE GESTION'!#REF!="Mayor"),CONCATENATE("R4C",' RIESGOS DE GESTION'!#REF!),"")</f>
        <v>#REF!</v>
      </c>
      <c r="AC29" s="39" t="e">
        <f>IF(AND(' RIESGOS DE GESTION'!#REF!="Media",' RIESGOS DE GESTION'!#REF!="Mayor"),CONCATENATE("R4C",' RIESGOS DE GESTION'!#REF!),"")</f>
        <v>#REF!</v>
      </c>
      <c r="AD29" s="39" t="e">
        <f>IF(AND(' RIESGOS DE GESTION'!#REF!="Media",' RIESGOS DE GESTION'!#REF!="Mayor"),CONCATENATE("R4C",' RIESGOS DE GESTION'!#REF!),"")</f>
        <v>#REF!</v>
      </c>
      <c r="AE29" s="39" t="e">
        <f>IF(AND(' RIESGOS DE GESTION'!#REF!="Media",' RIESGOS DE GESTION'!#REF!="Mayor"),CONCATENATE("R4C",' RIESGOS DE GESTION'!#REF!),"")</f>
        <v>#REF!</v>
      </c>
      <c r="AF29" s="39" t="e">
        <f>IF(AND(' RIESGOS DE GESTION'!#REF!="Media",' RIESGOS DE GESTION'!#REF!="Mayor"),CONCATENATE("R4C",' RIESGOS DE GESTION'!#REF!),"")</f>
        <v>#REF!</v>
      </c>
      <c r="AG29" s="40" t="e">
        <f>IF(AND(' RIESGOS DE GESTION'!#REF!="Media",' RIESGOS DE GESTION'!#REF!="Mayor"),CONCATENATE("R4C",' RIESGOS DE GESTION'!#REF!),"")</f>
        <v>#REF!</v>
      </c>
      <c r="AH29" s="41" t="e">
        <f>IF(AND(' RIESGOS DE GESTION'!#REF!="Media",' RIESGOS DE GESTION'!#REF!="Catastrófico"),CONCATENATE("R4C",' RIESGOS DE GESTION'!#REF!),"")</f>
        <v>#REF!</v>
      </c>
      <c r="AI29" s="42" t="e">
        <f>IF(AND(' RIESGOS DE GESTION'!#REF!="Media",' RIESGOS DE GESTION'!#REF!="Catastrófico"),CONCATENATE("R4C",' RIESGOS DE GESTION'!#REF!),"")</f>
        <v>#REF!</v>
      </c>
      <c r="AJ29" s="42" t="e">
        <f>IF(AND(' RIESGOS DE GESTION'!#REF!="Media",' RIESGOS DE GESTION'!#REF!="Catastrófico"),CONCATENATE("R4C",' RIESGOS DE GESTION'!#REF!),"")</f>
        <v>#REF!</v>
      </c>
      <c r="AK29" s="42" t="e">
        <f>IF(AND(' RIESGOS DE GESTION'!#REF!="Media",' RIESGOS DE GESTION'!#REF!="Catastrófico"),CONCATENATE("R4C",' RIESGOS DE GESTION'!#REF!),"")</f>
        <v>#REF!</v>
      </c>
      <c r="AL29" s="42" t="e">
        <f>IF(AND(' RIESGOS DE GESTION'!#REF!="Media",' RIESGOS DE GESTION'!#REF!="Catastrófico"),CONCATENATE("R4C",' RIESGOS DE GESTION'!#REF!),"")</f>
        <v>#REF!</v>
      </c>
      <c r="AM29" s="43" t="e">
        <f>IF(AND(' RIESGOS DE GESTION'!#REF!="Media",' RIESGOS DE GESTION'!#REF!="Catastrófico"),CONCATENATE("R4C",' RIESGOS DE GESTION'!#REF!),"")</f>
        <v>#REF!</v>
      </c>
      <c r="AN29" s="69"/>
      <c r="AO29" s="711"/>
      <c r="AP29" s="712"/>
      <c r="AQ29" s="712"/>
      <c r="AR29" s="712"/>
      <c r="AS29" s="712"/>
      <c r="AT29" s="713"/>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583"/>
      <c r="C30" s="583"/>
      <c r="D30" s="584"/>
      <c r="E30" s="682"/>
      <c r="F30" s="681"/>
      <c r="G30" s="681"/>
      <c r="H30" s="681"/>
      <c r="I30" s="697"/>
      <c r="J30" s="53" t="e">
        <f>IF(AND(' RIESGOS DE GESTION'!#REF!="Media",' RIESGOS DE GESTION'!#REF!="Leve"),CONCATENATE("R5C",' RIESGOS DE GESTION'!#REF!),"")</f>
        <v>#REF!</v>
      </c>
      <c r="K30" s="54" t="e">
        <f>IF(AND(' RIESGOS DE GESTION'!#REF!="Media",' RIESGOS DE GESTION'!#REF!="Leve"),CONCATENATE("R5C",' RIESGOS DE GESTION'!#REF!),"")</f>
        <v>#REF!</v>
      </c>
      <c r="L30" s="54" t="e">
        <f>IF(AND(' RIESGOS DE GESTION'!#REF!="Media",' RIESGOS DE GESTION'!#REF!="Leve"),CONCATENATE("R5C",' RIESGOS DE GESTION'!#REF!),"")</f>
        <v>#REF!</v>
      </c>
      <c r="M30" s="54" t="e">
        <f>IF(AND(' RIESGOS DE GESTION'!#REF!="Media",' RIESGOS DE GESTION'!#REF!="Leve"),CONCATENATE("R5C",' RIESGOS DE GESTION'!#REF!),"")</f>
        <v>#REF!</v>
      </c>
      <c r="N30" s="54" t="e">
        <f>IF(AND(' RIESGOS DE GESTION'!#REF!="Media",' RIESGOS DE GESTION'!#REF!="Leve"),CONCATENATE("R5C",' RIESGOS DE GESTION'!#REF!),"")</f>
        <v>#REF!</v>
      </c>
      <c r="O30" s="55" t="e">
        <f>IF(AND(' RIESGOS DE GESTION'!#REF!="Media",' RIESGOS DE GESTION'!#REF!="Leve"),CONCATENATE("R5C",' RIESGOS DE GESTION'!#REF!),"")</f>
        <v>#REF!</v>
      </c>
      <c r="P30" s="53" t="e">
        <f>IF(AND(' RIESGOS DE GESTION'!#REF!="Media",' RIESGOS DE GESTION'!#REF!="Menor"),CONCATENATE("R5C",' RIESGOS DE GESTION'!#REF!),"")</f>
        <v>#REF!</v>
      </c>
      <c r="Q30" s="54" t="e">
        <f>IF(AND(' RIESGOS DE GESTION'!#REF!="Media",' RIESGOS DE GESTION'!#REF!="Menor"),CONCATENATE("R5C",' RIESGOS DE GESTION'!#REF!),"")</f>
        <v>#REF!</v>
      </c>
      <c r="R30" s="54" t="e">
        <f>IF(AND(' RIESGOS DE GESTION'!#REF!="Media",' RIESGOS DE GESTION'!#REF!="Menor"),CONCATENATE("R5C",' RIESGOS DE GESTION'!#REF!),"")</f>
        <v>#REF!</v>
      </c>
      <c r="S30" s="54" t="e">
        <f>IF(AND(' RIESGOS DE GESTION'!#REF!="Media",' RIESGOS DE GESTION'!#REF!="Menor"),CONCATENATE("R5C",' RIESGOS DE GESTION'!#REF!),"")</f>
        <v>#REF!</v>
      </c>
      <c r="T30" s="54" t="e">
        <f>IF(AND(' RIESGOS DE GESTION'!#REF!="Media",' RIESGOS DE GESTION'!#REF!="Menor"),CONCATENATE("R5C",' RIESGOS DE GESTION'!#REF!),"")</f>
        <v>#REF!</v>
      </c>
      <c r="U30" s="55" t="e">
        <f>IF(AND(' RIESGOS DE GESTION'!#REF!="Media",' RIESGOS DE GESTION'!#REF!="Menor"),CONCATENATE("R5C",' RIESGOS DE GESTION'!#REF!),"")</f>
        <v>#REF!</v>
      </c>
      <c r="V30" s="53" t="e">
        <f>IF(AND(' RIESGOS DE GESTION'!#REF!="Media",' RIESGOS DE GESTION'!#REF!="Moderado"),CONCATENATE("R5C",' RIESGOS DE GESTION'!#REF!),"")</f>
        <v>#REF!</v>
      </c>
      <c r="W30" s="54" t="e">
        <f>IF(AND(' RIESGOS DE GESTION'!#REF!="Media",' RIESGOS DE GESTION'!#REF!="Moderado"),CONCATENATE("R5C",' RIESGOS DE GESTION'!#REF!),"")</f>
        <v>#REF!</v>
      </c>
      <c r="X30" s="54" t="e">
        <f>IF(AND(' RIESGOS DE GESTION'!#REF!="Media",' RIESGOS DE GESTION'!#REF!="Moderado"),CONCATENATE("R5C",' RIESGOS DE GESTION'!#REF!),"")</f>
        <v>#REF!</v>
      </c>
      <c r="Y30" s="54" t="e">
        <f>IF(AND(' RIESGOS DE GESTION'!#REF!="Media",' RIESGOS DE GESTION'!#REF!="Moderado"),CONCATENATE("R5C",' RIESGOS DE GESTION'!#REF!),"")</f>
        <v>#REF!</v>
      </c>
      <c r="Z30" s="54" t="e">
        <f>IF(AND(' RIESGOS DE GESTION'!#REF!="Media",' RIESGOS DE GESTION'!#REF!="Moderado"),CONCATENATE("R5C",' RIESGOS DE GESTION'!#REF!),"")</f>
        <v>#REF!</v>
      </c>
      <c r="AA30" s="55" t="e">
        <f>IF(AND(' RIESGOS DE GESTION'!#REF!="Media",' RIESGOS DE GESTION'!#REF!="Moderado"),CONCATENATE("R5C",' RIESGOS DE GESTION'!#REF!),"")</f>
        <v>#REF!</v>
      </c>
      <c r="AB30" s="38" t="e">
        <f>IF(AND(' RIESGOS DE GESTION'!#REF!="Media",' RIESGOS DE GESTION'!#REF!="Mayor"),CONCATENATE("R5C",' RIESGOS DE GESTION'!#REF!),"")</f>
        <v>#REF!</v>
      </c>
      <c r="AC30" s="39" t="e">
        <f>IF(AND(' RIESGOS DE GESTION'!#REF!="Media",' RIESGOS DE GESTION'!#REF!="Mayor"),CONCATENATE("R5C",' RIESGOS DE GESTION'!#REF!),"")</f>
        <v>#REF!</v>
      </c>
      <c r="AD30" s="39" t="e">
        <f>IF(AND(' RIESGOS DE GESTION'!#REF!="Media",' RIESGOS DE GESTION'!#REF!="Mayor"),CONCATENATE("R5C",' RIESGOS DE GESTION'!#REF!),"")</f>
        <v>#REF!</v>
      </c>
      <c r="AE30" s="39" t="e">
        <f>IF(AND(' RIESGOS DE GESTION'!#REF!="Media",' RIESGOS DE GESTION'!#REF!="Mayor"),CONCATENATE("R5C",' RIESGOS DE GESTION'!#REF!),"")</f>
        <v>#REF!</v>
      </c>
      <c r="AF30" s="39" t="e">
        <f>IF(AND(' RIESGOS DE GESTION'!#REF!="Media",' RIESGOS DE GESTION'!#REF!="Mayor"),CONCATENATE("R5C",' RIESGOS DE GESTION'!#REF!),"")</f>
        <v>#REF!</v>
      </c>
      <c r="AG30" s="40" t="e">
        <f>IF(AND(' RIESGOS DE GESTION'!#REF!="Media",' RIESGOS DE GESTION'!#REF!="Mayor"),CONCATENATE("R5C",' RIESGOS DE GESTION'!#REF!),"")</f>
        <v>#REF!</v>
      </c>
      <c r="AH30" s="41" t="e">
        <f>IF(AND(' RIESGOS DE GESTION'!#REF!="Media",' RIESGOS DE GESTION'!#REF!="Catastrófico"),CONCATENATE("R5C",' RIESGOS DE GESTION'!#REF!),"")</f>
        <v>#REF!</v>
      </c>
      <c r="AI30" s="42" t="e">
        <f>IF(AND(' RIESGOS DE GESTION'!#REF!="Media",' RIESGOS DE GESTION'!#REF!="Catastrófico"),CONCATENATE("R5C",' RIESGOS DE GESTION'!#REF!),"")</f>
        <v>#REF!</v>
      </c>
      <c r="AJ30" s="42" t="e">
        <f>IF(AND(' RIESGOS DE GESTION'!#REF!="Media",' RIESGOS DE GESTION'!#REF!="Catastrófico"),CONCATENATE("R5C",' RIESGOS DE GESTION'!#REF!),"")</f>
        <v>#REF!</v>
      </c>
      <c r="AK30" s="42" t="e">
        <f>IF(AND(' RIESGOS DE GESTION'!#REF!="Media",' RIESGOS DE GESTION'!#REF!="Catastrófico"),CONCATENATE("R5C",' RIESGOS DE GESTION'!#REF!),"")</f>
        <v>#REF!</v>
      </c>
      <c r="AL30" s="42" t="e">
        <f>IF(AND(' RIESGOS DE GESTION'!#REF!="Media",' RIESGOS DE GESTION'!#REF!="Catastrófico"),CONCATENATE("R5C",' RIESGOS DE GESTION'!#REF!),"")</f>
        <v>#REF!</v>
      </c>
      <c r="AM30" s="43" t="e">
        <f>IF(AND(' RIESGOS DE GESTION'!#REF!="Media",' RIESGOS DE GESTION'!#REF!="Catastrófico"),CONCATENATE("R5C",' RIESGOS DE GESTION'!#REF!),"")</f>
        <v>#REF!</v>
      </c>
      <c r="AN30" s="69"/>
      <c r="AO30" s="711"/>
      <c r="AP30" s="712"/>
      <c r="AQ30" s="712"/>
      <c r="AR30" s="712"/>
      <c r="AS30" s="712"/>
      <c r="AT30" s="713"/>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583"/>
      <c r="C31" s="583"/>
      <c r="D31" s="584"/>
      <c r="E31" s="682"/>
      <c r="F31" s="681"/>
      <c r="G31" s="681"/>
      <c r="H31" s="681"/>
      <c r="I31" s="697"/>
      <c r="J31" s="53" t="e">
        <f>IF(AND(' RIESGOS DE GESTION'!#REF!="Media",' RIESGOS DE GESTION'!#REF!="Leve"),CONCATENATE("R6C",' RIESGOS DE GESTION'!#REF!),"")</f>
        <v>#REF!</v>
      </c>
      <c r="K31" s="54" t="e">
        <f>IF(AND(' RIESGOS DE GESTION'!#REF!="Media",' RIESGOS DE GESTION'!#REF!="Leve"),CONCATENATE("R6C",' RIESGOS DE GESTION'!#REF!),"")</f>
        <v>#REF!</v>
      </c>
      <c r="L31" s="54" t="e">
        <f>IF(AND(' RIESGOS DE GESTION'!#REF!="Media",' RIESGOS DE GESTION'!#REF!="Leve"),CONCATENATE("R6C",' RIESGOS DE GESTION'!#REF!),"")</f>
        <v>#REF!</v>
      </c>
      <c r="M31" s="54" t="e">
        <f>IF(AND(' RIESGOS DE GESTION'!#REF!="Media",' RIESGOS DE GESTION'!#REF!="Leve"),CONCATENATE("R6C",' RIESGOS DE GESTION'!#REF!),"")</f>
        <v>#REF!</v>
      </c>
      <c r="N31" s="54" t="e">
        <f>IF(AND(' RIESGOS DE GESTION'!#REF!="Media",' RIESGOS DE GESTION'!#REF!="Leve"),CONCATENATE("R6C",' RIESGOS DE GESTION'!#REF!),"")</f>
        <v>#REF!</v>
      </c>
      <c r="O31" s="55" t="e">
        <f>IF(AND(' RIESGOS DE GESTION'!#REF!="Media",' RIESGOS DE GESTION'!#REF!="Leve"),CONCATENATE("R6C",' RIESGOS DE GESTION'!#REF!),"")</f>
        <v>#REF!</v>
      </c>
      <c r="P31" s="53" t="e">
        <f>IF(AND(' RIESGOS DE GESTION'!#REF!="Media",' RIESGOS DE GESTION'!#REF!="Menor"),CONCATENATE("R6C",' RIESGOS DE GESTION'!#REF!),"")</f>
        <v>#REF!</v>
      </c>
      <c r="Q31" s="54" t="e">
        <f>IF(AND(' RIESGOS DE GESTION'!#REF!="Media",' RIESGOS DE GESTION'!#REF!="Menor"),CONCATENATE("R6C",' RIESGOS DE GESTION'!#REF!),"")</f>
        <v>#REF!</v>
      </c>
      <c r="R31" s="54" t="e">
        <f>IF(AND(' RIESGOS DE GESTION'!#REF!="Media",' RIESGOS DE GESTION'!#REF!="Menor"),CONCATENATE("R6C",' RIESGOS DE GESTION'!#REF!),"")</f>
        <v>#REF!</v>
      </c>
      <c r="S31" s="54" t="e">
        <f>IF(AND(' RIESGOS DE GESTION'!#REF!="Media",' RIESGOS DE GESTION'!#REF!="Menor"),CONCATENATE("R6C",' RIESGOS DE GESTION'!#REF!),"")</f>
        <v>#REF!</v>
      </c>
      <c r="T31" s="54" t="e">
        <f>IF(AND(' RIESGOS DE GESTION'!#REF!="Media",' RIESGOS DE GESTION'!#REF!="Menor"),CONCATENATE("R6C",' RIESGOS DE GESTION'!#REF!),"")</f>
        <v>#REF!</v>
      </c>
      <c r="U31" s="55" t="e">
        <f>IF(AND(' RIESGOS DE GESTION'!#REF!="Media",' RIESGOS DE GESTION'!#REF!="Menor"),CONCATENATE("R6C",' RIESGOS DE GESTION'!#REF!),"")</f>
        <v>#REF!</v>
      </c>
      <c r="V31" s="53" t="e">
        <f>IF(AND(' RIESGOS DE GESTION'!#REF!="Media",' RIESGOS DE GESTION'!#REF!="Moderado"),CONCATENATE("R6C",' RIESGOS DE GESTION'!#REF!),"")</f>
        <v>#REF!</v>
      </c>
      <c r="W31" s="54" t="e">
        <f>IF(AND(' RIESGOS DE GESTION'!#REF!="Media",' RIESGOS DE GESTION'!#REF!="Moderado"),CONCATENATE("R6C",' RIESGOS DE GESTION'!#REF!),"")</f>
        <v>#REF!</v>
      </c>
      <c r="X31" s="54" t="e">
        <f>IF(AND(' RIESGOS DE GESTION'!#REF!="Media",' RIESGOS DE GESTION'!#REF!="Moderado"),CONCATENATE("R6C",' RIESGOS DE GESTION'!#REF!),"")</f>
        <v>#REF!</v>
      </c>
      <c r="Y31" s="54" t="e">
        <f>IF(AND(' RIESGOS DE GESTION'!#REF!="Media",' RIESGOS DE GESTION'!#REF!="Moderado"),CONCATENATE("R6C",' RIESGOS DE GESTION'!#REF!),"")</f>
        <v>#REF!</v>
      </c>
      <c r="Z31" s="54" t="e">
        <f>IF(AND(' RIESGOS DE GESTION'!#REF!="Media",' RIESGOS DE GESTION'!#REF!="Moderado"),CONCATENATE("R6C",' RIESGOS DE GESTION'!#REF!),"")</f>
        <v>#REF!</v>
      </c>
      <c r="AA31" s="55" t="e">
        <f>IF(AND(' RIESGOS DE GESTION'!#REF!="Media",' RIESGOS DE GESTION'!#REF!="Moderado"),CONCATENATE("R6C",' RIESGOS DE GESTION'!#REF!),"")</f>
        <v>#REF!</v>
      </c>
      <c r="AB31" s="38" t="e">
        <f>IF(AND(' RIESGOS DE GESTION'!#REF!="Media",' RIESGOS DE GESTION'!#REF!="Mayor"),CONCATENATE("R6C",' RIESGOS DE GESTION'!#REF!),"")</f>
        <v>#REF!</v>
      </c>
      <c r="AC31" s="39" t="e">
        <f>IF(AND(' RIESGOS DE GESTION'!#REF!="Media",' RIESGOS DE GESTION'!#REF!="Mayor"),CONCATENATE("R6C",' RIESGOS DE GESTION'!#REF!),"")</f>
        <v>#REF!</v>
      </c>
      <c r="AD31" s="39" t="e">
        <f>IF(AND(' RIESGOS DE GESTION'!#REF!="Media",' RIESGOS DE GESTION'!#REF!="Mayor"),CONCATENATE("R6C",' RIESGOS DE GESTION'!#REF!),"")</f>
        <v>#REF!</v>
      </c>
      <c r="AE31" s="39" t="e">
        <f>IF(AND(' RIESGOS DE GESTION'!#REF!="Media",' RIESGOS DE GESTION'!#REF!="Mayor"),CONCATENATE("R6C",' RIESGOS DE GESTION'!#REF!),"")</f>
        <v>#REF!</v>
      </c>
      <c r="AF31" s="39" t="e">
        <f>IF(AND(' RIESGOS DE GESTION'!#REF!="Media",' RIESGOS DE GESTION'!#REF!="Mayor"),CONCATENATE("R6C",' RIESGOS DE GESTION'!#REF!),"")</f>
        <v>#REF!</v>
      </c>
      <c r="AG31" s="40" t="e">
        <f>IF(AND(' RIESGOS DE GESTION'!#REF!="Media",' RIESGOS DE GESTION'!#REF!="Mayor"),CONCATENATE("R6C",' RIESGOS DE GESTION'!#REF!),"")</f>
        <v>#REF!</v>
      </c>
      <c r="AH31" s="41" t="e">
        <f>IF(AND(' RIESGOS DE GESTION'!#REF!="Media",' RIESGOS DE GESTION'!#REF!="Catastrófico"),CONCATENATE("R6C",' RIESGOS DE GESTION'!#REF!),"")</f>
        <v>#REF!</v>
      </c>
      <c r="AI31" s="42" t="e">
        <f>IF(AND(' RIESGOS DE GESTION'!#REF!="Media",' RIESGOS DE GESTION'!#REF!="Catastrófico"),CONCATENATE("R6C",' RIESGOS DE GESTION'!#REF!),"")</f>
        <v>#REF!</v>
      </c>
      <c r="AJ31" s="42" t="e">
        <f>IF(AND(' RIESGOS DE GESTION'!#REF!="Media",' RIESGOS DE GESTION'!#REF!="Catastrófico"),CONCATENATE("R6C",' RIESGOS DE GESTION'!#REF!),"")</f>
        <v>#REF!</v>
      </c>
      <c r="AK31" s="42" t="e">
        <f>IF(AND(' RIESGOS DE GESTION'!#REF!="Media",' RIESGOS DE GESTION'!#REF!="Catastrófico"),CONCATENATE("R6C",' RIESGOS DE GESTION'!#REF!),"")</f>
        <v>#REF!</v>
      </c>
      <c r="AL31" s="42" t="e">
        <f>IF(AND(' RIESGOS DE GESTION'!#REF!="Media",' RIESGOS DE GESTION'!#REF!="Catastrófico"),CONCATENATE("R6C",' RIESGOS DE GESTION'!#REF!),"")</f>
        <v>#REF!</v>
      </c>
      <c r="AM31" s="43" t="e">
        <f>IF(AND(' RIESGOS DE GESTION'!#REF!="Media",' RIESGOS DE GESTION'!#REF!="Catastrófico"),CONCATENATE("R6C",' RIESGOS DE GESTION'!#REF!),"")</f>
        <v>#REF!</v>
      </c>
      <c r="AN31" s="69"/>
      <c r="AO31" s="711"/>
      <c r="AP31" s="712"/>
      <c r="AQ31" s="712"/>
      <c r="AR31" s="712"/>
      <c r="AS31" s="712"/>
      <c r="AT31" s="713"/>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583"/>
      <c r="C32" s="583"/>
      <c r="D32" s="584"/>
      <c r="E32" s="682"/>
      <c r="F32" s="681"/>
      <c r="G32" s="681"/>
      <c r="H32" s="681"/>
      <c r="I32" s="697"/>
      <c r="J32" s="53" t="e">
        <f>IF(AND(' RIESGOS DE GESTION'!#REF!="Media",' RIESGOS DE GESTION'!#REF!="Leve"),CONCATENATE("R7C",' RIESGOS DE GESTION'!#REF!),"")</f>
        <v>#REF!</v>
      </c>
      <c r="K32" s="54" t="e">
        <f>IF(AND(' RIESGOS DE GESTION'!#REF!="Media",' RIESGOS DE GESTION'!#REF!="Leve"),CONCATENATE("R7C",' RIESGOS DE GESTION'!#REF!),"")</f>
        <v>#REF!</v>
      </c>
      <c r="L32" s="54" t="e">
        <f>IF(AND(' RIESGOS DE GESTION'!#REF!="Media",' RIESGOS DE GESTION'!#REF!="Leve"),CONCATENATE("R7C",' RIESGOS DE GESTION'!#REF!),"")</f>
        <v>#REF!</v>
      </c>
      <c r="M32" s="54" t="e">
        <f>IF(AND(' RIESGOS DE GESTION'!#REF!="Media",' RIESGOS DE GESTION'!#REF!="Leve"),CONCATENATE("R7C",' RIESGOS DE GESTION'!#REF!),"")</f>
        <v>#REF!</v>
      </c>
      <c r="N32" s="54" t="e">
        <f>IF(AND(' RIESGOS DE GESTION'!#REF!="Media",' RIESGOS DE GESTION'!#REF!="Leve"),CONCATENATE("R7C",' RIESGOS DE GESTION'!#REF!),"")</f>
        <v>#REF!</v>
      </c>
      <c r="O32" s="55" t="e">
        <f>IF(AND(' RIESGOS DE GESTION'!#REF!="Media",' RIESGOS DE GESTION'!#REF!="Leve"),CONCATENATE("R7C",' RIESGOS DE GESTION'!#REF!),"")</f>
        <v>#REF!</v>
      </c>
      <c r="P32" s="53" t="e">
        <f>IF(AND(' RIESGOS DE GESTION'!#REF!="Media",' RIESGOS DE GESTION'!#REF!="Menor"),CONCATENATE("R7C",' RIESGOS DE GESTION'!#REF!),"")</f>
        <v>#REF!</v>
      </c>
      <c r="Q32" s="54" t="e">
        <f>IF(AND(' RIESGOS DE GESTION'!#REF!="Media",' RIESGOS DE GESTION'!#REF!="Menor"),CONCATENATE("R7C",' RIESGOS DE GESTION'!#REF!),"")</f>
        <v>#REF!</v>
      </c>
      <c r="R32" s="54" t="e">
        <f>IF(AND(' RIESGOS DE GESTION'!#REF!="Media",' RIESGOS DE GESTION'!#REF!="Menor"),CONCATENATE("R7C",' RIESGOS DE GESTION'!#REF!),"")</f>
        <v>#REF!</v>
      </c>
      <c r="S32" s="54" t="e">
        <f>IF(AND(' RIESGOS DE GESTION'!#REF!="Media",' RIESGOS DE GESTION'!#REF!="Menor"),CONCATENATE("R7C",' RIESGOS DE GESTION'!#REF!),"")</f>
        <v>#REF!</v>
      </c>
      <c r="T32" s="54" t="e">
        <f>IF(AND(' RIESGOS DE GESTION'!#REF!="Media",' RIESGOS DE GESTION'!#REF!="Menor"),CONCATENATE("R7C",' RIESGOS DE GESTION'!#REF!),"")</f>
        <v>#REF!</v>
      </c>
      <c r="U32" s="55" t="e">
        <f>IF(AND(' RIESGOS DE GESTION'!#REF!="Media",' RIESGOS DE GESTION'!#REF!="Menor"),CONCATENATE("R7C",' RIESGOS DE GESTION'!#REF!),"")</f>
        <v>#REF!</v>
      </c>
      <c r="V32" s="53" t="e">
        <f>IF(AND(' RIESGOS DE GESTION'!#REF!="Media",' RIESGOS DE GESTION'!#REF!="Moderado"),CONCATENATE("R7C",' RIESGOS DE GESTION'!#REF!),"")</f>
        <v>#REF!</v>
      </c>
      <c r="W32" s="54" t="e">
        <f>IF(AND(' RIESGOS DE GESTION'!#REF!="Media",' RIESGOS DE GESTION'!#REF!="Moderado"),CONCATENATE("R7C",' RIESGOS DE GESTION'!#REF!),"")</f>
        <v>#REF!</v>
      </c>
      <c r="X32" s="54" t="e">
        <f>IF(AND(' RIESGOS DE GESTION'!#REF!="Media",' RIESGOS DE GESTION'!#REF!="Moderado"),CONCATENATE("R7C",' RIESGOS DE GESTION'!#REF!),"")</f>
        <v>#REF!</v>
      </c>
      <c r="Y32" s="54" t="e">
        <f>IF(AND(' RIESGOS DE GESTION'!#REF!="Media",' RIESGOS DE GESTION'!#REF!="Moderado"),CONCATENATE("R7C",' RIESGOS DE GESTION'!#REF!),"")</f>
        <v>#REF!</v>
      </c>
      <c r="Z32" s="54" t="e">
        <f>IF(AND(' RIESGOS DE GESTION'!#REF!="Media",' RIESGOS DE GESTION'!#REF!="Moderado"),CONCATENATE("R7C",' RIESGOS DE GESTION'!#REF!),"")</f>
        <v>#REF!</v>
      </c>
      <c r="AA32" s="55" t="e">
        <f>IF(AND(' RIESGOS DE GESTION'!#REF!="Media",' RIESGOS DE GESTION'!#REF!="Moderado"),CONCATENATE("R7C",' RIESGOS DE GESTION'!#REF!),"")</f>
        <v>#REF!</v>
      </c>
      <c r="AB32" s="38" t="e">
        <f>IF(AND(' RIESGOS DE GESTION'!#REF!="Media",' RIESGOS DE GESTION'!#REF!="Mayor"),CONCATENATE("R7C",' RIESGOS DE GESTION'!#REF!),"")</f>
        <v>#REF!</v>
      </c>
      <c r="AC32" s="39" t="e">
        <f>IF(AND(' RIESGOS DE GESTION'!#REF!="Media",' RIESGOS DE GESTION'!#REF!="Mayor"),CONCATENATE("R7C",' RIESGOS DE GESTION'!#REF!),"")</f>
        <v>#REF!</v>
      </c>
      <c r="AD32" s="39" t="e">
        <f>IF(AND(' RIESGOS DE GESTION'!#REF!="Media",' RIESGOS DE GESTION'!#REF!="Mayor"),CONCATENATE("R7C",' RIESGOS DE GESTION'!#REF!),"")</f>
        <v>#REF!</v>
      </c>
      <c r="AE32" s="39" t="e">
        <f>IF(AND(' RIESGOS DE GESTION'!#REF!="Media",' RIESGOS DE GESTION'!#REF!="Mayor"),CONCATENATE("R7C",' RIESGOS DE GESTION'!#REF!),"")</f>
        <v>#REF!</v>
      </c>
      <c r="AF32" s="39" t="e">
        <f>IF(AND(' RIESGOS DE GESTION'!#REF!="Media",' RIESGOS DE GESTION'!#REF!="Mayor"),CONCATENATE("R7C",' RIESGOS DE GESTION'!#REF!),"")</f>
        <v>#REF!</v>
      </c>
      <c r="AG32" s="40" t="e">
        <f>IF(AND(' RIESGOS DE GESTION'!#REF!="Media",' RIESGOS DE GESTION'!#REF!="Mayor"),CONCATENATE("R7C",' RIESGOS DE GESTION'!#REF!),"")</f>
        <v>#REF!</v>
      </c>
      <c r="AH32" s="41" t="e">
        <f>IF(AND(' RIESGOS DE GESTION'!#REF!="Media",' RIESGOS DE GESTION'!#REF!="Catastrófico"),CONCATENATE("R7C",' RIESGOS DE GESTION'!#REF!),"")</f>
        <v>#REF!</v>
      </c>
      <c r="AI32" s="42" t="e">
        <f>IF(AND(' RIESGOS DE GESTION'!#REF!="Media",' RIESGOS DE GESTION'!#REF!="Catastrófico"),CONCATENATE("R7C",' RIESGOS DE GESTION'!#REF!),"")</f>
        <v>#REF!</v>
      </c>
      <c r="AJ32" s="42" t="e">
        <f>IF(AND(' RIESGOS DE GESTION'!#REF!="Media",' RIESGOS DE GESTION'!#REF!="Catastrófico"),CONCATENATE("R7C",' RIESGOS DE GESTION'!#REF!),"")</f>
        <v>#REF!</v>
      </c>
      <c r="AK32" s="42" t="e">
        <f>IF(AND(' RIESGOS DE GESTION'!#REF!="Media",' RIESGOS DE GESTION'!#REF!="Catastrófico"),CONCATENATE("R7C",' RIESGOS DE GESTION'!#REF!),"")</f>
        <v>#REF!</v>
      </c>
      <c r="AL32" s="42" t="e">
        <f>IF(AND(' RIESGOS DE GESTION'!#REF!="Media",' RIESGOS DE GESTION'!#REF!="Catastrófico"),CONCATENATE("R7C",' RIESGOS DE GESTION'!#REF!),"")</f>
        <v>#REF!</v>
      </c>
      <c r="AM32" s="43" t="e">
        <f>IF(AND(' RIESGOS DE GESTION'!#REF!="Media",' RIESGOS DE GESTION'!#REF!="Catastrófico"),CONCATENATE("R7C",' RIESGOS DE GESTION'!#REF!),"")</f>
        <v>#REF!</v>
      </c>
      <c r="AN32" s="69"/>
      <c r="AO32" s="711"/>
      <c r="AP32" s="712"/>
      <c r="AQ32" s="712"/>
      <c r="AR32" s="712"/>
      <c r="AS32" s="712"/>
      <c r="AT32" s="713"/>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583"/>
      <c r="C33" s="583"/>
      <c r="D33" s="584"/>
      <c r="E33" s="682"/>
      <c r="F33" s="681"/>
      <c r="G33" s="681"/>
      <c r="H33" s="681"/>
      <c r="I33" s="697"/>
      <c r="J33" s="53" t="e">
        <f>IF(AND(' RIESGOS DE GESTION'!#REF!="Media",' RIESGOS DE GESTION'!#REF!="Leve"),CONCATENATE("R8C",' RIESGOS DE GESTION'!#REF!),"")</f>
        <v>#REF!</v>
      </c>
      <c r="K33" s="54" t="e">
        <f>IF(AND(' RIESGOS DE GESTION'!#REF!="Media",' RIESGOS DE GESTION'!#REF!="Leve"),CONCATENATE("R8C",' RIESGOS DE GESTION'!#REF!),"")</f>
        <v>#REF!</v>
      </c>
      <c r="L33" s="54" t="e">
        <f>IF(AND(' RIESGOS DE GESTION'!#REF!="Media",' RIESGOS DE GESTION'!#REF!="Leve"),CONCATENATE("R8C",' RIESGOS DE GESTION'!#REF!),"")</f>
        <v>#REF!</v>
      </c>
      <c r="M33" s="54" t="e">
        <f>IF(AND(' RIESGOS DE GESTION'!#REF!="Media",' RIESGOS DE GESTION'!#REF!="Leve"),CONCATENATE("R8C",' RIESGOS DE GESTION'!#REF!),"")</f>
        <v>#REF!</v>
      </c>
      <c r="N33" s="54" t="e">
        <f>IF(AND(' RIESGOS DE GESTION'!#REF!="Media",' RIESGOS DE GESTION'!#REF!="Leve"),CONCATENATE("R8C",' RIESGOS DE GESTION'!#REF!),"")</f>
        <v>#REF!</v>
      </c>
      <c r="O33" s="55" t="e">
        <f>IF(AND(' RIESGOS DE GESTION'!#REF!="Media",' RIESGOS DE GESTION'!#REF!="Leve"),CONCATENATE("R8C",' RIESGOS DE GESTION'!#REF!),"")</f>
        <v>#REF!</v>
      </c>
      <c r="P33" s="53" t="e">
        <f>IF(AND(' RIESGOS DE GESTION'!#REF!="Media",' RIESGOS DE GESTION'!#REF!="Menor"),CONCATENATE("R8C",' RIESGOS DE GESTION'!#REF!),"")</f>
        <v>#REF!</v>
      </c>
      <c r="Q33" s="54" t="e">
        <f>IF(AND(' RIESGOS DE GESTION'!#REF!="Media",' RIESGOS DE GESTION'!#REF!="Menor"),CONCATENATE("R8C",' RIESGOS DE GESTION'!#REF!),"")</f>
        <v>#REF!</v>
      </c>
      <c r="R33" s="54" t="e">
        <f>IF(AND(' RIESGOS DE GESTION'!#REF!="Media",' RIESGOS DE GESTION'!#REF!="Menor"),CONCATENATE("R8C",' RIESGOS DE GESTION'!#REF!),"")</f>
        <v>#REF!</v>
      </c>
      <c r="S33" s="54" t="e">
        <f>IF(AND(' RIESGOS DE GESTION'!#REF!="Media",' RIESGOS DE GESTION'!#REF!="Menor"),CONCATENATE("R8C",' RIESGOS DE GESTION'!#REF!),"")</f>
        <v>#REF!</v>
      </c>
      <c r="T33" s="54" t="e">
        <f>IF(AND(' RIESGOS DE GESTION'!#REF!="Media",' RIESGOS DE GESTION'!#REF!="Menor"),CONCATENATE("R8C",' RIESGOS DE GESTION'!#REF!),"")</f>
        <v>#REF!</v>
      </c>
      <c r="U33" s="55" t="e">
        <f>IF(AND(' RIESGOS DE GESTION'!#REF!="Media",' RIESGOS DE GESTION'!#REF!="Menor"),CONCATENATE("R8C",' RIESGOS DE GESTION'!#REF!),"")</f>
        <v>#REF!</v>
      </c>
      <c r="V33" s="53" t="e">
        <f>IF(AND(' RIESGOS DE GESTION'!#REF!="Media",' RIESGOS DE GESTION'!#REF!="Moderado"),CONCATENATE("R8C",' RIESGOS DE GESTION'!#REF!),"")</f>
        <v>#REF!</v>
      </c>
      <c r="W33" s="54" t="e">
        <f>IF(AND(' RIESGOS DE GESTION'!#REF!="Media",' RIESGOS DE GESTION'!#REF!="Moderado"),CONCATENATE("R8C",' RIESGOS DE GESTION'!#REF!),"")</f>
        <v>#REF!</v>
      </c>
      <c r="X33" s="54" t="e">
        <f>IF(AND(' RIESGOS DE GESTION'!#REF!="Media",' RIESGOS DE GESTION'!#REF!="Moderado"),CONCATENATE("R8C",' RIESGOS DE GESTION'!#REF!),"")</f>
        <v>#REF!</v>
      </c>
      <c r="Y33" s="54" t="e">
        <f>IF(AND(' RIESGOS DE GESTION'!#REF!="Media",' RIESGOS DE GESTION'!#REF!="Moderado"),CONCATENATE("R8C",' RIESGOS DE GESTION'!#REF!),"")</f>
        <v>#REF!</v>
      </c>
      <c r="Z33" s="54" t="e">
        <f>IF(AND(' RIESGOS DE GESTION'!#REF!="Media",' RIESGOS DE GESTION'!#REF!="Moderado"),CONCATENATE("R8C",' RIESGOS DE GESTION'!#REF!),"")</f>
        <v>#REF!</v>
      </c>
      <c r="AA33" s="55" t="e">
        <f>IF(AND(' RIESGOS DE GESTION'!#REF!="Media",' RIESGOS DE GESTION'!#REF!="Moderado"),CONCATENATE("R8C",' RIESGOS DE GESTION'!#REF!),"")</f>
        <v>#REF!</v>
      </c>
      <c r="AB33" s="38" t="e">
        <f>IF(AND(' RIESGOS DE GESTION'!#REF!="Media",' RIESGOS DE GESTION'!#REF!="Mayor"),CONCATENATE("R8C",' RIESGOS DE GESTION'!#REF!),"")</f>
        <v>#REF!</v>
      </c>
      <c r="AC33" s="39" t="e">
        <f>IF(AND(' RIESGOS DE GESTION'!#REF!="Media",' RIESGOS DE GESTION'!#REF!="Mayor"),CONCATENATE("R8C",' RIESGOS DE GESTION'!#REF!),"")</f>
        <v>#REF!</v>
      </c>
      <c r="AD33" s="39" t="e">
        <f>IF(AND(' RIESGOS DE GESTION'!#REF!="Media",' RIESGOS DE GESTION'!#REF!="Mayor"),CONCATENATE("R8C",' RIESGOS DE GESTION'!#REF!),"")</f>
        <v>#REF!</v>
      </c>
      <c r="AE33" s="39" t="e">
        <f>IF(AND(' RIESGOS DE GESTION'!#REF!="Media",' RIESGOS DE GESTION'!#REF!="Mayor"),CONCATENATE("R8C",' RIESGOS DE GESTION'!#REF!),"")</f>
        <v>#REF!</v>
      </c>
      <c r="AF33" s="39" t="e">
        <f>IF(AND(' RIESGOS DE GESTION'!#REF!="Media",' RIESGOS DE GESTION'!#REF!="Mayor"),CONCATENATE("R8C",' RIESGOS DE GESTION'!#REF!),"")</f>
        <v>#REF!</v>
      </c>
      <c r="AG33" s="40" t="e">
        <f>IF(AND(' RIESGOS DE GESTION'!#REF!="Media",' RIESGOS DE GESTION'!#REF!="Mayor"),CONCATENATE("R8C",' RIESGOS DE GESTION'!#REF!),"")</f>
        <v>#REF!</v>
      </c>
      <c r="AH33" s="41" t="e">
        <f>IF(AND(' RIESGOS DE GESTION'!#REF!="Media",' RIESGOS DE GESTION'!#REF!="Catastrófico"),CONCATENATE("R8C",' RIESGOS DE GESTION'!#REF!),"")</f>
        <v>#REF!</v>
      </c>
      <c r="AI33" s="42" t="e">
        <f>IF(AND(' RIESGOS DE GESTION'!#REF!="Media",' RIESGOS DE GESTION'!#REF!="Catastrófico"),CONCATENATE("R8C",' RIESGOS DE GESTION'!#REF!),"")</f>
        <v>#REF!</v>
      </c>
      <c r="AJ33" s="42" t="e">
        <f>IF(AND(' RIESGOS DE GESTION'!#REF!="Media",' RIESGOS DE GESTION'!#REF!="Catastrófico"),CONCATENATE("R8C",' RIESGOS DE GESTION'!#REF!),"")</f>
        <v>#REF!</v>
      </c>
      <c r="AK33" s="42" t="e">
        <f>IF(AND(' RIESGOS DE GESTION'!#REF!="Media",' RIESGOS DE GESTION'!#REF!="Catastrófico"),CONCATENATE("R8C",' RIESGOS DE GESTION'!#REF!),"")</f>
        <v>#REF!</v>
      </c>
      <c r="AL33" s="42" t="e">
        <f>IF(AND(' RIESGOS DE GESTION'!#REF!="Media",' RIESGOS DE GESTION'!#REF!="Catastrófico"),CONCATENATE("R8C",' RIESGOS DE GESTION'!#REF!),"")</f>
        <v>#REF!</v>
      </c>
      <c r="AM33" s="43" t="e">
        <f>IF(AND(' RIESGOS DE GESTION'!#REF!="Media",' RIESGOS DE GESTION'!#REF!="Catastrófico"),CONCATENATE("R8C",' RIESGOS DE GESTION'!#REF!),"")</f>
        <v>#REF!</v>
      </c>
      <c r="AN33" s="69"/>
      <c r="AO33" s="711"/>
      <c r="AP33" s="712"/>
      <c r="AQ33" s="712"/>
      <c r="AR33" s="712"/>
      <c r="AS33" s="712"/>
      <c r="AT33" s="713"/>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583"/>
      <c r="C34" s="583"/>
      <c r="D34" s="584"/>
      <c r="E34" s="682"/>
      <c r="F34" s="681"/>
      <c r="G34" s="681"/>
      <c r="H34" s="681"/>
      <c r="I34" s="697"/>
      <c r="J34" s="53" t="e">
        <f>IF(AND(' RIESGOS DE GESTION'!#REF!="Media",' RIESGOS DE GESTION'!#REF!="Leve"),CONCATENATE("R9C",' RIESGOS DE GESTION'!#REF!),"")</f>
        <v>#REF!</v>
      </c>
      <c r="K34" s="54" t="e">
        <f>IF(AND(' RIESGOS DE GESTION'!#REF!="Media",' RIESGOS DE GESTION'!#REF!="Leve"),CONCATENATE("R9C",' RIESGOS DE GESTION'!#REF!),"")</f>
        <v>#REF!</v>
      </c>
      <c r="L34" s="54" t="e">
        <f>IF(AND(' RIESGOS DE GESTION'!#REF!="Media",' RIESGOS DE GESTION'!#REF!="Leve"),CONCATENATE("R9C",' RIESGOS DE GESTION'!#REF!),"")</f>
        <v>#REF!</v>
      </c>
      <c r="M34" s="54" t="e">
        <f>IF(AND(' RIESGOS DE GESTION'!#REF!="Media",' RIESGOS DE GESTION'!#REF!="Leve"),CONCATENATE("R9C",' RIESGOS DE GESTION'!#REF!),"")</f>
        <v>#REF!</v>
      </c>
      <c r="N34" s="54" t="e">
        <f>IF(AND(' RIESGOS DE GESTION'!#REF!="Media",' RIESGOS DE GESTION'!#REF!="Leve"),CONCATENATE("R9C",' RIESGOS DE GESTION'!#REF!),"")</f>
        <v>#REF!</v>
      </c>
      <c r="O34" s="55" t="e">
        <f>IF(AND(' RIESGOS DE GESTION'!#REF!="Media",' RIESGOS DE GESTION'!#REF!="Leve"),CONCATENATE("R9C",' RIESGOS DE GESTION'!#REF!),"")</f>
        <v>#REF!</v>
      </c>
      <c r="P34" s="53" t="e">
        <f>IF(AND(' RIESGOS DE GESTION'!#REF!="Media",' RIESGOS DE GESTION'!#REF!="Menor"),CONCATENATE("R9C",' RIESGOS DE GESTION'!#REF!),"")</f>
        <v>#REF!</v>
      </c>
      <c r="Q34" s="54" t="e">
        <f>IF(AND(' RIESGOS DE GESTION'!#REF!="Media",' RIESGOS DE GESTION'!#REF!="Menor"),CONCATENATE("R9C",' RIESGOS DE GESTION'!#REF!),"")</f>
        <v>#REF!</v>
      </c>
      <c r="R34" s="54" t="e">
        <f>IF(AND(' RIESGOS DE GESTION'!#REF!="Media",' RIESGOS DE GESTION'!#REF!="Menor"),CONCATENATE("R9C",' RIESGOS DE GESTION'!#REF!),"")</f>
        <v>#REF!</v>
      </c>
      <c r="S34" s="54" t="e">
        <f>IF(AND(' RIESGOS DE GESTION'!#REF!="Media",' RIESGOS DE GESTION'!#REF!="Menor"),CONCATENATE("R9C",' RIESGOS DE GESTION'!#REF!),"")</f>
        <v>#REF!</v>
      </c>
      <c r="T34" s="54" t="e">
        <f>IF(AND(' RIESGOS DE GESTION'!#REF!="Media",' RIESGOS DE GESTION'!#REF!="Menor"),CONCATENATE("R9C",' RIESGOS DE GESTION'!#REF!),"")</f>
        <v>#REF!</v>
      </c>
      <c r="U34" s="55" t="e">
        <f>IF(AND(' RIESGOS DE GESTION'!#REF!="Media",' RIESGOS DE GESTION'!#REF!="Menor"),CONCATENATE("R9C",' RIESGOS DE GESTION'!#REF!),"")</f>
        <v>#REF!</v>
      </c>
      <c r="V34" s="53" t="e">
        <f>IF(AND(' RIESGOS DE GESTION'!#REF!="Media",' RIESGOS DE GESTION'!#REF!="Moderado"),CONCATENATE("R9C",' RIESGOS DE GESTION'!#REF!),"")</f>
        <v>#REF!</v>
      </c>
      <c r="W34" s="54" t="e">
        <f>IF(AND(' RIESGOS DE GESTION'!#REF!="Media",' RIESGOS DE GESTION'!#REF!="Moderado"),CONCATENATE("R9C",' RIESGOS DE GESTION'!#REF!),"")</f>
        <v>#REF!</v>
      </c>
      <c r="X34" s="54" t="e">
        <f>IF(AND(' RIESGOS DE GESTION'!#REF!="Media",' RIESGOS DE GESTION'!#REF!="Moderado"),CONCATENATE("R9C",' RIESGOS DE GESTION'!#REF!),"")</f>
        <v>#REF!</v>
      </c>
      <c r="Y34" s="54" t="e">
        <f>IF(AND(' RIESGOS DE GESTION'!#REF!="Media",' RIESGOS DE GESTION'!#REF!="Moderado"),CONCATENATE("R9C",' RIESGOS DE GESTION'!#REF!),"")</f>
        <v>#REF!</v>
      </c>
      <c r="Z34" s="54" t="e">
        <f>IF(AND(' RIESGOS DE GESTION'!#REF!="Media",' RIESGOS DE GESTION'!#REF!="Moderado"),CONCATENATE("R9C",' RIESGOS DE GESTION'!#REF!),"")</f>
        <v>#REF!</v>
      </c>
      <c r="AA34" s="55" t="e">
        <f>IF(AND(' RIESGOS DE GESTION'!#REF!="Media",' RIESGOS DE GESTION'!#REF!="Moderado"),CONCATENATE("R9C",' RIESGOS DE GESTION'!#REF!),"")</f>
        <v>#REF!</v>
      </c>
      <c r="AB34" s="38" t="e">
        <f>IF(AND(' RIESGOS DE GESTION'!#REF!="Media",' RIESGOS DE GESTION'!#REF!="Mayor"),CONCATENATE("R9C",' RIESGOS DE GESTION'!#REF!),"")</f>
        <v>#REF!</v>
      </c>
      <c r="AC34" s="39" t="e">
        <f>IF(AND(' RIESGOS DE GESTION'!#REF!="Media",' RIESGOS DE GESTION'!#REF!="Mayor"),CONCATENATE("R9C",' RIESGOS DE GESTION'!#REF!),"")</f>
        <v>#REF!</v>
      </c>
      <c r="AD34" s="39" t="e">
        <f>IF(AND(' RIESGOS DE GESTION'!#REF!="Media",' RIESGOS DE GESTION'!#REF!="Mayor"),CONCATENATE("R9C",' RIESGOS DE GESTION'!#REF!),"")</f>
        <v>#REF!</v>
      </c>
      <c r="AE34" s="39" t="e">
        <f>IF(AND(' RIESGOS DE GESTION'!#REF!="Media",' RIESGOS DE GESTION'!#REF!="Mayor"),CONCATENATE("R9C",' RIESGOS DE GESTION'!#REF!),"")</f>
        <v>#REF!</v>
      </c>
      <c r="AF34" s="39" t="e">
        <f>IF(AND(' RIESGOS DE GESTION'!#REF!="Media",' RIESGOS DE GESTION'!#REF!="Mayor"),CONCATENATE("R9C",' RIESGOS DE GESTION'!#REF!),"")</f>
        <v>#REF!</v>
      </c>
      <c r="AG34" s="40" t="e">
        <f>IF(AND(' RIESGOS DE GESTION'!#REF!="Media",' RIESGOS DE GESTION'!#REF!="Mayor"),CONCATENATE("R9C",' RIESGOS DE GESTION'!#REF!),"")</f>
        <v>#REF!</v>
      </c>
      <c r="AH34" s="41" t="e">
        <f>IF(AND(' RIESGOS DE GESTION'!#REF!="Media",' RIESGOS DE GESTION'!#REF!="Catastrófico"),CONCATENATE("R9C",' RIESGOS DE GESTION'!#REF!),"")</f>
        <v>#REF!</v>
      </c>
      <c r="AI34" s="42" t="e">
        <f>IF(AND(' RIESGOS DE GESTION'!#REF!="Media",' RIESGOS DE GESTION'!#REF!="Catastrófico"),CONCATENATE("R9C",' RIESGOS DE GESTION'!#REF!),"")</f>
        <v>#REF!</v>
      </c>
      <c r="AJ34" s="42" t="e">
        <f>IF(AND(' RIESGOS DE GESTION'!#REF!="Media",' RIESGOS DE GESTION'!#REF!="Catastrófico"),CONCATENATE("R9C",' RIESGOS DE GESTION'!#REF!),"")</f>
        <v>#REF!</v>
      </c>
      <c r="AK34" s="42" t="e">
        <f>IF(AND(' RIESGOS DE GESTION'!#REF!="Media",' RIESGOS DE GESTION'!#REF!="Catastrófico"),CONCATENATE("R9C",' RIESGOS DE GESTION'!#REF!),"")</f>
        <v>#REF!</v>
      </c>
      <c r="AL34" s="42" t="e">
        <f>IF(AND(' RIESGOS DE GESTION'!#REF!="Media",' RIESGOS DE GESTION'!#REF!="Catastrófico"),CONCATENATE("R9C",' RIESGOS DE GESTION'!#REF!),"")</f>
        <v>#REF!</v>
      </c>
      <c r="AM34" s="43" t="e">
        <f>IF(AND(' RIESGOS DE GESTION'!#REF!="Media",' RIESGOS DE GESTION'!#REF!="Catastrófico"),CONCATENATE("R9C",' RIESGOS DE GESTION'!#REF!),"")</f>
        <v>#REF!</v>
      </c>
      <c r="AN34" s="69"/>
      <c r="AO34" s="711"/>
      <c r="AP34" s="712"/>
      <c r="AQ34" s="712"/>
      <c r="AR34" s="712"/>
      <c r="AS34" s="712"/>
      <c r="AT34" s="713"/>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583"/>
      <c r="C35" s="583"/>
      <c r="D35" s="584"/>
      <c r="E35" s="683"/>
      <c r="F35" s="684"/>
      <c r="G35" s="684"/>
      <c r="H35" s="684"/>
      <c r="I35" s="698"/>
      <c r="J35" s="53" t="e">
        <f>IF(AND(' RIESGOS DE GESTION'!#REF!="Media",' RIESGOS DE GESTION'!#REF!="Leve"),CONCATENATE("R10C",' RIESGOS DE GESTION'!#REF!),"")</f>
        <v>#REF!</v>
      </c>
      <c r="K35" s="54" t="e">
        <f>IF(AND(' RIESGOS DE GESTION'!#REF!="Media",' RIESGOS DE GESTION'!#REF!="Leve"),CONCATENATE("R10C",' RIESGOS DE GESTION'!#REF!),"")</f>
        <v>#REF!</v>
      </c>
      <c r="L35" s="54" t="e">
        <f>IF(AND(' RIESGOS DE GESTION'!#REF!="Media",' RIESGOS DE GESTION'!#REF!="Leve"),CONCATENATE("R10C",' RIESGOS DE GESTION'!#REF!),"")</f>
        <v>#REF!</v>
      </c>
      <c r="M35" s="54" t="e">
        <f>IF(AND(' RIESGOS DE GESTION'!#REF!="Media",' RIESGOS DE GESTION'!#REF!="Leve"),CONCATENATE("R10C",' RIESGOS DE GESTION'!#REF!),"")</f>
        <v>#REF!</v>
      </c>
      <c r="N35" s="54" t="e">
        <f>IF(AND(' RIESGOS DE GESTION'!#REF!="Media",' RIESGOS DE GESTION'!#REF!="Leve"),CONCATENATE("R10C",' RIESGOS DE GESTION'!#REF!),"")</f>
        <v>#REF!</v>
      </c>
      <c r="O35" s="55" t="e">
        <f>IF(AND(' RIESGOS DE GESTION'!#REF!="Media",' RIESGOS DE GESTION'!#REF!="Leve"),CONCATENATE("R10C",' RIESGOS DE GESTION'!#REF!),"")</f>
        <v>#REF!</v>
      </c>
      <c r="P35" s="53" t="e">
        <f>IF(AND(' RIESGOS DE GESTION'!#REF!="Media",' RIESGOS DE GESTION'!#REF!="Menor"),CONCATENATE("R10C",' RIESGOS DE GESTION'!#REF!),"")</f>
        <v>#REF!</v>
      </c>
      <c r="Q35" s="54" t="e">
        <f>IF(AND(' RIESGOS DE GESTION'!#REF!="Media",' RIESGOS DE GESTION'!#REF!="Menor"),CONCATENATE("R10C",' RIESGOS DE GESTION'!#REF!),"")</f>
        <v>#REF!</v>
      </c>
      <c r="R35" s="54" t="e">
        <f>IF(AND(' RIESGOS DE GESTION'!#REF!="Media",' RIESGOS DE GESTION'!#REF!="Menor"),CONCATENATE("R10C",' RIESGOS DE GESTION'!#REF!),"")</f>
        <v>#REF!</v>
      </c>
      <c r="S35" s="54" t="e">
        <f>IF(AND(' RIESGOS DE GESTION'!#REF!="Media",' RIESGOS DE GESTION'!#REF!="Menor"),CONCATENATE("R10C",' RIESGOS DE GESTION'!#REF!),"")</f>
        <v>#REF!</v>
      </c>
      <c r="T35" s="54" t="e">
        <f>IF(AND(' RIESGOS DE GESTION'!#REF!="Media",' RIESGOS DE GESTION'!#REF!="Menor"),CONCATENATE("R10C",' RIESGOS DE GESTION'!#REF!),"")</f>
        <v>#REF!</v>
      </c>
      <c r="U35" s="55" t="e">
        <f>IF(AND(' RIESGOS DE GESTION'!#REF!="Media",' RIESGOS DE GESTION'!#REF!="Menor"),CONCATENATE("R10C",' RIESGOS DE GESTION'!#REF!),"")</f>
        <v>#REF!</v>
      </c>
      <c r="V35" s="53" t="e">
        <f>IF(AND(' RIESGOS DE GESTION'!#REF!="Media",' RIESGOS DE GESTION'!#REF!="Moderado"),CONCATENATE("R10C",' RIESGOS DE GESTION'!#REF!),"")</f>
        <v>#REF!</v>
      </c>
      <c r="W35" s="54" t="e">
        <f>IF(AND(' RIESGOS DE GESTION'!#REF!="Media",' RIESGOS DE GESTION'!#REF!="Moderado"),CONCATENATE("R10C",' RIESGOS DE GESTION'!#REF!),"")</f>
        <v>#REF!</v>
      </c>
      <c r="X35" s="54" t="e">
        <f>IF(AND(' RIESGOS DE GESTION'!#REF!="Media",' RIESGOS DE GESTION'!#REF!="Moderado"),CONCATENATE("R10C",' RIESGOS DE GESTION'!#REF!),"")</f>
        <v>#REF!</v>
      </c>
      <c r="Y35" s="54" t="e">
        <f>IF(AND(' RIESGOS DE GESTION'!#REF!="Media",' RIESGOS DE GESTION'!#REF!="Moderado"),CONCATENATE("R10C",' RIESGOS DE GESTION'!#REF!),"")</f>
        <v>#REF!</v>
      </c>
      <c r="Z35" s="54" t="e">
        <f>IF(AND(' RIESGOS DE GESTION'!#REF!="Media",' RIESGOS DE GESTION'!#REF!="Moderado"),CONCATENATE("R10C",' RIESGOS DE GESTION'!#REF!),"")</f>
        <v>#REF!</v>
      </c>
      <c r="AA35" s="55" t="e">
        <f>IF(AND(' RIESGOS DE GESTION'!#REF!="Media",' RIESGOS DE GESTION'!#REF!="Moderado"),CONCATENATE("R10C",' RIESGOS DE GESTION'!#REF!),"")</f>
        <v>#REF!</v>
      </c>
      <c r="AB35" s="44" t="e">
        <f>IF(AND(' RIESGOS DE GESTION'!#REF!="Media",' RIESGOS DE GESTION'!#REF!="Mayor"),CONCATENATE("R10C",' RIESGOS DE GESTION'!#REF!),"")</f>
        <v>#REF!</v>
      </c>
      <c r="AC35" s="45" t="e">
        <f>IF(AND(' RIESGOS DE GESTION'!#REF!="Media",' RIESGOS DE GESTION'!#REF!="Mayor"),CONCATENATE("R10C",' RIESGOS DE GESTION'!#REF!),"")</f>
        <v>#REF!</v>
      </c>
      <c r="AD35" s="45" t="e">
        <f>IF(AND(' RIESGOS DE GESTION'!#REF!="Media",' RIESGOS DE GESTION'!#REF!="Mayor"),CONCATENATE("R10C",' RIESGOS DE GESTION'!#REF!),"")</f>
        <v>#REF!</v>
      </c>
      <c r="AE35" s="45" t="e">
        <f>IF(AND(' RIESGOS DE GESTION'!#REF!="Media",' RIESGOS DE GESTION'!#REF!="Mayor"),CONCATENATE("R10C",' RIESGOS DE GESTION'!#REF!),"")</f>
        <v>#REF!</v>
      </c>
      <c r="AF35" s="45" t="e">
        <f>IF(AND(' RIESGOS DE GESTION'!#REF!="Media",' RIESGOS DE GESTION'!#REF!="Mayor"),CONCATENATE("R10C",' RIESGOS DE GESTION'!#REF!),"")</f>
        <v>#REF!</v>
      </c>
      <c r="AG35" s="46" t="e">
        <f>IF(AND(' RIESGOS DE GESTION'!#REF!="Media",' RIESGOS DE GESTION'!#REF!="Mayor"),CONCATENATE("R10C",' RIESGOS DE GESTION'!#REF!),"")</f>
        <v>#REF!</v>
      </c>
      <c r="AH35" s="47" t="e">
        <f>IF(AND(' RIESGOS DE GESTION'!#REF!="Media",' RIESGOS DE GESTION'!#REF!="Catastrófico"),CONCATENATE("R10C",' RIESGOS DE GESTION'!#REF!),"")</f>
        <v>#REF!</v>
      </c>
      <c r="AI35" s="48" t="e">
        <f>IF(AND(' RIESGOS DE GESTION'!#REF!="Media",' RIESGOS DE GESTION'!#REF!="Catastrófico"),CONCATENATE("R10C",' RIESGOS DE GESTION'!#REF!),"")</f>
        <v>#REF!</v>
      </c>
      <c r="AJ35" s="48" t="e">
        <f>IF(AND(' RIESGOS DE GESTION'!#REF!="Media",' RIESGOS DE GESTION'!#REF!="Catastrófico"),CONCATENATE("R10C",' RIESGOS DE GESTION'!#REF!),"")</f>
        <v>#REF!</v>
      </c>
      <c r="AK35" s="48" t="e">
        <f>IF(AND(' RIESGOS DE GESTION'!#REF!="Media",' RIESGOS DE GESTION'!#REF!="Catastrófico"),CONCATENATE("R10C",' RIESGOS DE GESTION'!#REF!),"")</f>
        <v>#REF!</v>
      </c>
      <c r="AL35" s="48" t="e">
        <f>IF(AND(' RIESGOS DE GESTION'!#REF!="Media",' RIESGOS DE GESTION'!#REF!="Catastrófico"),CONCATENATE("R10C",' RIESGOS DE GESTION'!#REF!),"")</f>
        <v>#REF!</v>
      </c>
      <c r="AM35" s="49" t="e">
        <f>IF(AND(' RIESGOS DE GESTION'!#REF!="Media",' RIESGOS DE GESTION'!#REF!="Catastrófico"),CONCATENATE("R10C",' RIESGOS DE GESTION'!#REF!),"")</f>
        <v>#REF!</v>
      </c>
      <c r="AN35" s="69"/>
      <c r="AO35" s="714"/>
      <c r="AP35" s="715"/>
      <c r="AQ35" s="715"/>
      <c r="AR35" s="715"/>
      <c r="AS35" s="715"/>
      <c r="AT35" s="716"/>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583"/>
      <c r="C36" s="583"/>
      <c r="D36" s="584"/>
      <c r="E36" s="678" t="s">
        <v>421</v>
      </c>
      <c r="F36" s="679"/>
      <c r="G36" s="679"/>
      <c r="H36" s="679"/>
      <c r="I36" s="679"/>
      <c r="J36" s="59" t="e">
        <f>IF(AND(' RIESGOS DE GESTION'!#REF!="Baja",' RIESGOS DE GESTION'!#REF!="Leve"),CONCATENATE("R1C",' RIESGOS DE GESTION'!#REF!),"")</f>
        <v>#REF!</v>
      </c>
      <c r="K36" s="60" t="e">
        <f>IF(AND(' RIESGOS DE GESTION'!#REF!="Baja",' RIESGOS DE GESTION'!#REF!="Leve"),CONCATENATE("R1C",' RIESGOS DE GESTION'!#REF!),"")</f>
        <v>#REF!</v>
      </c>
      <c r="L36" s="60" t="e">
        <f>IF(AND(' RIESGOS DE GESTION'!#REF!="Baja",' RIESGOS DE GESTION'!#REF!="Leve"),CONCATENATE("R1C",' RIESGOS DE GESTION'!#REF!),"")</f>
        <v>#REF!</v>
      </c>
      <c r="M36" s="60" t="e">
        <f>IF(AND(' RIESGOS DE GESTION'!#REF!="Baja",' RIESGOS DE GESTION'!#REF!="Leve"),CONCATENATE("R1C",' RIESGOS DE GESTION'!#REF!),"")</f>
        <v>#REF!</v>
      </c>
      <c r="N36" s="60" t="e">
        <f>IF(AND(' RIESGOS DE GESTION'!#REF!="Baja",' RIESGOS DE GESTION'!#REF!="Leve"),CONCATENATE("R1C",' RIESGOS DE GESTION'!#REF!),"")</f>
        <v>#REF!</v>
      </c>
      <c r="O36" s="61" t="e">
        <f>IF(AND(' RIESGOS DE GESTION'!#REF!="Baja",' RIESGOS DE GESTION'!#REF!="Leve"),CONCATENATE("R1C",' RIESGOS DE GESTION'!#REF!),"")</f>
        <v>#REF!</v>
      </c>
      <c r="P36" s="50" t="e">
        <f>IF(AND(' RIESGOS DE GESTION'!#REF!="Baja",' RIESGOS DE GESTION'!#REF!="Menor"),CONCATENATE("R1C",' RIESGOS DE GESTION'!#REF!),"")</f>
        <v>#REF!</v>
      </c>
      <c r="Q36" s="51" t="e">
        <f>IF(AND(' RIESGOS DE GESTION'!#REF!="Baja",' RIESGOS DE GESTION'!#REF!="Menor"),CONCATENATE("R1C",' RIESGOS DE GESTION'!#REF!),"")</f>
        <v>#REF!</v>
      </c>
      <c r="R36" s="51" t="e">
        <f>IF(AND(' RIESGOS DE GESTION'!#REF!="Baja",' RIESGOS DE GESTION'!#REF!="Menor"),CONCATENATE("R1C",' RIESGOS DE GESTION'!#REF!),"")</f>
        <v>#REF!</v>
      </c>
      <c r="S36" s="51" t="e">
        <f>IF(AND(' RIESGOS DE GESTION'!#REF!="Baja",' RIESGOS DE GESTION'!#REF!="Menor"),CONCATENATE("R1C",' RIESGOS DE GESTION'!#REF!),"")</f>
        <v>#REF!</v>
      </c>
      <c r="T36" s="51" t="e">
        <f>IF(AND(' RIESGOS DE GESTION'!#REF!="Baja",' RIESGOS DE GESTION'!#REF!="Menor"),CONCATENATE("R1C",' RIESGOS DE GESTION'!#REF!),"")</f>
        <v>#REF!</v>
      </c>
      <c r="U36" s="52" t="e">
        <f>IF(AND(' RIESGOS DE GESTION'!#REF!="Baja",' RIESGOS DE GESTION'!#REF!="Menor"),CONCATENATE("R1C",' RIESGOS DE GESTION'!#REF!),"")</f>
        <v>#REF!</v>
      </c>
      <c r="V36" s="50" t="e">
        <f>IF(AND(' RIESGOS DE GESTION'!#REF!="Baja",' RIESGOS DE GESTION'!#REF!="Moderado"),CONCATENATE("R1C",' RIESGOS DE GESTION'!#REF!),"")</f>
        <v>#REF!</v>
      </c>
      <c r="W36" s="51" t="e">
        <f>IF(AND(' RIESGOS DE GESTION'!#REF!="Baja",' RIESGOS DE GESTION'!#REF!="Moderado"),CONCATENATE("R1C",' RIESGOS DE GESTION'!#REF!),"")</f>
        <v>#REF!</v>
      </c>
      <c r="X36" s="51" t="e">
        <f>IF(AND(' RIESGOS DE GESTION'!#REF!="Baja",' RIESGOS DE GESTION'!#REF!="Moderado"),CONCATENATE("R1C",' RIESGOS DE GESTION'!#REF!),"")</f>
        <v>#REF!</v>
      </c>
      <c r="Y36" s="51" t="e">
        <f>IF(AND(' RIESGOS DE GESTION'!#REF!="Baja",' RIESGOS DE GESTION'!#REF!="Moderado"),CONCATENATE("R1C",' RIESGOS DE GESTION'!#REF!),"")</f>
        <v>#REF!</v>
      </c>
      <c r="Z36" s="51" t="e">
        <f>IF(AND(' RIESGOS DE GESTION'!#REF!="Baja",' RIESGOS DE GESTION'!#REF!="Moderado"),CONCATENATE("R1C",' RIESGOS DE GESTION'!#REF!),"")</f>
        <v>#REF!</v>
      </c>
      <c r="AA36" s="52" t="e">
        <f>IF(AND(' RIESGOS DE GESTION'!#REF!="Baja",' RIESGOS DE GESTION'!#REF!="Moderado"),CONCATENATE("R1C",' RIESGOS DE GESTION'!#REF!),"")</f>
        <v>#REF!</v>
      </c>
      <c r="AB36" s="32" t="e">
        <f>IF(AND(' RIESGOS DE GESTION'!#REF!="Baja",' RIESGOS DE GESTION'!#REF!="Mayor"),CONCATENATE("R1C",' RIESGOS DE GESTION'!#REF!),"")</f>
        <v>#REF!</v>
      </c>
      <c r="AC36" s="33" t="e">
        <f>IF(AND(' RIESGOS DE GESTION'!#REF!="Baja",' RIESGOS DE GESTION'!#REF!="Mayor"),CONCATENATE("R1C",' RIESGOS DE GESTION'!#REF!),"")</f>
        <v>#REF!</v>
      </c>
      <c r="AD36" s="33" t="e">
        <f>IF(AND(' RIESGOS DE GESTION'!#REF!="Baja",' RIESGOS DE GESTION'!#REF!="Mayor"),CONCATENATE("R1C",' RIESGOS DE GESTION'!#REF!),"")</f>
        <v>#REF!</v>
      </c>
      <c r="AE36" s="33" t="e">
        <f>IF(AND(' RIESGOS DE GESTION'!#REF!="Baja",' RIESGOS DE GESTION'!#REF!="Mayor"),CONCATENATE("R1C",' RIESGOS DE GESTION'!#REF!),"")</f>
        <v>#REF!</v>
      </c>
      <c r="AF36" s="33" t="e">
        <f>IF(AND(' RIESGOS DE GESTION'!#REF!="Baja",' RIESGOS DE GESTION'!#REF!="Mayor"),CONCATENATE("R1C",' RIESGOS DE GESTION'!#REF!),"")</f>
        <v>#REF!</v>
      </c>
      <c r="AG36" s="34" t="e">
        <f>IF(AND(' RIESGOS DE GESTION'!#REF!="Baja",' RIESGOS DE GESTION'!#REF!="Mayor"),CONCATENATE("R1C",' RIESGOS DE GESTION'!#REF!),"")</f>
        <v>#REF!</v>
      </c>
      <c r="AH36" s="35" t="e">
        <f>IF(AND(' RIESGOS DE GESTION'!#REF!="Baja",' RIESGOS DE GESTION'!#REF!="Catastrófico"),CONCATENATE("R1C",' RIESGOS DE GESTION'!#REF!),"")</f>
        <v>#REF!</v>
      </c>
      <c r="AI36" s="36" t="e">
        <f>IF(AND(' RIESGOS DE GESTION'!#REF!="Baja",' RIESGOS DE GESTION'!#REF!="Catastrófico"),CONCATENATE("R1C",' RIESGOS DE GESTION'!#REF!),"")</f>
        <v>#REF!</v>
      </c>
      <c r="AJ36" s="36" t="e">
        <f>IF(AND(' RIESGOS DE GESTION'!#REF!="Baja",' RIESGOS DE GESTION'!#REF!="Catastrófico"),CONCATENATE("R1C",' RIESGOS DE GESTION'!#REF!),"")</f>
        <v>#REF!</v>
      </c>
      <c r="AK36" s="36" t="e">
        <f>IF(AND(' RIESGOS DE GESTION'!#REF!="Baja",' RIESGOS DE GESTION'!#REF!="Catastrófico"),CONCATENATE("R1C",' RIESGOS DE GESTION'!#REF!),"")</f>
        <v>#REF!</v>
      </c>
      <c r="AL36" s="36" t="e">
        <f>IF(AND(' RIESGOS DE GESTION'!#REF!="Baja",' RIESGOS DE GESTION'!#REF!="Catastrófico"),CONCATENATE("R1C",' RIESGOS DE GESTION'!#REF!),"")</f>
        <v>#REF!</v>
      </c>
      <c r="AM36" s="37" t="e">
        <f>IF(AND(' RIESGOS DE GESTION'!#REF!="Baja",' RIESGOS DE GESTION'!#REF!="Catastrófico"),CONCATENATE("R1C",' RIESGOS DE GESTION'!#REF!),"")</f>
        <v>#REF!</v>
      </c>
      <c r="AN36" s="69"/>
      <c r="AO36" s="699" t="s">
        <v>422</v>
      </c>
      <c r="AP36" s="700"/>
      <c r="AQ36" s="700"/>
      <c r="AR36" s="700"/>
      <c r="AS36" s="700"/>
      <c r="AT36" s="701"/>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583"/>
      <c r="C37" s="583"/>
      <c r="D37" s="584"/>
      <c r="E37" s="680"/>
      <c r="F37" s="681"/>
      <c r="G37" s="681"/>
      <c r="H37" s="681"/>
      <c r="I37" s="681"/>
      <c r="J37" s="62" t="e">
        <f>IF(AND(' RIESGOS DE GESTION'!#REF!="Baja",' RIESGOS DE GESTION'!#REF!="Leve"),CONCATENATE("R2C",' RIESGOS DE GESTION'!#REF!),"")</f>
        <v>#REF!</v>
      </c>
      <c r="K37" s="63" t="e">
        <f>IF(AND(' RIESGOS DE GESTION'!#REF!="Baja",' RIESGOS DE GESTION'!#REF!="Leve"),CONCATENATE("R2C",' RIESGOS DE GESTION'!#REF!),"")</f>
        <v>#REF!</v>
      </c>
      <c r="L37" s="63" t="e">
        <f>IF(AND(' RIESGOS DE GESTION'!#REF!="Baja",' RIESGOS DE GESTION'!#REF!="Leve"),CONCATENATE("R2C",' RIESGOS DE GESTION'!#REF!),"")</f>
        <v>#REF!</v>
      </c>
      <c r="M37" s="63" t="e">
        <f>IF(AND(' RIESGOS DE GESTION'!#REF!="Baja",' RIESGOS DE GESTION'!#REF!="Leve"),CONCATENATE("R2C",' RIESGOS DE GESTION'!#REF!),"")</f>
        <v>#REF!</v>
      </c>
      <c r="N37" s="63" t="e">
        <f>IF(AND(' RIESGOS DE GESTION'!#REF!="Baja",' RIESGOS DE GESTION'!#REF!="Leve"),CONCATENATE("R2C",' RIESGOS DE GESTION'!#REF!),"")</f>
        <v>#REF!</v>
      </c>
      <c r="O37" s="64" t="e">
        <f>IF(AND(' RIESGOS DE GESTION'!#REF!="Baja",' RIESGOS DE GESTION'!#REF!="Leve"),CONCATENATE("R2C",' RIESGOS DE GESTION'!#REF!),"")</f>
        <v>#REF!</v>
      </c>
      <c r="P37" s="53" t="e">
        <f>IF(AND(' RIESGOS DE GESTION'!#REF!="Baja",' RIESGOS DE GESTION'!#REF!="Menor"),CONCATENATE("R2C",' RIESGOS DE GESTION'!#REF!),"")</f>
        <v>#REF!</v>
      </c>
      <c r="Q37" s="54" t="e">
        <f>IF(AND(' RIESGOS DE GESTION'!#REF!="Baja",' RIESGOS DE GESTION'!#REF!="Menor"),CONCATENATE("R2C",' RIESGOS DE GESTION'!#REF!),"")</f>
        <v>#REF!</v>
      </c>
      <c r="R37" s="54" t="e">
        <f>IF(AND(' RIESGOS DE GESTION'!#REF!="Baja",' RIESGOS DE GESTION'!#REF!="Menor"),CONCATENATE("R2C",' RIESGOS DE GESTION'!#REF!),"")</f>
        <v>#REF!</v>
      </c>
      <c r="S37" s="54" t="e">
        <f>IF(AND(' RIESGOS DE GESTION'!#REF!="Baja",' RIESGOS DE GESTION'!#REF!="Menor"),CONCATENATE("R2C",' RIESGOS DE GESTION'!#REF!),"")</f>
        <v>#REF!</v>
      </c>
      <c r="T37" s="54" t="e">
        <f>IF(AND(' RIESGOS DE GESTION'!#REF!="Baja",' RIESGOS DE GESTION'!#REF!="Menor"),CONCATENATE("R2C",' RIESGOS DE GESTION'!#REF!),"")</f>
        <v>#REF!</v>
      </c>
      <c r="U37" s="55" t="e">
        <f>IF(AND(' RIESGOS DE GESTION'!#REF!="Baja",' RIESGOS DE GESTION'!#REF!="Menor"),CONCATENATE("R2C",' RIESGOS DE GESTION'!#REF!),"")</f>
        <v>#REF!</v>
      </c>
      <c r="V37" s="53" t="e">
        <f>IF(AND(' RIESGOS DE GESTION'!#REF!="Baja",' RIESGOS DE GESTION'!#REF!="Moderado"),CONCATENATE("R2C",' RIESGOS DE GESTION'!#REF!),"")</f>
        <v>#REF!</v>
      </c>
      <c r="W37" s="54" t="e">
        <f>IF(AND(' RIESGOS DE GESTION'!#REF!="Baja",' RIESGOS DE GESTION'!#REF!="Moderado"),CONCATENATE("R2C",' RIESGOS DE GESTION'!#REF!),"")</f>
        <v>#REF!</v>
      </c>
      <c r="X37" s="54" t="e">
        <f>IF(AND(' RIESGOS DE GESTION'!#REF!="Baja",' RIESGOS DE GESTION'!#REF!="Moderado"),CONCATENATE("R2C",' RIESGOS DE GESTION'!#REF!),"")</f>
        <v>#REF!</v>
      </c>
      <c r="Y37" s="54" t="e">
        <f>IF(AND(' RIESGOS DE GESTION'!#REF!="Baja",' RIESGOS DE GESTION'!#REF!="Moderado"),CONCATENATE("R2C",' RIESGOS DE GESTION'!#REF!),"")</f>
        <v>#REF!</v>
      </c>
      <c r="Z37" s="54" t="e">
        <f>IF(AND(' RIESGOS DE GESTION'!#REF!="Baja",' RIESGOS DE GESTION'!#REF!="Moderado"),CONCATENATE("R2C",' RIESGOS DE GESTION'!#REF!),"")</f>
        <v>#REF!</v>
      </c>
      <c r="AA37" s="55" t="e">
        <f>IF(AND(' RIESGOS DE GESTION'!#REF!="Baja",' RIESGOS DE GESTION'!#REF!="Moderado"),CONCATENATE("R2C",' RIESGOS DE GESTION'!#REF!),"")</f>
        <v>#REF!</v>
      </c>
      <c r="AB37" s="38" t="e">
        <f>IF(AND(' RIESGOS DE GESTION'!#REF!="Baja",' RIESGOS DE GESTION'!#REF!="Mayor"),CONCATENATE("R2C",' RIESGOS DE GESTION'!#REF!),"")</f>
        <v>#REF!</v>
      </c>
      <c r="AC37" s="39" t="e">
        <f>IF(AND(' RIESGOS DE GESTION'!#REF!="Baja",' RIESGOS DE GESTION'!#REF!="Mayor"),CONCATENATE("R2C",' RIESGOS DE GESTION'!#REF!),"")</f>
        <v>#REF!</v>
      </c>
      <c r="AD37" s="39" t="e">
        <f>IF(AND(' RIESGOS DE GESTION'!#REF!="Baja",' RIESGOS DE GESTION'!#REF!="Mayor"),CONCATENATE("R2C",' RIESGOS DE GESTION'!#REF!),"")</f>
        <v>#REF!</v>
      </c>
      <c r="AE37" s="39" t="e">
        <f>IF(AND(' RIESGOS DE GESTION'!#REF!="Baja",' RIESGOS DE GESTION'!#REF!="Mayor"),CONCATENATE("R2C",' RIESGOS DE GESTION'!#REF!),"")</f>
        <v>#REF!</v>
      </c>
      <c r="AF37" s="39" t="e">
        <f>IF(AND(' RIESGOS DE GESTION'!#REF!="Baja",' RIESGOS DE GESTION'!#REF!="Mayor"),CONCATENATE("R2C",' RIESGOS DE GESTION'!#REF!),"")</f>
        <v>#REF!</v>
      </c>
      <c r="AG37" s="40" t="e">
        <f>IF(AND(' RIESGOS DE GESTION'!#REF!="Baja",' RIESGOS DE GESTION'!#REF!="Mayor"),CONCATENATE("R2C",' RIESGOS DE GESTION'!#REF!),"")</f>
        <v>#REF!</v>
      </c>
      <c r="AH37" s="41" t="e">
        <f>IF(AND(' RIESGOS DE GESTION'!#REF!="Baja",' RIESGOS DE GESTION'!#REF!="Catastrófico"),CONCATENATE("R2C",' RIESGOS DE GESTION'!#REF!),"")</f>
        <v>#REF!</v>
      </c>
      <c r="AI37" s="42" t="e">
        <f>IF(AND(' RIESGOS DE GESTION'!#REF!="Baja",' RIESGOS DE GESTION'!#REF!="Catastrófico"),CONCATENATE("R2C",' RIESGOS DE GESTION'!#REF!),"")</f>
        <v>#REF!</v>
      </c>
      <c r="AJ37" s="42" t="e">
        <f>IF(AND(' RIESGOS DE GESTION'!#REF!="Baja",' RIESGOS DE GESTION'!#REF!="Catastrófico"),CONCATENATE("R2C",' RIESGOS DE GESTION'!#REF!),"")</f>
        <v>#REF!</v>
      </c>
      <c r="AK37" s="42" t="e">
        <f>IF(AND(' RIESGOS DE GESTION'!#REF!="Baja",' RIESGOS DE GESTION'!#REF!="Catastrófico"),CONCATENATE("R2C",' RIESGOS DE GESTION'!#REF!),"")</f>
        <v>#REF!</v>
      </c>
      <c r="AL37" s="42" t="e">
        <f>IF(AND(' RIESGOS DE GESTION'!#REF!="Baja",' RIESGOS DE GESTION'!#REF!="Catastrófico"),CONCATENATE("R2C",' RIESGOS DE GESTION'!#REF!),"")</f>
        <v>#REF!</v>
      </c>
      <c r="AM37" s="43" t="e">
        <f>IF(AND(' RIESGOS DE GESTION'!#REF!="Baja",' RIESGOS DE GESTION'!#REF!="Catastrófico"),CONCATENATE("R2C",' RIESGOS DE GESTION'!#REF!),"")</f>
        <v>#REF!</v>
      </c>
      <c r="AN37" s="69"/>
      <c r="AO37" s="702"/>
      <c r="AP37" s="703"/>
      <c r="AQ37" s="703"/>
      <c r="AR37" s="703"/>
      <c r="AS37" s="703"/>
      <c r="AT37" s="704"/>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583"/>
      <c r="C38" s="583"/>
      <c r="D38" s="584"/>
      <c r="E38" s="682"/>
      <c r="F38" s="681"/>
      <c r="G38" s="681"/>
      <c r="H38" s="681"/>
      <c r="I38" s="681"/>
      <c r="J38" s="62" t="e">
        <f>IF(AND(' RIESGOS DE GESTION'!#REF!="Baja",' RIESGOS DE GESTION'!#REF!="Leve"),CONCATENATE("R3C",' RIESGOS DE GESTION'!#REF!),"")</f>
        <v>#REF!</v>
      </c>
      <c r="K38" s="63" t="e">
        <f>IF(AND(' RIESGOS DE GESTION'!#REF!="Baja",' RIESGOS DE GESTION'!#REF!="Leve"),CONCATENATE("R3C",' RIESGOS DE GESTION'!#REF!),"")</f>
        <v>#REF!</v>
      </c>
      <c r="L38" s="63" t="e">
        <f>IF(AND(' RIESGOS DE GESTION'!#REF!="Baja",' RIESGOS DE GESTION'!#REF!="Leve"),CONCATENATE("R3C",' RIESGOS DE GESTION'!#REF!),"")</f>
        <v>#REF!</v>
      </c>
      <c r="M38" s="63" t="e">
        <f>IF(AND(' RIESGOS DE GESTION'!#REF!="Baja",' RIESGOS DE GESTION'!#REF!="Leve"),CONCATENATE("R3C",' RIESGOS DE GESTION'!#REF!),"")</f>
        <v>#REF!</v>
      </c>
      <c r="N38" s="63" t="e">
        <f>IF(AND(' RIESGOS DE GESTION'!#REF!="Baja",' RIESGOS DE GESTION'!#REF!="Leve"),CONCATENATE("R3C",' RIESGOS DE GESTION'!#REF!),"")</f>
        <v>#REF!</v>
      </c>
      <c r="O38" s="64" t="e">
        <f>IF(AND(' RIESGOS DE GESTION'!#REF!="Baja",' RIESGOS DE GESTION'!#REF!="Leve"),CONCATENATE("R3C",' RIESGOS DE GESTION'!#REF!),"")</f>
        <v>#REF!</v>
      </c>
      <c r="P38" s="53" t="e">
        <f>IF(AND(' RIESGOS DE GESTION'!#REF!="Baja",' RIESGOS DE GESTION'!#REF!="Menor"),CONCATENATE("R3C",' RIESGOS DE GESTION'!#REF!),"")</f>
        <v>#REF!</v>
      </c>
      <c r="Q38" s="54" t="e">
        <f>IF(AND(' RIESGOS DE GESTION'!#REF!="Baja",' RIESGOS DE GESTION'!#REF!="Menor"),CONCATENATE("R3C",' RIESGOS DE GESTION'!#REF!),"")</f>
        <v>#REF!</v>
      </c>
      <c r="R38" s="54" t="e">
        <f>IF(AND(' RIESGOS DE GESTION'!#REF!="Baja",' RIESGOS DE GESTION'!#REF!="Menor"),CONCATENATE("R3C",' RIESGOS DE GESTION'!#REF!),"")</f>
        <v>#REF!</v>
      </c>
      <c r="S38" s="54" t="e">
        <f>IF(AND(' RIESGOS DE GESTION'!#REF!="Baja",' RIESGOS DE GESTION'!#REF!="Menor"),CONCATENATE("R3C",' RIESGOS DE GESTION'!#REF!),"")</f>
        <v>#REF!</v>
      </c>
      <c r="T38" s="54" t="e">
        <f>IF(AND(' RIESGOS DE GESTION'!#REF!="Baja",' RIESGOS DE GESTION'!#REF!="Menor"),CONCATENATE("R3C",' RIESGOS DE GESTION'!#REF!),"")</f>
        <v>#REF!</v>
      </c>
      <c r="U38" s="55" t="e">
        <f>IF(AND(' RIESGOS DE GESTION'!#REF!="Baja",' RIESGOS DE GESTION'!#REF!="Menor"),CONCATENATE("R3C",' RIESGOS DE GESTION'!#REF!),"")</f>
        <v>#REF!</v>
      </c>
      <c r="V38" s="53" t="e">
        <f>IF(AND(' RIESGOS DE GESTION'!#REF!="Baja",' RIESGOS DE GESTION'!#REF!="Moderado"),CONCATENATE("R3C",' RIESGOS DE GESTION'!#REF!),"")</f>
        <v>#REF!</v>
      </c>
      <c r="W38" s="54" t="e">
        <f>IF(AND(' RIESGOS DE GESTION'!#REF!="Baja",' RIESGOS DE GESTION'!#REF!="Moderado"),CONCATENATE("R3C",' RIESGOS DE GESTION'!#REF!),"")</f>
        <v>#REF!</v>
      </c>
      <c r="X38" s="54" t="e">
        <f>IF(AND(' RIESGOS DE GESTION'!#REF!="Baja",' RIESGOS DE GESTION'!#REF!="Moderado"),CONCATENATE("R3C",' RIESGOS DE GESTION'!#REF!),"")</f>
        <v>#REF!</v>
      </c>
      <c r="Y38" s="54" t="e">
        <f>IF(AND(' RIESGOS DE GESTION'!#REF!="Baja",' RIESGOS DE GESTION'!#REF!="Moderado"),CONCATENATE("R3C",' RIESGOS DE GESTION'!#REF!),"")</f>
        <v>#REF!</v>
      </c>
      <c r="Z38" s="54" t="e">
        <f>IF(AND(' RIESGOS DE GESTION'!#REF!="Baja",' RIESGOS DE GESTION'!#REF!="Moderado"),CONCATENATE("R3C",' RIESGOS DE GESTION'!#REF!),"")</f>
        <v>#REF!</v>
      </c>
      <c r="AA38" s="55" t="e">
        <f>IF(AND(' RIESGOS DE GESTION'!#REF!="Baja",' RIESGOS DE GESTION'!#REF!="Moderado"),CONCATENATE("R3C",' RIESGOS DE GESTION'!#REF!),"")</f>
        <v>#REF!</v>
      </c>
      <c r="AB38" s="38" t="e">
        <f>IF(AND(' RIESGOS DE GESTION'!#REF!="Baja",' RIESGOS DE GESTION'!#REF!="Mayor"),CONCATENATE("R3C",' RIESGOS DE GESTION'!#REF!),"")</f>
        <v>#REF!</v>
      </c>
      <c r="AC38" s="39" t="e">
        <f>IF(AND(' RIESGOS DE GESTION'!#REF!="Baja",' RIESGOS DE GESTION'!#REF!="Mayor"),CONCATENATE("R3C",' RIESGOS DE GESTION'!#REF!),"")</f>
        <v>#REF!</v>
      </c>
      <c r="AD38" s="39" t="e">
        <f>IF(AND(' RIESGOS DE GESTION'!#REF!="Baja",' RIESGOS DE GESTION'!#REF!="Mayor"),CONCATENATE("R3C",' RIESGOS DE GESTION'!#REF!),"")</f>
        <v>#REF!</v>
      </c>
      <c r="AE38" s="39" t="e">
        <f>IF(AND(' RIESGOS DE GESTION'!#REF!="Baja",' RIESGOS DE GESTION'!#REF!="Mayor"),CONCATENATE("R3C",' RIESGOS DE GESTION'!#REF!),"")</f>
        <v>#REF!</v>
      </c>
      <c r="AF38" s="39" t="e">
        <f>IF(AND(' RIESGOS DE GESTION'!#REF!="Baja",' RIESGOS DE GESTION'!#REF!="Mayor"),CONCATENATE("R3C",' RIESGOS DE GESTION'!#REF!),"")</f>
        <v>#REF!</v>
      </c>
      <c r="AG38" s="40" t="e">
        <f>IF(AND(' RIESGOS DE GESTION'!#REF!="Baja",' RIESGOS DE GESTION'!#REF!="Mayor"),CONCATENATE("R3C",' RIESGOS DE GESTION'!#REF!),"")</f>
        <v>#REF!</v>
      </c>
      <c r="AH38" s="41" t="e">
        <f>IF(AND(' RIESGOS DE GESTION'!#REF!="Baja",' RIESGOS DE GESTION'!#REF!="Catastrófico"),CONCATENATE("R3C",' RIESGOS DE GESTION'!#REF!),"")</f>
        <v>#REF!</v>
      </c>
      <c r="AI38" s="42" t="e">
        <f>IF(AND(' RIESGOS DE GESTION'!#REF!="Baja",' RIESGOS DE GESTION'!#REF!="Catastrófico"),CONCATENATE("R3C",' RIESGOS DE GESTION'!#REF!),"")</f>
        <v>#REF!</v>
      </c>
      <c r="AJ38" s="42" t="e">
        <f>IF(AND(' RIESGOS DE GESTION'!#REF!="Baja",' RIESGOS DE GESTION'!#REF!="Catastrófico"),CONCATENATE("R3C",' RIESGOS DE GESTION'!#REF!),"")</f>
        <v>#REF!</v>
      </c>
      <c r="AK38" s="42" t="e">
        <f>IF(AND(' RIESGOS DE GESTION'!#REF!="Baja",' RIESGOS DE GESTION'!#REF!="Catastrófico"),CONCATENATE("R3C",' RIESGOS DE GESTION'!#REF!),"")</f>
        <v>#REF!</v>
      </c>
      <c r="AL38" s="42" t="e">
        <f>IF(AND(' RIESGOS DE GESTION'!#REF!="Baja",' RIESGOS DE GESTION'!#REF!="Catastrófico"),CONCATENATE("R3C",' RIESGOS DE GESTION'!#REF!),"")</f>
        <v>#REF!</v>
      </c>
      <c r="AM38" s="43" t="e">
        <f>IF(AND(' RIESGOS DE GESTION'!#REF!="Baja",' RIESGOS DE GESTION'!#REF!="Catastrófico"),CONCATENATE("R3C",' RIESGOS DE GESTION'!#REF!),"")</f>
        <v>#REF!</v>
      </c>
      <c r="AN38" s="69"/>
      <c r="AO38" s="702"/>
      <c r="AP38" s="703"/>
      <c r="AQ38" s="703"/>
      <c r="AR38" s="703"/>
      <c r="AS38" s="703"/>
      <c r="AT38" s="704"/>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583"/>
      <c r="C39" s="583"/>
      <c r="D39" s="584"/>
      <c r="E39" s="682"/>
      <c r="F39" s="681"/>
      <c r="G39" s="681"/>
      <c r="H39" s="681"/>
      <c r="I39" s="681"/>
      <c r="J39" s="62" t="e">
        <f>IF(AND(' RIESGOS DE GESTION'!#REF!="Baja",' RIESGOS DE GESTION'!#REF!="Leve"),CONCATENATE("R4C",' RIESGOS DE GESTION'!#REF!),"")</f>
        <v>#REF!</v>
      </c>
      <c r="K39" s="63" t="e">
        <f>IF(AND(' RIESGOS DE GESTION'!#REF!="Baja",' RIESGOS DE GESTION'!#REF!="Leve"),CONCATENATE("R4C",' RIESGOS DE GESTION'!#REF!),"")</f>
        <v>#REF!</v>
      </c>
      <c r="L39" s="63" t="e">
        <f>IF(AND(' RIESGOS DE GESTION'!#REF!="Baja",' RIESGOS DE GESTION'!#REF!="Leve"),CONCATENATE("R4C",' RIESGOS DE GESTION'!#REF!),"")</f>
        <v>#REF!</v>
      </c>
      <c r="M39" s="63" t="e">
        <f>IF(AND(' RIESGOS DE GESTION'!#REF!="Baja",' RIESGOS DE GESTION'!#REF!="Leve"),CONCATENATE("R4C",' RIESGOS DE GESTION'!#REF!),"")</f>
        <v>#REF!</v>
      </c>
      <c r="N39" s="63" t="e">
        <f>IF(AND(' RIESGOS DE GESTION'!#REF!="Baja",' RIESGOS DE GESTION'!#REF!="Leve"),CONCATENATE("R4C",' RIESGOS DE GESTION'!#REF!),"")</f>
        <v>#REF!</v>
      </c>
      <c r="O39" s="64" t="e">
        <f>IF(AND(' RIESGOS DE GESTION'!#REF!="Baja",' RIESGOS DE GESTION'!#REF!="Leve"),CONCATENATE("R4C",' RIESGOS DE GESTION'!#REF!),"")</f>
        <v>#REF!</v>
      </c>
      <c r="P39" s="53" t="e">
        <f>IF(AND(' RIESGOS DE GESTION'!#REF!="Baja",' RIESGOS DE GESTION'!#REF!="Menor"),CONCATENATE("R4C",' RIESGOS DE GESTION'!#REF!),"")</f>
        <v>#REF!</v>
      </c>
      <c r="Q39" s="54" t="e">
        <f>IF(AND(' RIESGOS DE GESTION'!#REF!="Baja",' RIESGOS DE GESTION'!#REF!="Menor"),CONCATENATE("R4C",' RIESGOS DE GESTION'!#REF!),"")</f>
        <v>#REF!</v>
      </c>
      <c r="R39" s="54" t="e">
        <f>IF(AND(' RIESGOS DE GESTION'!#REF!="Baja",' RIESGOS DE GESTION'!#REF!="Menor"),CONCATENATE("R4C",' RIESGOS DE GESTION'!#REF!),"")</f>
        <v>#REF!</v>
      </c>
      <c r="S39" s="54" t="e">
        <f>IF(AND(' RIESGOS DE GESTION'!#REF!="Baja",' RIESGOS DE GESTION'!#REF!="Menor"),CONCATENATE("R4C",' RIESGOS DE GESTION'!#REF!),"")</f>
        <v>#REF!</v>
      </c>
      <c r="T39" s="54" t="e">
        <f>IF(AND(' RIESGOS DE GESTION'!#REF!="Baja",' RIESGOS DE GESTION'!#REF!="Menor"),CONCATENATE("R4C",' RIESGOS DE GESTION'!#REF!),"")</f>
        <v>#REF!</v>
      </c>
      <c r="U39" s="55" t="e">
        <f>IF(AND(' RIESGOS DE GESTION'!#REF!="Baja",' RIESGOS DE GESTION'!#REF!="Menor"),CONCATENATE("R4C",' RIESGOS DE GESTION'!#REF!),"")</f>
        <v>#REF!</v>
      </c>
      <c r="V39" s="53" t="e">
        <f>IF(AND(' RIESGOS DE GESTION'!#REF!="Baja",' RIESGOS DE GESTION'!#REF!="Moderado"),CONCATENATE("R4C",' RIESGOS DE GESTION'!#REF!),"")</f>
        <v>#REF!</v>
      </c>
      <c r="W39" s="54" t="e">
        <f>IF(AND(' RIESGOS DE GESTION'!#REF!="Baja",' RIESGOS DE GESTION'!#REF!="Moderado"),CONCATENATE("R4C",' RIESGOS DE GESTION'!#REF!),"")</f>
        <v>#REF!</v>
      </c>
      <c r="X39" s="54" t="e">
        <f>IF(AND(' RIESGOS DE GESTION'!#REF!="Baja",' RIESGOS DE GESTION'!#REF!="Moderado"),CONCATENATE("R4C",' RIESGOS DE GESTION'!#REF!),"")</f>
        <v>#REF!</v>
      </c>
      <c r="Y39" s="54" t="e">
        <f>IF(AND(' RIESGOS DE GESTION'!#REF!="Baja",' RIESGOS DE GESTION'!#REF!="Moderado"),CONCATENATE("R4C",' RIESGOS DE GESTION'!#REF!),"")</f>
        <v>#REF!</v>
      </c>
      <c r="Z39" s="54" t="e">
        <f>IF(AND(' RIESGOS DE GESTION'!#REF!="Baja",' RIESGOS DE GESTION'!#REF!="Moderado"),CONCATENATE("R4C",' RIESGOS DE GESTION'!#REF!),"")</f>
        <v>#REF!</v>
      </c>
      <c r="AA39" s="55" t="e">
        <f>IF(AND(' RIESGOS DE GESTION'!#REF!="Baja",' RIESGOS DE GESTION'!#REF!="Moderado"),CONCATENATE("R4C",' RIESGOS DE GESTION'!#REF!),"")</f>
        <v>#REF!</v>
      </c>
      <c r="AB39" s="38" t="e">
        <f>IF(AND(' RIESGOS DE GESTION'!#REF!="Baja",' RIESGOS DE GESTION'!#REF!="Mayor"),CONCATENATE("R4C",' RIESGOS DE GESTION'!#REF!),"")</f>
        <v>#REF!</v>
      </c>
      <c r="AC39" s="39" t="e">
        <f>IF(AND(' RIESGOS DE GESTION'!#REF!="Baja",' RIESGOS DE GESTION'!#REF!="Mayor"),CONCATENATE("R4C",' RIESGOS DE GESTION'!#REF!),"")</f>
        <v>#REF!</v>
      </c>
      <c r="AD39" s="39" t="e">
        <f>IF(AND(' RIESGOS DE GESTION'!#REF!="Baja",' RIESGOS DE GESTION'!#REF!="Mayor"),CONCATENATE("R4C",' RIESGOS DE GESTION'!#REF!),"")</f>
        <v>#REF!</v>
      </c>
      <c r="AE39" s="39" t="e">
        <f>IF(AND(' RIESGOS DE GESTION'!#REF!="Baja",' RIESGOS DE GESTION'!#REF!="Mayor"),CONCATENATE("R4C",' RIESGOS DE GESTION'!#REF!),"")</f>
        <v>#REF!</v>
      </c>
      <c r="AF39" s="39" t="e">
        <f>IF(AND(' RIESGOS DE GESTION'!#REF!="Baja",' RIESGOS DE GESTION'!#REF!="Mayor"),CONCATENATE("R4C",' RIESGOS DE GESTION'!#REF!),"")</f>
        <v>#REF!</v>
      </c>
      <c r="AG39" s="40" t="e">
        <f>IF(AND(' RIESGOS DE GESTION'!#REF!="Baja",' RIESGOS DE GESTION'!#REF!="Mayor"),CONCATENATE("R4C",' RIESGOS DE GESTION'!#REF!),"")</f>
        <v>#REF!</v>
      </c>
      <c r="AH39" s="41" t="e">
        <f>IF(AND(' RIESGOS DE GESTION'!#REF!="Baja",' RIESGOS DE GESTION'!#REF!="Catastrófico"),CONCATENATE("R4C",' RIESGOS DE GESTION'!#REF!),"")</f>
        <v>#REF!</v>
      </c>
      <c r="AI39" s="42" t="e">
        <f>IF(AND(' RIESGOS DE GESTION'!#REF!="Baja",' RIESGOS DE GESTION'!#REF!="Catastrófico"),CONCATENATE("R4C",' RIESGOS DE GESTION'!#REF!),"")</f>
        <v>#REF!</v>
      </c>
      <c r="AJ39" s="42" t="e">
        <f>IF(AND(' RIESGOS DE GESTION'!#REF!="Baja",' RIESGOS DE GESTION'!#REF!="Catastrófico"),CONCATENATE("R4C",' RIESGOS DE GESTION'!#REF!),"")</f>
        <v>#REF!</v>
      </c>
      <c r="AK39" s="42" t="e">
        <f>IF(AND(' RIESGOS DE GESTION'!#REF!="Baja",' RIESGOS DE GESTION'!#REF!="Catastrófico"),CONCATENATE("R4C",' RIESGOS DE GESTION'!#REF!),"")</f>
        <v>#REF!</v>
      </c>
      <c r="AL39" s="42" t="e">
        <f>IF(AND(' RIESGOS DE GESTION'!#REF!="Baja",' RIESGOS DE GESTION'!#REF!="Catastrófico"),CONCATENATE("R4C",' RIESGOS DE GESTION'!#REF!),"")</f>
        <v>#REF!</v>
      </c>
      <c r="AM39" s="43" t="e">
        <f>IF(AND(' RIESGOS DE GESTION'!#REF!="Baja",' RIESGOS DE GESTION'!#REF!="Catastrófico"),CONCATENATE("R4C",' RIESGOS DE GESTION'!#REF!),"")</f>
        <v>#REF!</v>
      </c>
      <c r="AN39" s="69"/>
      <c r="AO39" s="702"/>
      <c r="AP39" s="703"/>
      <c r="AQ39" s="703"/>
      <c r="AR39" s="703"/>
      <c r="AS39" s="703"/>
      <c r="AT39" s="704"/>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583"/>
      <c r="C40" s="583"/>
      <c r="D40" s="584"/>
      <c r="E40" s="682"/>
      <c r="F40" s="681"/>
      <c r="G40" s="681"/>
      <c r="H40" s="681"/>
      <c r="I40" s="681"/>
      <c r="J40" s="62" t="e">
        <f>IF(AND(' RIESGOS DE GESTION'!#REF!="Baja",' RIESGOS DE GESTION'!#REF!="Leve"),CONCATENATE("R5C",' RIESGOS DE GESTION'!#REF!),"")</f>
        <v>#REF!</v>
      </c>
      <c r="K40" s="63" t="e">
        <f>IF(AND(' RIESGOS DE GESTION'!#REF!="Baja",' RIESGOS DE GESTION'!#REF!="Leve"),CONCATENATE("R5C",' RIESGOS DE GESTION'!#REF!),"")</f>
        <v>#REF!</v>
      </c>
      <c r="L40" s="63" t="e">
        <f>IF(AND(' RIESGOS DE GESTION'!#REF!="Baja",' RIESGOS DE GESTION'!#REF!="Leve"),CONCATENATE("R5C",' RIESGOS DE GESTION'!#REF!),"")</f>
        <v>#REF!</v>
      </c>
      <c r="M40" s="63" t="e">
        <f>IF(AND(' RIESGOS DE GESTION'!#REF!="Baja",' RIESGOS DE GESTION'!#REF!="Leve"),CONCATENATE("R5C",' RIESGOS DE GESTION'!#REF!),"")</f>
        <v>#REF!</v>
      </c>
      <c r="N40" s="63" t="e">
        <f>IF(AND(' RIESGOS DE GESTION'!#REF!="Baja",' RIESGOS DE GESTION'!#REF!="Leve"),CONCATENATE("R5C",' RIESGOS DE GESTION'!#REF!),"")</f>
        <v>#REF!</v>
      </c>
      <c r="O40" s="64" t="e">
        <f>IF(AND(' RIESGOS DE GESTION'!#REF!="Baja",' RIESGOS DE GESTION'!#REF!="Leve"),CONCATENATE("R5C",' RIESGOS DE GESTION'!#REF!),"")</f>
        <v>#REF!</v>
      </c>
      <c r="P40" s="53" t="e">
        <f>IF(AND(' RIESGOS DE GESTION'!#REF!="Baja",' RIESGOS DE GESTION'!#REF!="Menor"),CONCATENATE("R5C",' RIESGOS DE GESTION'!#REF!),"")</f>
        <v>#REF!</v>
      </c>
      <c r="Q40" s="54" t="e">
        <f>IF(AND(' RIESGOS DE GESTION'!#REF!="Baja",' RIESGOS DE GESTION'!#REF!="Menor"),CONCATENATE("R5C",' RIESGOS DE GESTION'!#REF!),"")</f>
        <v>#REF!</v>
      </c>
      <c r="R40" s="54" t="e">
        <f>IF(AND(' RIESGOS DE GESTION'!#REF!="Baja",' RIESGOS DE GESTION'!#REF!="Menor"),CONCATENATE("R5C",' RIESGOS DE GESTION'!#REF!),"")</f>
        <v>#REF!</v>
      </c>
      <c r="S40" s="54" t="e">
        <f>IF(AND(' RIESGOS DE GESTION'!#REF!="Baja",' RIESGOS DE GESTION'!#REF!="Menor"),CONCATENATE("R5C",' RIESGOS DE GESTION'!#REF!),"")</f>
        <v>#REF!</v>
      </c>
      <c r="T40" s="54" t="e">
        <f>IF(AND(' RIESGOS DE GESTION'!#REF!="Baja",' RIESGOS DE GESTION'!#REF!="Menor"),CONCATENATE("R5C",' RIESGOS DE GESTION'!#REF!),"")</f>
        <v>#REF!</v>
      </c>
      <c r="U40" s="55" t="e">
        <f>IF(AND(' RIESGOS DE GESTION'!#REF!="Baja",' RIESGOS DE GESTION'!#REF!="Menor"),CONCATENATE("R5C",' RIESGOS DE GESTION'!#REF!),"")</f>
        <v>#REF!</v>
      </c>
      <c r="V40" s="53" t="e">
        <f>IF(AND(' RIESGOS DE GESTION'!#REF!="Baja",' RIESGOS DE GESTION'!#REF!="Moderado"),CONCATENATE("R5C",' RIESGOS DE GESTION'!#REF!),"")</f>
        <v>#REF!</v>
      </c>
      <c r="W40" s="54" t="e">
        <f>IF(AND(' RIESGOS DE GESTION'!#REF!="Baja",' RIESGOS DE GESTION'!#REF!="Moderado"),CONCATENATE("R5C",' RIESGOS DE GESTION'!#REF!),"")</f>
        <v>#REF!</v>
      </c>
      <c r="X40" s="54" t="e">
        <f>IF(AND(' RIESGOS DE GESTION'!#REF!="Baja",' RIESGOS DE GESTION'!#REF!="Moderado"),CONCATENATE("R5C",' RIESGOS DE GESTION'!#REF!),"")</f>
        <v>#REF!</v>
      </c>
      <c r="Y40" s="54" t="e">
        <f>IF(AND(' RIESGOS DE GESTION'!#REF!="Baja",' RIESGOS DE GESTION'!#REF!="Moderado"),CONCATENATE("R5C",' RIESGOS DE GESTION'!#REF!),"")</f>
        <v>#REF!</v>
      </c>
      <c r="Z40" s="54" t="e">
        <f>IF(AND(' RIESGOS DE GESTION'!#REF!="Baja",' RIESGOS DE GESTION'!#REF!="Moderado"),CONCATENATE("R5C",' RIESGOS DE GESTION'!#REF!),"")</f>
        <v>#REF!</v>
      </c>
      <c r="AA40" s="55" t="e">
        <f>IF(AND(' RIESGOS DE GESTION'!#REF!="Baja",' RIESGOS DE GESTION'!#REF!="Moderado"),CONCATENATE("R5C",' RIESGOS DE GESTION'!#REF!),"")</f>
        <v>#REF!</v>
      </c>
      <c r="AB40" s="38" t="e">
        <f>IF(AND(' RIESGOS DE GESTION'!#REF!="Baja",' RIESGOS DE GESTION'!#REF!="Mayor"),CONCATENATE("R5C",' RIESGOS DE GESTION'!#REF!),"")</f>
        <v>#REF!</v>
      </c>
      <c r="AC40" s="39" t="e">
        <f>IF(AND(' RIESGOS DE GESTION'!#REF!="Baja",' RIESGOS DE GESTION'!#REF!="Mayor"),CONCATENATE("R5C",' RIESGOS DE GESTION'!#REF!),"")</f>
        <v>#REF!</v>
      </c>
      <c r="AD40" s="39" t="e">
        <f>IF(AND(' RIESGOS DE GESTION'!#REF!="Baja",' RIESGOS DE GESTION'!#REF!="Mayor"),CONCATENATE("R5C",' RIESGOS DE GESTION'!#REF!),"")</f>
        <v>#REF!</v>
      </c>
      <c r="AE40" s="39" t="e">
        <f>IF(AND(' RIESGOS DE GESTION'!#REF!="Baja",' RIESGOS DE GESTION'!#REF!="Mayor"),CONCATENATE("R5C",' RIESGOS DE GESTION'!#REF!),"")</f>
        <v>#REF!</v>
      </c>
      <c r="AF40" s="39" t="e">
        <f>IF(AND(' RIESGOS DE GESTION'!#REF!="Baja",' RIESGOS DE GESTION'!#REF!="Mayor"),CONCATENATE("R5C",' RIESGOS DE GESTION'!#REF!),"")</f>
        <v>#REF!</v>
      </c>
      <c r="AG40" s="40" t="e">
        <f>IF(AND(' RIESGOS DE GESTION'!#REF!="Baja",' RIESGOS DE GESTION'!#REF!="Mayor"),CONCATENATE("R5C",' RIESGOS DE GESTION'!#REF!),"")</f>
        <v>#REF!</v>
      </c>
      <c r="AH40" s="41" t="e">
        <f>IF(AND(' RIESGOS DE GESTION'!#REF!="Baja",' RIESGOS DE GESTION'!#REF!="Catastrófico"),CONCATENATE("R5C",' RIESGOS DE GESTION'!#REF!),"")</f>
        <v>#REF!</v>
      </c>
      <c r="AI40" s="42" t="e">
        <f>IF(AND(' RIESGOS DE GESTION'!#REF!="Baja",' RIESGOS DE GESTION'!#REF!="Catastrófico"),CONCATENATE("R5C",' RIESGOS DE GESTION'!#REF!),"")</f>
        <v>#REF!</v>
      </c>
      <c r="AJ40" s="42" t="e">
        <f>IF(AND(' RIESGOS DE GESTION'!#REF!="Baja",' RIESGOS DE GESTION'!#REF!="Catastrófico"),CONCATENATE("R5C",' RIESGOS DE GESTION'!#REF!),"")</f>
        <v>#REF!</v>
      </c>
      <c r="AK40" s="42" t="e">
        <f>IF(AND(' RIESGOS DE GESTION'!#REF!="Baja",' RIESGOS DE GESTION'!#REF!="Catastrófico"),CONCATENATE("R5C",' RIESGOS DE GESTION'!#REF!),"")</f>
        <v>#REF!</v>
      </c>
      <c r="AL40" s="42" t="e">
        <f>IF(AND(' RIESGOS DE GESTION'!#REF!="Baja",' RIESGOS DE GESTION'!#REF!="Catastrófico"),CONCATENATE("R5C",' RIESGOS DE GESTION'!#REF!),"")</f>
        <v>#REF!</v>
      </c>
      <c r="AM40" s="43" t="e">
        <f>IF(AND(' RIESGOS DE GESTION'!#REF!="Baja",' RIESGOS DE GESTION'!#REF!="Catastrófico"),CONCATENATE("R5C",' RIESGOS DE GESTION'!#REF!),"")</f>
        <v>#REF!</v>
      </c>
      <c r="AN40" s="69"/>
      <c r="AO40" s="702"/>
      <c r="AP40" s="703"/>
      <c r="AQ40" s="703"/>
      <c r="AR40" s="703"/>
      <c r="AS40" s="703"/>
      <c r="AT40" s="704"/>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583"/>
      <c r="C41" s="583"/>
      <c r="D41" s="584"/>
      <c r="E41" s="682"/>
      <c r="F41" s="681"/>
      <c r="G41" s="681"/>
      <c r="H41" s="681"/>
      <c r="I41" s="681"/>
      <c r="J41" s="62" t="e">
        <f>IF(AND(' RIESGOS DE GESTION'!#REF!="Baja",' RIESGOS DE GESTION'!#REF!="Leve"),CONCATENATE("R6C",' RIESGOS DE GESTION'!#REF!),"")</f>
        <v>#REF!</v>
      </c>
      <c r="K41" s="63" t="e">
        <f>IF(AND(' RIESGOS DE GESTION'!#REF!="Baja",' RIESGOS DE GESTION'!#REF!="Leve"),CONCATENATE("R6C",' RIESGOS DE GESTION'!#REF!),"")</f>
        <v>#REF!</v>
      </c>
      <c r="L41" s="63" t="e">
        <f>IF(AND(' RIESGOS DE GESTION'!#REF!="Baja",' RIESGOS DE GESTION'!#REF!="Leve"),CONCATENATE("R6C",' RIESGOS DE GESTION'!#REF!),"")</f>
        <v>#REF!</v>
      </c>
      <c r="M41" s="63" t="e">
        <f>IF(AND(' RIESGOS DE GESTION'!#REF!="Baja",' RIESGOS DE GESTION'!#REF!="Leve"),CONCATENATE("R6C",' RIESGOS DE GESTION'!#REF!),"")</f>
        <v>#REF!</v>
      </c>
      <c r="N41" s="63" t="e">
        <f>IF(AND(' RIESGOS DE GESTION'!#REF!="Baja",' RIESGOS DE GESTION'!#REF!="Leve"),CONCATENATE("R6C",' RIESGOS DE GESTION'!#REF!),"")</f>
        <v>#REF!</v>
      </c>
      <c r="O41" s="64" t="e">
        <f>IF(AND(' RIESGOS DE GESTION'!#REF!="Baja",' RIESGOS DE GESTION'!#REF!="Leve"),CONCATENATE("R6C",' RIESGOS DE GESTION'!#REF!),"")</f>
        <v>#REF!</v>
      </c>
      <c r="P41" s="53" t="e">
        <f>IF(AND(' RIESGOS DE GESTION'!#REF!="Baja",' RIESGOS DE GESTION'!#REF!="Menor"),CONCATENATE("R6C",' RIESGOS DE GESTION'!#REF!),"")</f>
        <v>#REF!</v>
      </c>
      <c r="Q41" s="54" t="e">
        <f>IF(AND(' RIESGOS DE GESTION'!#REF!="Baja",' RIESGOS DE GESTION'!#REF!="Menor"),CONCATENATE("R6C",' RIESGOS DE GESTION'!#REF!),"")</f>
        <v>#REF!</v>
      </c>
      <c r="R41" s="54" t="e">
        <f>IF(AND(' RIESGOS DE GESTION'!#REF!="Baja",' RIESGOS DE GESTION'!#REF!="Menor"),CONCATENATE("R6C",' RIESGOS DE GESTION'!#REF!),"")</f>
        <v>#REF!</v>
      </c>
      <c r="S41" s="54" t="e">
        <f>IF(AND(' RIESGOS DE GESTION'!#REF!="Baja",' RIESGOS DE GESTION'!#REF!="Menor"),CONCATENATE("R6C",' RIESGOS DE GESTION'!#REF!),"")</f>
        <v>#REF!</v>
      </c>
      <c r="T41" s="54" t="e">
        <f>IF(AND(' RIESGOS DE GESTION'!#REF!="Baja",' RIESGOS DE GESTION'!#REF!="Menor"),CONCATENATE("R6C",' RIESGOS DE GESTION'!#REF!),"")</f>
        <v>#REF!</v>
      </c>
      <c r="U41" s="55" t="e">
        <f>IF(AND(' RIESGOS DE GESTION'!#REF!="Baja",' RIESGOS DE GESTION'!#REF!="Menor"),CONCATENATE("R6C",' RIESGOS DE GESTION'!#REF!),"")</f>
        <v>#REF!</v>
      </c>
      <c r="V41" s="53" t="e">
        <f>IF(AND(' RIESGOS DE GESTION'!#REF!="Baja",' RIESGOS DE GESTION'!#REF!="Moderado"),CONCATENATE("R6C",' RIESGOS DE GESTION'!#REF!),"")</f>
        <v>#REF!</v>
      </c>
      <c r="W41" s="54" t="e">
        <f>IF(AND(' RIESGOS DE GESTION'!#REF!="Baja",' RIESGOS DE GESTION'!#REF!="Moderado"),CONCATENATE("R6C",' RIESGOS DE GESTION'!#REF!),"")</f>
        <v>#REF!</v>
      </c>
      <c r="X41" s="54" t="e">
        <f>IF(AND(' RIESGOS DE GESTION'!#REF!="Baja",' RIESGOS DE GESTION'!#REF!="Moderado"),CONCATENATE("R6C",' RIESGOS DE GESTION'!#REF!),"")</f>
        <v>#REF!</v>
      </c>
      <c r="Y41" s="54" t="e">
        <f>IF(AND(' RIESGOS DE GESTION'!#REF!="Baja",' RIESGOS DE GESTION'!#REF!="Moderado"),CONCATENATE("R6C",' RIESGOS DE GESTION'!#REF!),"")</f>
        <v>#REF!</v>
      </c>
      <c r="Z41" s="54" t="e">
        <f>IF(AND(' RIESGOS DE GESTION'!#REF!="Baja",' RIESGOS DE GESTION'!#REF!="Moderado"),CONCATENATE("R6C",' RIESGOS DE GESTION'!#REF!),"")</f>
        <v>#REF!</v>
      </c>
      <c r="AA41" s="55" t="e">
        <f>IF(AND(' RIESGOS DE GESTION'!#REF!="Baja",' RIESGOS DE GESTION'!#REF!="Moderado"),CONCATENATE("R6C",' RIESGOS DE GESTION'!#REF!),"")</f>
        <v>#REF!</v>
      </c>
      <c r="AB41" s="38" t="e">
        <f>IF(AND(' RIESGOS DE GESTION'!#REF!="Baja",' RIESGOS DE GESTION'!#REF!="Mayor"),CONCATENATE("R6C",' RIESGOS DE GESTION'!#REF!),"")</f>
        <v>#REF!</v>
      </c>
      <c r="AC41" s="39" t="e">
        <f>IF(AND(' RIESGOS DE GESTION'!#REF!="Baja",' RIESGOS DE GESTION'!#REF!="Mayor"),CONCATENATE("R6C",' RIESGOS DE GESTION'!#REF!),"")</f>
        <v>#REF!</v>
      </c>
      <c r="AD41" s="39" t="e">
        <f>IF(AND(' RIESGOS DE GESTION'!#REF!="Baja",' RIESGOS DE GESTION'!#REF!="Mayor"),CONCATENATE("R6C",' RIESGOS DE GESTION'!#REF!),"")</f>
        <v>#REF!</v>
      </c>
      <c r="AE41" s="39" t="e">
        <f>IF(AND(' RIESGOS DE GESTION'!#REF!="Baja",' RIESGOS DE GESTION'!#REF!="Mayor"),CONCATENATE("R6C",' RIESGOS DE GESTION'!#REF!),"")</f>
        <v>#REF!</v>
      </c>
      <c r="AF41" s="39" t="e">
        <f>IF(AND(' RIESGOS DE GESTION'!#REF!="Baja",' RIESGOS DE GESTION'!#REF!="Mayor"),CONCATENATE("R6C",' RIESGOS DE GESTION'!#REF!),"")</f>
        <v>#REF!</v>
      </c>
      <c r="AG41" s="40" t="e">
        <f>IF(AND(' RIESGOS DE GESTION'!#REF!="Baja",' RIESGOS DE GESTION'!#REF!="Mayor"),CONCATENATE("R6C",' RIESGOS DE GESTION'!#REF!),"")</f>
        <v>#REF!</v>
      </c>
      <c r="AH41" s="41" t="e">
        <f>IF(AND(' RIESGOS DE GESTION'!#REF!="Baja",' RIESGOS DE GESTION'!#REF!="Catastrófico"),CONCATENATE("R6C",' RIESGOS DE GESTION'!#REF!),"")</f>
        <v>#REF!</v>
      </c>
      <c r="AI41" s="42" t="e">
        <f>IF(AND(' RIESGOS DE GESTION'!#REF!="Baja",' RIESGOS DE GESTION'!#REF!="Catastrófico"),CONCATENATE("R6C",' RIESGOS DE GESTION'!#REF!),"")</f>
        <v>#REF!</v>
      </c>
      <c r="AJ41" s="42" t="e">
        <f>IF(AND(' RIESGOS DE GESTION'!#REF!="Baja",' RIESGOS DE GESTION'!#REF!="Catastrófico"),CONCATENATE("R6C",' RIESGOS DE GESTION'!#REF!),"")</f>
        <v>#REF!</v>
      </c>
      <c r="AK41" s="42" t="e">
        <f>IF(AND(' RIESGOS DE GESTION'!#REF!="Baja",' RIESGOS DE GESTION'!#REF!="Catastrófico"),CONCATENATE("R6C",' RIESGOS DE GESTION'!#REF!),"")</f>
        <v>#REF!</v>
      </c>
      <c r="AL41" s="42" t="e">
        <f>IF(AND(' RIESGOS DE GESTION'!#REF!="Baja",' RIESGOS DE GESTION'!#REF!="Catastrófico"),CONCATENATE("R6C",' RIESGOS DE GESTION'!#REF!),"")</f>
        <v>#REF!</v>
      </c>
      <c r="AM41" s="43" t="e">
        <f>IF(AND(' RIESGOS DE GESTION'!#REF!="Baja",' RIESGOS DE GESTION'!#REF!="Catastrófico"),CONCATENATE("R6C",' RIESGOS DE GESTION'!#REF!),"")</f>
        <v>#REF!</v>
      </c>
      <c r="AN41" s="69"/>
      <c r="AO41" s="702"/>
      <c r="AP41" s="703"/>
      <c r="AQ41" s="703"/>
      <c r="AR41" s="703"/>
      <c r="AS41" s="703"/>
      <c r="AT41" s="704"/>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583"/>
      <c r="C42" s="583"/>
      <c r="D42" s="584"/>
      <c r="E42" s="682"/>
      <c r="F42" s="681"/>
      <c r="G42" s="681"/>
      <c r="H42" s="681"/>
      <c r="I42" s="681"/>
      <c r="J42" s="62" t="e">
        <f>IF(AND(' RIESGOS DE GESTION'!#REF!="Baja",' RIESGOS DE GESTION'!#REF!="Leve"),CONCATENATE("R7C",' RIESGOS DE GESTION'!#REF!),"")</f>
        <v>#REF!</v>
      </c>
      <c r="K42" s="63" t="e">
        <f>IF(AND(' RIESGOS DE GESTION'!#REF!="Baja",' RIESGOS DE GESTION'!#REF!="Leve"),CONCATENATE("R7C",' RIESGOS DE GESTION'!#REF!),"")</f>
        <v>#REF!</v>
      </c>
      <c r="L42" s="63" t="e">
        <f>IF(AND(' RIESGOS DE GESTION'!#REF!="Baja",' RIESGOS DE GESTION'!#REF!="Leve"),CONCATENATE("R7C",' RIESGOS DE GESTION'!#REF!),"")</f>
        <v>#REF!</v>
      </c>
      <c r="M42" s="63" t="e">
        <f>IF(AND(' RIESGOS DE GESTION'!#REF!="Baja",' RIESGOS DE GESTION'!#REF!="Leve"),CONCATENATE("R7C",' RIESGOS DE GESTION'!#REF!),"")</f>
        <v>#REF!</v>
      </c>
      <c r="N42" s="63" t="e">
        <f>IF(AND(' RIESGOS DE GESTION'!#REF!="Baja",' RIESGOS DE GESTION'!#REF!="Leve"),CONCATENATE("R7C",' RIESGOS DE GESTION'!#REF!),"")</f>
        <v>#REF!</v>
      </c>
      <c r="O42" s="64" t="e">
        <f>IF(AND(' RIESGOS DE GESTION'!#REF!="Baja",' RIESGOS DE GESTION'!#REF!="Leve"),CONCATENATE("R7C",' RIESGOS DE GESTION'!#REF!),"")</f>
        <v>#REF!</v>
      </c>
      <c r="P42" s="53" t="e">
        <f>IF(AND(' RIESGOS DE GESTION'!#REF!="Baja",' RIESGOS DE GESTION'!#REF!="Menor"),CONCATENATE("R7C",' RIESGOS DE GESTION'!#REF!),"")</f>
        <v>#REF!</v>
      </c>
      <c r="Q42" s="54" t="e">
        <f>IF(AND(' RIESGOS DE GESTION'!#REF!="Baja",' RIESGOS DE GESTION'!#REF!="Menor"),CONCATENATE("R7C",' RIESGOS DE GESTION'!#REF!),"")</f>
        <v>#REF!</v>
      </c>
      <c r="R42" s="54" t="e">
        <f>IF(AND(' RIESGOS DE GESTION'!#REF!="Baja",' RIESGOS DE GESTION'!#REF!="Menor"),CONCATENATE("R7C",' RIESGOS DE GESTION'!#REF!),"")</f>
        <v>#REF!</v>
      </c>
      <c r="S42" s="54" t="e">
        <f>IF(AND(' RIESGOS DE GESTION'!#REF!="Baja",' RIESGOS DE GESTION'!#REF!="Menor"),CONCATENATE("R7C",' RIESGOS DE GESTION'!#REF!),"")</f>
        <v>#REF!</v>
      </c>
      <c r="T42" s="54" t="e">
        <f>IF(AND(' RIESGOS DE GESTION'!#REF!="Baja",' RIESGOS DE GESTION'!#REF!="Menor"),CONCATENATE("R7C",' RIESGOS DE GESTION'!#REF!),"")</f>
        <v>#REF!</v>
      </c>
      <c r="U42" s="55" t="e">
        <f>IF(AND(' RIESGOS DE GESTION'!#REF!="Baja",' RIESGOS DE GESTION'!#REF!="Menor"),CONCATENATE("R7C",' RIESGOS DE GESTION'!#REF!),"")</f>
        <v>#REF!</v>
      </c>
      <c r="V42" s="53" t="e">
        <f>IF(AND(' RIESGOS DE GESTION'!#REF!="Baja",' RIESGOS DE GESTION'!#REF!="Moderado"),CONCATENATE("R7C",' RIESGOS DE GESTION'!#REF!),"")</f>
        <v>#REF!</v>
      </c>
      <c r="W42" s="54" t="e">
        <f>IF(AND(' RIESGOS DE GESTION'!#REF!="Baja",' RIESGOS DE GESTION'!#REF!="Moderado"),CONCATENATE("R7C",' RIESGOS DE GESTION'!#REF!),"")</f>
        <v>#REF!</v>
      </c>
      <c r="X42" s="54" t="e">
        <f>IF(AND(' RIESGOS DE GESTION'!#REF!="Baja",' RIESGOS DE GESTION'!#REF!="Moderado"),CONCATENATE("R7C",' RIESGOS DE GESTION'!#REF!),"")</f>
        <v>#REF!</v>
      </c>
      <c r="Y42" s="54" t="e">
        <f>IF(AND(' RIESGOS DE GESTION'!#REF!="Baja",' RIESGOS DE GESTION'!#REF!="Moderado"),CONCATENATE("R7C",' RIESGOS DE GESTION'!#REF!),"")</f>
        <v>#REF!</v>
      </c>
      <c r="Z42" s="54" t="e">
        <f>IF(AND(' RIESGOS DE GESTION'!#REF!="Baja",' RIESGOS DE GESTION'!#REF!="Moderado"),CONCATENATE("R7C",' RIESGOS DE GESTION'!#REF!),"")</f>
        <v>#REF!</v>
      </c>
      <c r="AA42" s="55" t="e">
        <f>IF(AND(' RIESGOS DE GESTION'!#REF!="Baja",' RIESGOS DE GESTION'!#REF!="Moderado"),CONCATENATE("R7C",' RIESGOS DE GESTION'!#REF!),"")</f>
        <v>#REF!</v>
      </c>
      <c r="AB42" s="38" t="e">
        <f>IF(AND(' RIESGOS DE GESTION'!#REF!="Baja",' RIESGOS DE GESTION'!#REF!="Mayor"),CONCATENATE("R7C",' RIESGOS DE GESTION'!#REF!),"")</f>
        <v>#REF!</v>
      </c>
      <c r="AC42" s="39" t="e">
        <f>IF(AND(' RIESGOS DE GESTION'!#REF!="Baja",' RIESGOS DE GESTION'!#REF!="Mayor"),CONCATENATE("R7C",' RIESGOS DE GESTION'!#REF!),"")</f>
        <v>#REF!</v>
      </c>
      <c r="AD42" s="39" t="e">
        <f>IF(AND(' RIESGOS DE GESTION'!#REF!="Baja",' RIESGOS DE GESTION'!#REF!="Mayor"),CONCATENATE("R7C",' RIESGOS DE GESTION'!#REF!),"")</f>
        <v>#REF!</v>
      </c>
      <c r="AE42" s="39" t="e">
        <f>IF(AND(' RIESGOS DE GESTION'!#REF!="Baja",' RIESGOS DE GESTION'!#REF!="Mayor"),CONCATENATE("R7C",' RIESGOS DE GESTION'!#REF!),"")</f>
        <v>#REF!</v>
      </c>
      <c r="AF42" s="39" t="e">
        <f>IF(AND(' RIESGOS DE GESTION'!#REF!="Baja",' RIESGOS DE GESTION'!#REF!="Mayor"),CONCATENATE("R7C",' RIESGOS DE GESTION'!#REF!),"")</f>
        <v>#REF!</v>
      </c>
      <c r="AG42" s="40" t="e">
        <f>IF(AND(' RIESGOS DE GESTION'!#REF!="Baja",' RIESGOS DE GESTION'!#REF!="Mayor"),CONCATENATE("R7C",' RIESGOS DE GESTION'!#REF!),"")</f>
        <v>#REF!</v>
      </c>
      <c r="AH42" s="41" t="e">
        <f>IF(AND(' RIESGOS DE GESTION'!#REF!="Baja",' RIESGOS DE GESTION'!#REF!="Catastrófico"),CONCATENATE("R7C",' RIESGOS DE GESTION'!#REF!),"")</f>
        <v>#REF!</v>
      </c>
      <c r="AI42" s="42" t="e">
        <f>IF(AND(' RIESGOS DE GESTION'!#REF!="Baja",' RIESGOS DE GESTION'!#REF!="Catastrófico"),CONCATENATE("R7C",' RIESGOS DE GESTION'!#REF!),"")</f>
        <v>#REF!</v>
      </c>
      <c r="AJ42" s="42" t="e">
        <f>IF(AND(' RIESGOS DE GESTION'!#REF!="Baja",' RIESGOS DE GESTION'!#REF!="Catastrófico"),CONCATENATE("R7C",' RIESGOS DE GESTION'!#REF!),"")</f>
        <v>#REF!</v>
      </c>
      <c r="AK42" s="42" t="e">
        <f>IF(AND(' RIESGOS DE GESTION'!#REF!="Baja",' RIESGOS DE GESTION'!#REF!="Catastrófico"),CONCATENATE("R7C",' RIESGOS DE GESTION'!#REF!),"")</f>
        <v>#REF!</v>
      </c>
      <c r="AL42" s="42" t="e">
        <f>IF(AND(' RIESGOS DE GESTION'!#REF!="Baja",' RIESGOS DE GESTION'!#REF!="Catastrófico"),CONCATENATE("R7C",' RIESGOS DE GESTION'!#REF!),"")</f>
        <v>#REF!</v>
      </c>
      <c r="AM42" s="43" t="e">
        <f>IF(AND(' RIESGOS DE GESTION'!#REF!="Baja",' RIESGOS DE GESTION'!#REF!="Catastrófico"),CONCATENATE("R7C",' RIESGOS DE GESTION'!#REF!),"")</f>
        <v>#REF!</v>
      </c>
      <c r="AN42" s="69"/>
      <c r="AO42" s="702"/>
      <c r="AP42" s="703"/>
      <c r="AQ42" s="703"/>
      <c r="AR42" s="703"/>
      <c r="AS42" s="703"/>
      <c r="AT42" s="704"/>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583"/>
      <c r="C43" s="583"/>
      <c r="D43" s="584"/>
      <c r="E43" s="682"/>
      <c r="F43" s="681"/>
      <c r="G43" s="681"/>
      <c r="H43" s="681"/>
      <c r="I43" s="681"/>
      <c r="J43" s="62" t="e">
        <f>IF(AND(' RIESGOS DE GESTION'!#REF!="Baja",' RIESGOS DE GESTION'!#REF!="Leve"),CONCATENATE("R8C",' RIESGOS DE GESTION'!#REF!),"")</f>
        <v>#REF!</v>
      </c>
      <c r="K43" s="63" t="e">
        <f>IF(AND(' RIESGOS DE GESTION'!#REF!="Baja",' RIESGOS DE GESTION'!#REF!="Leve"),CONCATENATE("R8C",' RIESGOS DE GESTION'!#REF!),"")</f>
        <v>#REF!</v>
      </c>
      <c r="L43" s="63" t="e">
        <f>IF(AND(' RIESGOS DE GESTION'!#REF!="Baja",' RIESGOS DE GESTION'!#REF!="Leve"),CONCATENATE("R8C",' RIESGOS DE GESTION'!#REF!),"")</f>
        <v>#REF!</v>
      </c>
      <c r="M43" s="63" t="e">
        <f>IF(AND(' RIESGOS DE GESTION'!#REF!="Baja",' RIESGOS DE GESTION'!#REF!="Leve"),CONCATENATE("R8C",' RIESGOS DE GESTION'!#REF!),"")</f>
        <v>#REF!</v>
      </c>
      <c r="N43" s="63" t="e">
        <f>IF(AND(' RIESGOS DE GESTION'!#REF!="Baja",' RIESGOS DE GESTION'!#REF!="Leve"),CONCATENATE("R8C",' RIESGOS DE GESTION'!#REF!),"")</f>
        <v>#REF!</v>
      </c>
      <c r="O43" s="64" t="e">
        <f>IF(AND(' RIESGOS DE GESTION'!#REF!="Baja",' RIESGOS DE GESTION'!#REF!="Leve"),CONCATENATE("R8C",' RIESGOS DE GESTION'!#REF!),"")</f>
        <v>#REF!</v>
      </c>
      <c r="P43" s="53" t="e">
        <f>IF(AND(' RIESGOS DE GESTION'!#REF!="Baja",' RIESGOS DE GESTION'!#REF!="Menor"),CONCATENATE("R8C",' RIESGOS DE GESTION'!#REF!),"")</f>
        <v>#REF!</v>
      </c>
      <c r="Q43" s="54" t="e">
        <f>IF(AND(' RIESGOS DE GESTION'!#REF!="Baja",' RIESGOS DE GESTION'!#REF!="Menor"),CONCATENATE("R8C",' RIESGOS DE GESTION'!#REF!),"")</f>
        <v>#REF!</v>
      </c>
      <c r="R43" s="54" t="e">
        <f>IF(AND(' RIESGOS DE GESTION'!#REF!="Baja",' RIESGOS DE GESTION'!#REF!="Menor"),CONCATENATE("R8C",' RIESGOS DE GESTION'!#REF!),"")</f>
        <v>#REF!</v>
      </c>
      <c r="S43" s="54" t="e">
        <f>IF(AND(' RIESGOS DE GESTION'!#REF!="Baja",' RIESGOS DE GESTION'!#REF!="Menor"),CONCATENATE("R8C",' RIESGOS DE GESTION'!#REF!),"")</f>
        <v>#REF!</v>
      </c>
      <c r="T43" s="54" t="e">
        <f>IF(AND(' RIESGOS DE GESTION'!#REF!="Baja",' RIESGOS DE GESTION'!#REF!="Menor"),CONCATENATE("R8C",' RIESGOS DE GESTION'!#REF!),"")</f>
        <v>#REF!</v>
      </c>
      <c r="U43" s="55" t="e">
        <f>IF(AND(' RIESGOS DE GESTION'!#REF!="Baja",' RIESGOS DE GESTION'!#REF!="Menor"),CONCATENATE("R8C",' RIESGOS DE GESTION'!#REF!),"")</f>
        <v>#REF!</v>
      </c>
      <c r="V43" s="53" t="e">
        <f>IF(AND(' RIESGOS DE GESTION'!#REF!="Baja",' RIESGOS DE GESTION'!#REF!="Moderado"),CONCATENATE("R8C",' RIESGOS DE GESTION'!#REF!),"")</f>
        <v>#REF!</v>
      </c>
      <c r="W43" s="54" t="e">
        <f>IF(AND(' RIESGOS DE GESTION'!#REF!="Baja",' RIESGOS DE GESTION'!#REF!="Moderado"),CONCATENATE("R8C",' RIESGOS DE GESTION'!#REF!),"")</f>
        <v>#REF!</v>
      </c>
      <c r="X43" s="54" t="e">
        <f>IF(AND(' RIESGOS DE GESTION'!#REF!="Baja",' RIESGOS DE GESTION'!#REF!="Moderado"),CONCATENATE("R8C",' RIESGOS DE GESTION'!#REF!),"")</f>
        <v>#REF!</v>
      </c>
      <c r="Y43" s="54" t="e">
        <f>IF(AND(' RIESGOS DE GESTION'!#REF!="Baja",' RIESGOS DE GESTION'!#REF!="Moderado"),CONCATENATE("R8C",' RIESGOS DE GESTION'!#REF!),"")</f>
        <v>#REF!</v>
      </c>
      <c r="Z43" s="54" t="e">
        <f>IF(AND(' RIESGOS DE GESTION'!#REF!="Baja",' RIESGOS DE GESTION'!#REF!="Moderado"),CONCATENATE("R8C",' RIESGOS DE GESTION'!#REF!),"")</f>
        <v>#REF!</v>
      </c>
      <c r="AA43" s="55" t="e">
        <f>IF(AND(' RIESGOS DE GESTION'!#REF!="Baja",' RIESGOS DE GESTION'!#REF!="Moderado"),CONCATENATE("R8C",' RIESGOS DE GESTION'!#REF!),"")</f>
        <v>#REF!</v>
      </c>
      <c r="AB43" s="38" t="e">
        <f>IF(AND(' RIESGOS DE GESTION'!#REF!="Baja",' RIESGOS DE GESTION'!#REF!="Mayor"),CONCATENATE("R8C",' RIESGOS DE GESTION'!#REF!),"")</f>
        <v>#REF!</v>
      </c>
      <c r="AC43" s="39" t="e">
        <f>IF(AND(' RIESGOS DE GESTION'!#REF!="Baja",' RIESGOS DE GESTION'!#REF!="Mayor"),CONCATENATE("R8C",' RIESGOS DE GESTION'!#REF!),"")</f>
        <v>#REF!</v>
      </c>
      <c r="AD43" s="39" t="e">
        <f>IF(AND(' RIESGOS DE GESTION'!#REF!="Baja",' RIESGOS DE GESTION'!#REF!="Mayor"),CONCATENATE("R8C",' RIESGOS DE GESTION'!#REF!),"")</f>
        <v>#REF!</v>
      </c>
      <c r="AE43" s="39" t="e">
        <f>IF(AND(' RIESGOS DE GESTION'!#REF!="Baja",' RIESGOS DE GESTION'!#REF!="Mayor"),CONCATENATE("R8C",' RIESGOS DE GESTION'!#REF!),"")</f>
        <v>#REF!</v>
      </c>
      <c r="AF43" s="39" t="e">
        <f>IF(AND(' RIESGOS DE GESTION'!#REF!="Baja",' RIESGOS DE GESTION'!#REF!="Mayor"),CONCATENATE("R8C",' RIESGOS DE GESTION'!#REF!),"")</f>
        <v>#REF!</v>
      </c>
      <c r="AG43" s="40" t="e">
        <f>IF(AND(' RIESGOS DE GESTION'!#REF!="Baja",' RIESGOS DE GESTION'!#REF!="Mayor"),CONCATENATE("R8C",' RIESGOS DE GESTION'!#REF!),"")</f>
        <v>#REF!</v>
      </c>
      <c r="AH43" s="41" t="e">
        <f>IF(AND(' RIESGOS DE GESTION'!#REF!="Baja",' RIESGOS DE GESTION'!#REF!="Catastrófico"),CONCATENATE("R8C",' RIESGOS DE GESTION'!#REF!),"")</f>
        <v>#REF!</v>
      </c>
      <c r="AI43" s="42" t="e">
        <f>IF(AND(' RIESGOS DE GESTION'!#REF!="Baja",' RIESGOS DE GESTION'!#REF!="Catastrófico"),CONCATENATE("R8C",' RIESGOS DE GESTION'!#REF!),"")</f>
        <v>#REF!</v>
      </c>
      <c r="AJ43" s="42" t="e">
        <f>IF(AND(' RIESGOS DE GESTION'!#REF!="Baja",' RIESGOS DE GESTION'!#REF!="Catastrófico"),CONCATENATE("R8C",' RIESGOS DE GESTION'!#REF!),"")</f>
        <v>#REF!</v>
      </c>
      <c r="AK43" s="42" t="e">
        <f>IF(AND(' RIESGOS DE GESTION'!#REF!="Baja",' RIESGOS DE GESTION'!#REF!="Catastrófico"),CONCATENATE("R8C",' RIESGOS DE GESTION'!#REF!),"")</f>
        <v>#REF!</v>
      </c>
      <c r="AL43" s="42" t="e">
        <f>IF(AND(' RIESGOS DE GESTION'!#REF!="Baja",' RIESGOS DE GESTION'!#REF!="Catastrófico"),CONCATENATE("R8C",' RIESGOS DE GESTION'!#REF!),"")</f>
        <v>#REF!</v>
      </c>
      <c r="AM43" s="43" t="e">
        <f>IF(AND(' RIESGOS DE GESTION'!#REF!="Baja",' RIESGOS DE GESTION'!#REF!="Catastrófico"),CONCATENATE("R8C",' RIESGOS DE GESTION'!#REF!),"")</f>
        <v>#REF!</v>
      </c>
      <c r="AN43" s="69"/>
      <c r="AO43" s="702"/>
      <c r="AP43" s="703"/>
      <c r="AQ43" s="703"/>
      <c r="AR43" s="703"/>
      <c r="AS43" s="703"/>
      <c r="AT43" s="704"/>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583"/>
      <c r="C44" s="583"/>
      <c r="D44" s="584"/>
      <c r="E44" s="682"/>
      <c r="F44" s="681"/>
      <c r="G44" s="681"/>
      <c r="H44" s="681"/>
      <c r="I44" s="681"/>
      <c r="J44" s="62" t="e">
        <f>IF(AND(' RIESGOS DE GESTION'!#REF!="Baja",' RIESGOS DE GESTION'!#REF!="Leve"),CONCATENATE("R9C",' RIESGOS DE GESTION'!#REF!),"")</f>
        <v>#REF!</v>
      </c>
      <c r="K44" s="63" t="e">
        <f>IF(AND(' RIESGOS DE GESTION'!#REF!="Baja",' RIESGOS DE GESTION'!#REF!="Leve"),CONCATENATE("R9C",' RIESGOS DE GESTION'!#REF!),"")</f>
        <v>#REF!</v>
      </c>
      <c r="L44" s="63" t="e">
        <f>IF(AND(' RIESGOS DE GESTION'!#REF!="Baja",' RIESGOS DE GESTION'!#REF!="Leve"),CONCATENATE("R9C",' RIESGOS DE GESTION'!#REF!),"")</f>
        <v>#REF!</v>
      </c>
      <c r="M44" s="63" t="e">
        <f>IF(AND(' RIESGOS DE GESTION'!#REF!="Baja",' RIESGOS DE GESTION'!#REF!="Leve"),CONCATENATE("R9C",' RIESGOS DE GESTION'!#REF!),"")</f>
        <v>#REF!</v>
      </c>
      <c r="N44" s="63" t="e">
        <f>IF(AND(' RIESGOS DE GESTION'!#REF!="Baja",' RIESGOS DE GESTION'!#REF!="Leve"),CONCATENATE("R9C",' RIESGOS DE GESTION'!#REF!),"")</f>
        <v>#REF!</v>
      </c>
      <c r="O44" s="64" t="e">
        <f>IF(AND(' RIESGOS DE GESTION'!#REF!="Baja",' RIESGOS DE GESTION'!#REF!="Leve"),CONCATENATE("R9C",' RIESGOS DE GESTION'!#REF!),"")</f>
        <v>#REF!</v>
      </c>
      <c r="P44" s="53" t="e">
        <f>IF(AND(' RIESGOS DE GESTION'!#REF!="Baja",' RIESGOS DE GESTION'!#REF!="Menor"),CONCATENATE("R9C",' RIESGOS DE GESTION'!#REF!),"")</f>
        <v>#REF!</v>
      </c>
      <c r="Q44" s="54" t="e">
        <f>IF(AND(' RIESGOS DE GESTION'!#REF!="Baja",' RIESGOS DE GESTION'!#REF!="Menor"),CONCATENATE("R9C",' RIESGOS DE GESTION'!#REF!),"")</f>
        <v>#REF!</v>
      </c>
      <c r="R44" s="54" t="e">
        <f>IF(AND(' RIESGOS DE GESTION'!#REF!="Baja",' RIESGOS DE GESTION'!#REF!="Menor"),CONCATENATE("R9C",' RIESGOS DE GESTION'!#REF!),"")</f>
        <v>#REF!</v>
      </c>
      <c r="S44" s="54" t="e">
        <f>IF(AND(' RIESGOS DE GESTION'!#REF!="Baja",' RIESGOS DE GESTION'!#REF!="Menor"),CONCATENATE("R9C",' RIESGOS DE GESTION'!#REF!),"")</f>
        <v>#REF!</v>
      </c>
      <c r="T44" s="54" t="e">
        <f>IF(AND(' RIESGOS DE GESTION'!#REF!="Baja",' RIESGOS DE GESTION'!#REF!="Menor"),CONCATENATE("R9C",' RIESGOS DE GESTION'!#REF!),"")</f>
        <v>#REF!</v>
      </c>
      <c r="U44" s="55" t="e">
        <f>IF(AND(' RIESGOS DE GESTION'!#REF!="Baja",' RIESGOS DE GESTION'!#REF!="Menor"),CONCATENATE("R9C",' RIESGOS DE GESTION'!#REF!),"")</f>
        <v>#REF!</v>
      </c>
      <c r="V44" s="53" t="e">
        <f>IF(AND(' RIESGOS DE GESTION'!#REF!="Baja",' RIESGOS DE GESTION'!#REF!="Moderado"),CONCATENATE("R9C",' RIESGOS DE GESTION'!#REF!),"")</f>
        <v>#REF!</v>
      </c>
      <c r="W44" s="54" t="e">
        <f>IF(AND(' RIESGOS DE GESTION'!#REF!="Baja",' RIESGOS DE GESTION'!#REF!="Moderado"),CONCATENATE("R9C",' RIESGOS DE GESTION'!#REF!),"")</f>
        <v>#REF!</v>
      </c>
      <c r="X44" s="54" t="e">
        <f>IF(AND(' RIESGOS DE GESTION'!#REF!="Baja",' RIESGOS DE GESTION'!#REF!="Moderado"),CONCATENATE("R9C",' RIESGOS DE GESTION'!#REF!),"")</f>
        <v>#REF!</v>
      </c>
      <c r="Y44" s="54" t="e">
        <f>IF(AND(' RIESGOS DE GESTION'!#REF!="Baja",' RIESGOS DE GESTION'!#REF!="Moderado"),CONCATENATE("R9C",' RIESGOS DE GESTION'!#REF!),"")</f>
        <v>#REF!</v>
      </c>
      <c r="Z44" s="54" t="e">
        <f>IF(AND(' RIESGOS DE GESTION'!#REF!="Baja",' RIESGOS DE GESTION'!#REF!="Moderado"),CONCATENATE("R9C",' RIESGOS DE GESTION'!#REF!),"")</f>
        <v>#REF!</v>
      </c>
      <c r="AA44" s="55" t="e">
        <f>IF(AND(' RIESGOS DE GESTION'!#REF!="Baja",' RIESGOS DE GESTION'!#REF!="Moderado"),CONCATENATE("R9C",' RIESGOS DE GESTION'!#REF!),"")</f>
        <v>#REF!</v>
      </c>
      <c r="AB44" s="38" t="e">
        <f>IF(AND(' RIESGOS DE GESTION'!#REF!="Baja",' RIESGOS DE GESTION'!#REF!="Mayor"),CONCATENATE("R9C",' RIESGOS DE GESTION'!#REF!),"")</f>
        <v>#REF!</v>
      </c>
      <c r="AC44" s="39" t="e">
        <f>IF(AND(' RIESGOS DE GESTION'!#REF!="Baja",' RIESGOS DE GESTION'!#REF!="Mayor"),CONCATENATE("R9C",' RIESGOS DE GESTION'!#REF!),"")</f>
        <v>#REF!</v>
      </c>
      <c r="AD44" s="39" t="e">
        <f>IF(AND(' RIESGOS DE GESTION'!#REF!="Baja",' RIESGOS DE GESTION'!#REF!="Mayor"),CONCATENATE("R9C",' RIESGOS DE GESTION'!#REF!),"")</f>
        <v>#REF!</v>
      </c>
      <c r="AE44" s="39" t="e">
        <f>IF(AND(' RIESGOS DE GESTION'!#REF!="Baja",' RIESGOS DE GESTION'!#REF!="Mayor"),CONCATENATE("R9C",' RIESGOS DE GESTION'!#REF!),"")</f>
        <v>#REF!</v>
      </c>
      <c r="AF44" s="39" t="e">
        <f>IF(AND(' RIESGOS DE GESTION'!#REF!="Baja",' RIESGOS DE GESTION'!#REF!="Mayor"),CONCATENATE("R9C",' RIESGOS DE GESTION'!#REF!),"")</f>
        <v>#REF!</v>
      </c>
      <c r="AG44" s="40" t="e">
        <f>IF(AND(' RIESGOS DE GESTION'!#REF!="Baja",' RIESGOS DE GESTION'!#REF!="Mayor"),CONCATENATE("R9C",' RIESGOS DE GESTION'!#REF!),"")</f>
        <v>#REF!</v>
      </c>
      <c r="AH44" s="41" t="e">
        <f>IF(AND(' RIESGOS DE GESTION'!#REF!="Baja",' RIESGOS DE GESTION'!#REF!="Catastrófico"),CONCATENATE("R9C",' RIESGOS DE GESTION'!#REF!),"")</f>
        <v>#REF!</v>
      </c>
      <c r="AI44" s="42" t="e">
        <f>IF(AND(' RIESGOS DE GESTION'!#REF!="Baja",' RIESGOS DE GESTION'!#REF!="Catastrófico"),CONCATENATE("R9C",' RIESGOS DE GESTION'!#REF!),"")</f>
        <v>#REF!</v>
      </c>
      <c r="AJ44" s="42" t="e">
        <f>IF(AND(' RIESGOS DE GESTION'!#REF!="Baja",' RIESGOS DE GESTION'!#REF!="Catastrófico"),CONCATENATE("R9C",' RIESGOS DE GESTION'!#REF!),"")</f>
        <v>#REF!</v>
      </c>
      <c r="AK44" s="42" t="e">
        <f>IF(AND(' RIESGOS DE GESTION'!#REF!="Baja",' RIESGOS DE GESTION'!#REF!="Catastrófico"),CONCATENATE("R9C",' RIESGOS DE GESTION'!#REF!),"")</f>
        <v>#REF!</v>
      </c>
      <c r="AL44" s="42" t="e">
        <f>IF(AND(' RIESGOS DE GESTION'!#REF!="Baja",' RIESGOS DE GESTION'!#REF!="Catastrófico"),CONCATENATE("R9C",' RIESGOS DE GESTION'!#REF!),"")</f>
        <v>#REF!</v>
      </c>
      <c r="AM44" s="43" t="e">
        <f>IF(AND(' RIESGOS DE GESTION'!#REF!="Baja",' RIESGOS DE GESTION'!#REF!="Catastrófico"),CONCATENATE("R9C",' RIESGOS DE GESTION'!#REF!),"")</f>
        <v>#REF!</v>
      </c>
      <c r="AN44" s="69"/>
      <c r="AO44" s="702"/>
      <c r="AP44" s="703"/>
      <c r="AQ44" s="703"/>
      <c r="AR44" s="703"/>
      <c r="AS44" s="703"/>
      <c r="AT44" s="704"/>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583"/>
      <c r="C45" s="583"/>
      <c r="D45" s="584"/>
      <c r="E45" s="683"/>
      <c r="F45" s="684"/>
      <c r="G45" s="684"/>
      <c r="H45" s="684"/>
      <c r="I45" s="684"/>
      <c r="J45" s="65" t="e">
        <f>IF(AND(' RIESGOS DE GESTION'!#REF!="Baja",' RIESGOS DE GESTION'!#REF!="Leve"),CONCATENATE("R10C",' RIESGOS DE GESTION'!#REF!),"")</f>
        <v>#REF!</v>
      </c>
      <c r="K45" s="66" t="e">
        <f>IF(AND(' RIESGOS DE GESTION'!#REF!="Baja",' RIESGOS DE GESTION'!#REF!="Leve"),CONCATENATE("R10C",' RIESGOS DE GESTION'!#REF!),"")</f>
        <v>#REF!</v>
      </c>
      <c r="L45" s="66" t="e">
        <f>IF(AND(' RIESGOS DE GESTION'!#REF!="Baja",' RIESGOS DE GESTION'!#REF!="Leve"),CONCATENATE("R10C",' RIESGOS DE GESTION'!#REF!),"")</f>
        <v>#REF!</v>
      </c>
      <c r="M45" s="66" t="e">
        <f>IF(AND(' RIESGOS DE GESTION'!#REF!="Baja",' RIESGOS DE GESTION'!#REF!="Leve"),CONCATENATE("R10C",' RIESGOS DE GESTION'!#REF!),"")</f>
        <v>#REF!</v>
      </c>
      <c r="N45" s="66" t="e">
        <f>IF(AND(' RIESGOS DE GESTION'!#REF!="Baja",' RIESGOS DE GESTION'!#REF!="Leve"),CONCATENATE("R10C",' RIESGOS DE GESTION'!#REF!),"")</f>
        <v>#REF!</v>
      </c>
      <c r="O45" s="67" t="e">
        <f>IF(AND(' RIESGOS DE GESTION'!#REF!="Baja",' RIESGOS DE GESTION'!#REF!="Leve"),CONCATENATE("R10C",' RIESGOS DE GESTION'!#REF!),"")</f>
        <v>#REF!</v>
      </c>
      <c r="P45" s="53" t="e">
        <f>IF(AND(' RIESGOS DE GESTION'!#REF!="Baja",' RIESGOS DE GESTION'!#REF!="Menor"),CONCATENATE("R10C",' RIESGOS DE GESTION'!#REF!),"")</f>
        <v>#REF!</v>
      </c>
      <c r="Q45" s="54" t="e">
        <f>IF(AND(' RIESGOS DE GESTION'!#REF!="Baja",' RIESGOS DE GESTION'!#REF!="Menor"),CONCATENATE("R10C",' RIESGOS DE GESTION'!#REF!),"")</f>
        <v>#REF!</v>
      </c>
      <c r="R45" s="54" t="e">
        <f>IF(AND(' RIESGOS DE GESTION'!#REF!="Baja",' RIESGOS DE GESTION'!#REF!="Menor"),CONCATENATE("R10C",' RIESGOS DE GESTION'!#REF!),"")</f>
        <v>#REF!</v>
      </c>
      <c r="S45" s="54" t="e">
        <f>IF(AND(' RIESGOS DE GESTION'!#REF!="Baja",' RIESGOS DE GESTION'!#REF!="Menor"),CONCATENATE("R10C",' RIESGOS DE GESTION'!#REF!),"")</f>
        <v>#REF!</v>
      </c>
      <c r="T45" s="54" t="e">
        <f>IF(AND(' RIESGOS DE GESTION'!#REF!="Baja",' RIESGOS DE GESTION'!#REF!="Menor"),CONCATENATE("R10C",' RIESGOS DE GESTION'!#REF!),"")</f>
        <v>#REF!</v>
      </c>
      <c r="U45" s="55" t="e">
        <f>IF(AND(' RIESGOS DE GESTION'!#REF!="Baja",' RIESGOS DE GESTION'!#REF!="Menor"),CONCATENATE("R10C",' RIESGOS DE GESTION'!#REF!),"")</f>
        <v>#REF!</v>
      </c>
      <c r="V45" s="56" t="e">
        <f>IF(AND(' RIESGOS DE GESTION'!#REF!="Baja",' RIESGOS DE GESTION'!#REF!="Moderado"),CONCATENATE("R10C",' RIESGOS DE GESTION'!#REF!),"")</f>
        <v>#REF!</v>
      </c>
      <c r="W45" s="57" t="e">
        <f>IF(AND(' RIESGOS DE GESTION'!#REF!="Baja",' RIESGOS DE GESTION'!#REF!="Moderado"),CONCATENATE("R10C",' RIESGOS DE GESTION'!#REF!),"")</f>
        <v>#REF!</v>
      </c>
      <c r="X45" s="57" t="e">
        <f>IF(AND(' RIESGOS DE GESTION'!#REF!="Baja",' RIESGOS DE GESTION'!#REF!="Moderado"),CONCATENATE("R10C",' RIESGOS DE GESTION'!#REF!),"")</f>
        <v>#REF!</v>
      </c>
      <c r="Y45" s="57" t="e">
        <f>IF(AND(' RIESGOS DE GESTION'!#REF!="Baja",' RIESGOS DE GESTION'!#REF!="Moderado"),CONCATENATE("R10C",' RIESGOS DE GESTION'!#REF!),"")</f>
        <v>#REF!</v>
      </c>
      <c r="Z45" s="57" t="e">
        <f>IF(AND(' RIESGOS DE GESTION'!#REF!="Baja",' RIESGOS DE GESTION'!#REF!="Moderado"),CONCATENATE("R10C",' RIESGOS DE GESTION'!#REF!),"")</f>
        <v>#REF!</v>
      </c>
      <c r="AA45" s="58" t="e">
        <f>IF(AND(' RIESGOS DE GESTION'!#REF!="Baja",' RIESGOS DE GESTION'!#REF!="Moderado"),CONCATENATE("R10C",' RIESGOS DE GESTION'!#REF!),"")</f>
        <v>#REF!</v>
      </c>
      <c r="AB45" s="44" t="e">
        <f>IF(AND(' RIESGOS DE GESTION'!#REF!="Baja",' RIESGOS DE GESTION'!#REF!="Mayor"),CONCATENATE("R10C",' RIESGOS DE GESTION'!#REF!),"")</f>
        <v>#REF!</v>
      </c>
      <c r="AC45" s="45" t="e">
        <f>IF(AND(' RIESGOS DE GESTION'!#REF!="Baja",' RIESGOS DE GESTION'!#REF!="Mayor"),CONCATENATE("R10C",' RIESGOS DE GESTION'!#REF!),"")</f>
        <v>#REF!</v>
      </c>
      <c r="AD45" s="45" t="e">
        <f>IF(AND(' RIESGOS DE GESTION'!#REF!="Baja",' RIESGOS DE GESTION'!#REF!="Mayor"),CONCATENATE("R10C",' RIESGOS DE GESTION'!#REF!),"")</f>
        <v>#REF!</v>
      </c>
      <c r="AE45" s="45" t="e">
        <f>IF(AND(' RIESGOS DE GESTION'!#REF!="Baja",' RIESGOS DE GESTION'!#REF!="Mayor"),CONCATENATE("R10C",' RIESGOS DE GESTION'!#REF!),"")</f>
        <v>#REF!</v>
      </c>
      <c r="AF45" s="45" t="e">
        <f>IF(AND(' RIESGOS DE GESTION'!#REF!="Baja",' RIESGOS DE GESTION'!#REF!="Mayor"),CONCATENATE("R10C",' RIESGOS DE GESTION'!#REF!),"")</f>
        <v>#REF!</v>
      </c>
      <c r="AG45" s="46" t="e">
        <f>IF(AND(' RIESGOS DE GESTION'!#REF!="Baja",' RIESGOS DE GESTION'!#REF!="Mayor"),CONCATENATE("R10C",' RIESGOS DE GESTION'!#REF!),"")</f>
        <v>#REF!</v>
      </c>
      <c r="AH45" s="47" t="e">
        <f>IF(AND(' RIESGOS DE GESTION'!#REF!="Baja",' RIESGOS DE GESTION'!#REF!="Catastrófico"),CONCATENATE("R10C",' RIESGOS DE GESTION'!#REF!),"")</f>
        <v>#REF!</v>
      </c>
      <c r="AI45" s="48" t="e">
        <f>IF(AND(' RIESGOS DE GESTION'!#REF!="Baja",' RIESGOS DE GESTION'!#REF!="Catastrófico"),CONCATENATE("R10C",' RIESGOS DE GESTION'!#REF!),"")</f>
        <v>#REF!</v>
      </c>
      <c r="AJ45" s="48" t="e">
        <f>IF(AND(' RIESGOS DE GESTION'!#REF!="Baja",' RIESGOS DE GESTION'!#REF!="Catastrófico"),CONCATENATE("R10C",' RIESGOS DE GESTION'!#REF!),"")</f>
        <v>#REF!</v>
      </c>
      <c r="AK45" s="48" t="e">
        <f>IF(AND(' RIESGOS DE GESTION'!#REF!="Baja",' RIESGOS DE GESTION'!#REF!="Catastrófico"),CONCATENATE("R10C",' RIESGOS DE GESTION'!#REF!),"")</f>
        <v>#REF!</v>
      </c>
      <c r="AL45" s="48" t="e">
        <f>IF(AND(' RIESGOS DE GESTION'!#REF!="Baja",' RIESGOS DE GESTION'!#REF!="Catastrófico"),CONCATENATE("R10C",' RIESGOS DE GESTION'!#REF!),"")</f>
        <v>#REF!</v>
      </c>
      <c r="AM45" s="49" t="e">
        <f>IF(AND(' RIESGOS DE GESTION'!#REF!="Baja",' RIESGOS DE GESTION'!#REF!="Catastrófico"),CONCATENATE("R10C",' RIESGOS DE GESTION'!#REF!),"")</f>
        <v>#REF!</v>
      </c>
      <c r="AN45" s="69"/>
      <c r="AO45" s="705"/>
      <c r="AP45" s="706"/>
      <c r="AQ45" s="706"/>
      <c r="AR45" s="706"/>
      <c r="AS45" s="706"/>
      <c r="AT45" s="707"/>
    </row>
    <row r="46" spans="1:80" ht="46.5" customHeight="1" x14ac:dyDescent="0.35">
      <c r="A46" s="69"/>
      <c r="B46" s="583"/>
      <c r="C46" s="583"/>
      <c r="D46" s="584"/>
      <c r="E46" s="678" t="s">
        <v>423</v>
      </c>
      <c r="F46" s="679"/>
      <c r="G46" s="679"/>
      <c r="H46" s="679"/>
      <c r="I46" s="696"/>
      <c r="J46" s="59" t="e">
        <f>IF(AND(' RIESGOS DE GESTION'!#REF!="Muy Baja",' RIESGOS DE GESTION'!#REF!="Leve"),CONCATENATE("R1C",' RIESGOS DE GESTION'!#REF!),"")</f>
        <v>#REF!</v>
      </c>
      <c r="K46" s="60" t="e">
        <f>IF(AND(' RIESGOS DE GESTION'!#REF!="Muy Baja",' RIESGOS DE GESTION'!#REF!="Leve"),CONCATENATE("R1C",' RIESGOS DE GESTION'!#REF!),"")</f>
        <v>#REF!</v>
      </c>
      <c r="L46" s="60" t="e">
        <f>IF(AND(' RIESGOS DE GESTION'!#REF!="Muy Baja",' RIESGOS DE GESTION'!#REF!="Leve"),CONCATENATE("R1C",' RIESGOS DE GESTION'!#REF!),"")</f>
        <v>#REF!</v>
      </c>
      <c r="M46" s="60" t="e">
        <f>IF(AND(' RIESGOS DE GESTION'!#REF!="Muy Baja",' RIESGOS DE GESTION'!#REF!="Leve"),CONCATENATE("R1C",' RIESGOS DE GESTION'!#REF!),"")</f>
        <v>#REF!</v>
      </c>
      <c r="N46" s="60" t="e">
        <f>IF(AND(' RIESGOS DE GESTION'!#REF!="Muy Baja",' RIESGOS DE GESTION'!#REF!="Leve"),CONCATENATE("R1C",' RIESGOS DE GESTION'!#REF!),"")</f>
        <v>#REF!</v>
      </c>
      <c r="O46" s="61" t="e">
        <f>IF(AND(' RIESGOS DE GESTION'!#REF!="Muy Baja",' RIESGOS DE GESTION'!#REF!="Leve"),CONCATENATE("R1C",' RIESGOS DE GESTION'!#REF!),"")</f>
        <v>#REF!</v>
      </c>
      <c r="P46" s="59" t="e">
        <f>IF(AND(' RIESGOS DE GESTION'!#REF!="Muy Baja",' RIESGOS DE GESTION'!#REF!="Menor"),CONCATENATE("R1C",' RIESGOS DE GESTION'!#REF!),"")</f>
        <v>#REF!</v>
      </c>
      <c r="Q46" s="60" t="e">
        <f>IF(AND(' RIESGOS DE GESTION'!#REF!="Muy Baja",' RIESGOS DE GESTION'!#REF!="Menor"),CONCATENATE("R1C",' RIESGOS DE GESTION'!#REF!),"")</f>
        <v>#REF!</v>
      </c>
      <c r="R46" s="60" t="e">
        <f>IF(AND(' RIESGOS DE GESTION'!#REF!="Muy Baja",' RIESGOS DE GESTION'!#REF!="Menor"),CONCATENATE("R1C",' RIESGOS DE GESTION'!#REF!),"")</f>
        <v>#REF!</v>
      </c>
      <c r="S46" s="60" t="e">
        <f>IF(AND(' RIESGOS DE GESTION'!#REF!="Muy Baja",' RIESGOS DE GESTION'!#REF!="Menor"),CONCATENATE("R1C",' RIESGOS DE GESTION'!#REF!),"")</f>
        <v>#REF!</v>
      </c>
      <c r="T46" s="60" t="e">
        <f>IF(AND(' RIESGOS DE GESTION'!#REF!="Muy Baja",' RIESGOS DE GESTION'!#REF!="Menor"),CONCATENATE("R1C",' RIESGOS DE GESTION'!#REF!),"")</f>
        <v>#REF!</v>
      </c>
      <c r="U46" s="61" t="e">
        <f>IF(AND(' RIESGOS DE GESTION'!#REF!="Muy Baja",' RIESGOS DE GESTION'!#REF!="Menor"),CONCATENATE("R1C",' RIESGOS DE GESTION'!#REF!),"")</f>
        <v>#REF!</v>
      </c>
      <c r="V46" s="50" t="e">
        <f>IF(AND(' RIESGOS DE GESTION'!#REF!="Muy Baja",' RIESGOS DE GESTION'!#REF!="Moderado"),CONCATENATE("R1C",' RIESGOS DE GESTION'!#REF!),"")</f>
        <v>#REF!</v>
      </c>
      <c r="W46" s="68" t="e">
        <f>IF(AND(' RIESGOS DE GESTION'!#REF!="Muy Baja",' RIESGOS DE GESTION'!#REF!="Moderado"),CONCATENATE("R1C",' RIESGOS DE GESTION'!#REF!),"")</f>
        <v>#REF!</v>
      </c>
      <c r="X46" s="51" t="e">
        <f>IF(AND(' RIESGOS DE GESTION'!#REF!="Muy Baja",' RIESGOS DE GESTION'!#REF!="Moderado"),CONCATENATE("R1C",' RIESGOS DE GESTION'!#REF!),"")</f>
        <v>#REF!</v>
      </c>
      <c r="Y46" s="51" t="e">
        <f>IF(AND(' RIESGOS DE GESTION'!#REF!="Muy Baja",' RIESGOS DE GESTION'!#REF!="Moderado"),CONCATENATE("R1C",' RIESGOS DE GESTION'!#REF!),"")</f>
        <v>#REF!</v>
      </c>
      <c r="Z46" s="51" t="e">
        <f>IF(AND(' RIESGOS DE GESTION'!#REF!="Muy Baja",' RIESGOS DE GESTION'!#REF!="Moderado"),CONCATENATE("R1C",' RIESGOS DE GESTION'!#REF!),"")</f>
        <v>#REF!</v>
      </c>
      <c r="AA46" s="52" t="e">
        <f>IF(AND(' RIESGOS DE GESTION'!#REF!="Muy Baja",' RIESGOS DE GESTION'!#REF!="Moderado"),CONCATENATE("R1C",' RIESGOS DE GESTION'!#REF!),"")</f>
        <v>#REF!</v>
      </c>
      <c r="AB46" s="32" t="e">
        <f>IF(AND(' RIESGOS DE GESTION'!#REF!="Muy Baja",' RIESGOS DE GESTION'!#REF!="Mayor"),CONCATENATE("R1C",' RIESGOS DE GESTION'!#REF!),"")</f>
        <v>#REF!</v>
      </c>
      <c r="AC46" s="33" t="e">
        <f>IF(AND(' RIESGOS DE GESTION'!#REF!="Muy Baja",' RIESGOS DE GESTION'!#REF!="Mayor"),CONCATENATE("R1C",' RIESGOS DE GESTION'!#REF!),"")</f>
        <v>#REF!</v>
      </c>
      <c r="AD46" s="33" t="e">
        <f>IF(AND(' RIESGOS DE GESTION'!#REF!="Muy Baja",' RIESGOS DE GESTION'!#REF!="Mayor"),CONCATENATE("R1C",' RIESGOS DE GESTION'!#REF!),"")</f>
        <v>#REF!</v>
      </c>
      <c r="AE46" s="33" t="e">
        <f>IF(AND(' RIESGOS DE GESTION'!#REF!="Muy Baja",' RIESGOS DE GESTION'!#REF!="Mayor"),CONCATENATE("R1C",' RIESGOS DE GESTION'!#REF!),"")</f>
        <v>#REF!</v>
      </c>
      <c r="AF46" s="33" t="e">
        <f>IF(AND(' RIESGOS DE GESTION'!#REF!="Muy Baja",' RIESGOS DE GESTION'!#REF!="Mayor"),CONCATENATE("R1C",' RIESGOS DE GESTION'!#REF!),"")</f>
        <v>#REF!</v>
      </c>
      <c r="AG46" s="34" t="e">
        <f>IF(AND(' RIESGOS DE GESTION'!#REF!="Muy Baja",' RIESGOS DE GESTION'!#REF!="Mayor"),CONCATENATE("R1C",' RIESGOS DE GESTION'!#REF!),"")</f>
        <v>#REF!</v>
      </c>
      <c r="AH46" s="35" t="e">
        <f>IF(AND(' RIESGOS DE GESTION'!#REF!="Muy Baja",' RIESGOS DE GESTION'!#REF!="Catastrófico"),CONCATENATE("R1C",' RIESGOS DE GESTION'!#REF!),"")</f>
        <v>#REF!</v>
      </c>
      <c r="AI46" s="36" t="e">
        <f>IF(AND(' RIESGOS DE GESTION'!#REF!="Muy Baja",' RIESGOS DE GESTION'!#REF!="Catastrófico"),CONCATENATE("R1C",' RIESGOS DE GESTION'!#REF!),"")</f>
        <v>#REF!</v>
      </c>
      <c r="AJ46" s="36" t="e">
        <f>IF(AND(' RIESGOS DE GESTION'!#REF!="Muy Baja",' RIESGOS DE GESTION'!#REF!="Catastrófico"),CONCATENATE("R1C",' RIESGOS DE GESTION'!#REF!),"")</f>
        <v>#REF!</v>
      </c>
      <c r="AK46" s="36" t="e">
        <f>IF(AND(' RIESGOS DE GESTION'!#REF!="Muy Baja",' RIESGOS DE GESTION'!#REF!="Catastrófico"),CONCATENATE("R1C",' RIESGOS DE GESTION'!#REF!),"")</f>
        <v>#REF!</v>
      </c>
      <c r="AL46" s="36" t="e">
        <f>IF(AND(' RIESGOS DE GESTION'!#REF!="Muy Baja",' RIESGOS DE GESTION'!#REF!="Catastrófico"),CONCATENATE("R1C",' RIESGOS DE GESTION'!#REF!),"")</f>
        <v>#REF!</v>
      </c>
      <c r="AM46" s="37" t="e">
        <f>IF(AND(' RIESGOS DE GESTION'!#REF!="Muy Baja",' RIESGOS DE GESTION'!#REF!="Catastrófico"),CONCATENATE("R1C",' RIESGOS DE GESTION'!#REF!),"")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583"/>
      <c r="C47" s="583"/>
      <c r="D47" s="584"/>
      <c r="E47" s="680"/>
      <c r="F47" s="681"/>
      <c r="G47" s="681"/>
      <c r="H47" s="681"/>
      <c r="I47" s="697"/>
      <c r="J47" s="62" t="e">
        <f>IF(AND(' RIESGOS DE GESTION'!#REF!="Muy Baja",' RIESGOS DE GESTION'!#REF!="Leve"),CONCATENATE("R2C",' RIESGOS DE GESTION'!#REF!),"")</f>
        <v>#REF!</v>
      </c>
      <c r="K47" s="63" t="e">
        <f>IF(AND(' RIESGOS DE GESTION'!#REF!="Muy Baja",' RIESGOS DE GESTION'!#REF!="Leve"),CONCATENATE("R2C",' RIESGOS DE GESTION'!#REF!),"")</f>
        <v>#REF!</v>
      </c>
      <c r="L47" s="63" t="e">
        <f>IF(AND(' RIESGOS DE GESTION'!#REF!="Muy Baja",' RIESGOS DE GESTION'!#REF!="Leve"),CONCATENATE("R2C",' RIESGOS DE GESTION'!#REF!),"")</f>
        <v>#REF!</v>
      </c>
      <c r="M47" s="63" t="e">
        <f>IF(AND(' RIESGOS DE GESTION'!#REF!="Muy Baja",' RIESGOS DE GESTION'!#REF!="Leve"),CONCATENATE("R2C",' RIESGOS DE GESTION'!#REF!),"")</f>
        <v>#REF!</v>
      </c>
      <c r="N47" s="63" t="e">
        <f>IF(AND(' RIESGOS DE GESTION'!#REF!="Muy Baja",' RIESGOS DE GESTION'!#REF!="Leve"),CONCATENATE("R2C",' RIESGOS DE GESTION'!#REF!),"")</f>
        <v>#REF!</v>
      </c>
      <c r="O47" s="64" t="e">
        <f>IF(AND(' RIESGOS DE GESTION'!#REF!="Muy Baja",' RIESGOS DE GESTION'!#REF!="Leve"),CONCATENATE("R2C",' RIESGOS DE GESTION'!#REF!),"")</f>
        <v>#REF!</v>
      </c>
      <c r="P47" s="62" t="e">
        <f>IF(AND(' RIESGOS DE GESTION'!#REF!="Muy Baja",' RIESGOS DE GESTION'!#REF!="Menor"),CONCATENATE("R2C",' RIESGOS DE GESTION'!#REF!),"")</f>
        <v>#REF!</v>
      </c>
      <c r="Q47" s="63" t="e">
        <f>IF(AND(' RIESGOS DE GESTION'!#REF!="Muy Baja",' RIESGOS DE GESTION'!#REF!="Menor"),CONCATENATE("R2C",' RIESGOS DE GESTION'!#REF!),"")</f>
        <v>#REF!</v>
      </c>
      <c r="R47" s="63" t="e">
        <f>IF(AND(' RIESGOS DE GESTION'!#REF!="Muy Baja",' RIESGOS DE GESTION'!#REF!="Menor"),CONCATENATE("R2C",' RIESGOS DE GESTION'!#REF!),"")</f>
        <v>#REF!</v>
      </c>
      <c r="S47" s="63" t="e">
        <f>IF(AND(' RIESGOS DE GESTION'!#REF!="Muy Baja",' RIESGOS DE GESTION'!#REF!="Menor"),CONCATENATE("R2C",' RIESGOS DE GESTION'!#REF!),"")</f>
        <v>#REF!</v>
      </c>
      <c r="T47" s="63" t="e">
        <f>IF(AND(' RIESGOS DE GESTION'!#REF!="Muy Baja",' RIESGOS DE GESTION'!#REF!="Menor"),CONCATENATE("R2C",' RIESGOS DE GESTION'!#REF!),"")</f>
        <v>#REF!</v>
      </c>
      <c r="U47" s="64" t="e">
        <f>IF(AND(' RIESGOS DE GESTION'!#REF!="Muy Baja",' RIESGOS DE GESTION'!#REF!="Menor"),CONCATENATE("R2C",' RIESGOS DE GESTION'!#REF!),"")</f>
        <v>#REF!</v>
      </c>
      <c r="V47" s="53" t="e">
        <f>IF(AND(' RIESGOS DE GESTION'!#REF!="Muy Baja",' RIESGOS DE GESTION'!#REF!="Moderado"),CONCATENATE("R2C",' RIESGOS DE GESTION'!#REF!),"")</f>
        <v>#REF!</v>
      </c>
      <c r="W47" s="54" t="e">
        <f>IF(AND(' RIESGOS DE GESTION'!#REF!="Muy Baja",' RIESGOS DE GESTION'!#REF!="Moderado"),CONCATENATE("R2C",' RIESGOS DE GESTION'!#REF!),"")</f>
        <v>#REF!</v>
      </c>
      <c r="X47" s="54" t="e">
        <f>IF(AND(' RIESGOS DE GESTION'!#REF!="Muy Baja",' RIESGOS DE GESTION'!#REF!="Moderado"),CONCATENATE("R2C",' RIESGOS DE GESTION'!#REF!),"")</f>
        <v>#REF!</v>
      </c>
      <c r="Y47" s="54" t="e">
        <f>IF(AND(' RIESGOS DE GESTION'!#REF!="Muy Baja",' RIESGOS DE GESTION'!#REF!="Moderado"),CONCATENATE("R2C",' RIESGOS DE GESTION'!#REF!),"")</f>
        <v>#REF!</v>
      </c>
      <c r="Z47" s="54" t="e">
        <f>IF(AND(' RIESGOS DE GESTION'!#REF!="Muy Baja",' RIESGOS DE GESTION'!#REF!="Moderado"),CONCATENATE("R2C",' RIESGOS DE GESTION'!#REF!),"")</f>
        <v>#REF!</v>
      </c>
      <c r="AA47" s="55" t="e">
        <f>IF(AND(' RIESGOS DE GESTION'!#REF!="Muy Baja",' RIESGOS DE GESTION'!#REF!="Moderado"),CONCATENATE("R2C",' RIESGOS DE GESTION'!#REF!),"")</f>
        <v>#REF!</v>
      </c>
      <c r="AB47" s="38" t="e">
        <f>IF(AND(' RIESGOS DE GESTION'!#REF!="Muy Baja",' RIESGOS DE GESTION'!#REF!="Mayor"),CONCATENATE("R2C",' RIESGOS DE GESTION'!#REF!),"")</f>
        <v>#REF!</v>
      </c>
      <c r="AC47" s="39" t="e">
        <f>IF(AND(' RIESGOS DE GESTION'!#REF!="Muy Baja",' RIESGOS DE GESTION'!#REF!="Mayor"),CONCATENATE("R2C",' RIESGOS DE GESTION'!#REF!),"")</f>
        <v>#REF!</v>
      </c>
      <c r="AD47" s="39" t="e">
        <f>IF(AND(' RIESGOS DE GESTION'!#REF!="Muy Baja",' RIESGOS DE GESTION'!#REF!="Mayor"),CONCATENATE("R2C",' RIESGOS DE GESTION'!#REF!),"")</f>
        <v>#REF!</v>
      </c>
      <c r="AE47" s="39" t="e">
        <f>IF(AND(' RIESGOS DE GESTION'!#REF!="Muy Baja",' RIESGOS DE GESTION'!#REF!="Mayor"),CONCATENATE("R2C",' RIESGOS DE GESTION'!#REF!),"")</f>
        <v>#REF!</v>
      </c>
      <c r="AF47" s="39" t="e">
        <f>IF(AND(' RIESGOS DE GESTION'!#REF!="Muy Baja",' RIESGOS DE GESTION'!#REF!="Mayor"),CONCATENATE("R2C",' RIESGOS DE GESTION'!#REF!),"")</f>
        <v>#REF!</v>
      </c>
      <c r="AG47" s="40" t="e">
        <f>IF(AND(' RIESGOS DE GESTION'!#REF!="Muy Baja",' RIESGOS DE GESTION'!#REF!="Mayor"),CONCATENATE("R2C",' RIESGOS DE GESTION'!#REF!),"")</f>
        <v>#REF!</v>
      </c>
      <c r="AH47" s="41" t="e">
        <f>IF(AND(' RIESGOS DE GESTION'!#REF!="Muy Baja",' RIESGOS DE GESTION'!#REF!="Catastrófico"),CONCATENATE("R2C",' RIESGOS DE GESTION'!#REF!),"")</f>
        <v>#REF!</v>
      </c>
      <c r="AI47" s="42" t="e">
        <f>IF(AND(' RIESGOS DE GESTION'!#REF!="Muy Baja",' RIESGOS DE GESTION'!#REF!="Catastrófico"),CONCATENATE("R2C",' RIESGOS DE GESTION'!#REF!),"")</f>
        <v>#REF!</v>
      </c>
      <c r="AJ47" s="42" t="e">
        <f>IF(AND(' RIESGOS DE GESTION'!#REF!="Muy Baja",' RIESGOS DE GESTION'!#REF!="Catastrófico"),CONCATENATE("R2C",' RIESGOS DE GESTION'!#REF!),"")</f>
        <v>#REF!</v>
      </c>
      <c r="AK47" s="42" t="e">
        <f>IF(AND(' RIESGOS DE GESTION'!#REF!="Muy Baja",' RIESGOS DE GESTION'!#REF!="Catastrófico"),CONCATENATE("R2C",' RIESGOS DE GESTION'!#REF!),"")</f>
        <v>#REF!</v>
      </c>
      <c r="AL47" s="42" t="e">
        <f>IF(AND(' RIESGOS DE GESTION'!#REF!="Muy Baja",' RIESGOS DE GESTION'!#REF!="Catastrófico"),CONCATENATE("R2C",' RIESGOS DE GESTION'!#REF!),"")</f>
        <v>#REF!</v>
      </c>
      <c r="AM47" s="43" t="e">
        <f>IF(AND(' RIESGOS DE GESTION'!#REF!="Muy Baja",' RIESGOS DE GESTION'!#REF!="Catastrófico"),CONCATENATE("R2C",' RIESGOS DE GESTION'!#REF!),"")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583"/>
      <c r="C48" s="583"/>
      <c r="D48" s="584"/>
      <c r="E48" s="680"/>
      <c r="F48" s="681"/>
      <c r="G48" s="681"/>
      <c r="H48" s="681"/>
      <c r="I48" s="697"/>
      <c r="J48" s="62" t="e">
        <f>IF(AND(' RIESGOS DE GESTION'!#REF!="Muy Baja",' RIESGOS DE GESTION'!#REF!="Leve"),CONCATENATE("R3C",' RIESGOS DE GESTION'!#REF!),"")</f>
        <v>#REF!</v>
      </c>
      <c r="K48" s="63" t="e">
        <f>IF(AND(' RIESGOS DE GESTION'!#REF!="Muy Baja",' RIESGOS DE GESTION'!#REF!="Leve"),CONCATENATE("R3C",' RIESGOS DE GESTION'!#REF!),"")</f>
        <v>#REF!</v>
      </c>
      <c r="L48" s="63" t="e">
        <f>IF(AND(' RIESGOS DE GESTION'!#REF!="Muy Baja",' RIESGOS DE GESTION'!#REF!="Leve"),CONCATENATE("R3C",' RIESGOS DE GESTION'!#REF!),"")</f>
        <v>#REF!</v>
      </c>
      <c r="M48" s="63" t="e">
        <f>IF(AND(' RIESGOS DE GESTION'!#REF!="Muy Baja",' RIESGOS DE GESTION'!#REF!="Leve"),CONCATENATE("R3C",' RIESGOS DE GESTION'!#REF!),"")</f>
        <v>#REF!</v>
      </c>
      <c r="N48" s="63" t="e">
        <f>IF(AND(' RIESGOS DE GESTION'!#REF!="Muy Baja",' RIESGOS DE GESTION'!#REF!="Leve"),CONCATENATE("R3C",' RIESGOS DE GESTION'!#REF!),"")</f>
        <v>#REF!</v>
      </c>
      <c r="O48" s="64" t="e">
        <f>IF(AND(' RIESGOS DE GESTION'!#REF!="Muy Baja",' RIESGOS DE GESTION'!#REF!="Leve"),CONCATENATE("R3C",' RIESGOS DE GESTION'!#REF!),"")</f>
        <v>#REF!</v>
      </c>
      <c r="P48" s="62" t="e">
        <f>IF(AND(' RIESGOS DE GESTION'!#REF!="Muy Baja",' RIESGOS DE GESTION'!#REF!="Menor"),CONCATENATE("R3C",' RIESGOS DE GESTION'!#REF!),"")</f>
        <v>#REF!</v>
      </c>
      <c r="Q48" s="63" t="e">
        <f>IF(AND(' RIESGOS DE GESTION'!#REF!="Muy Baja",' RIESGOS DE GESTION'!#REF!="Menor"),CONCATENATE("R3C",' RIESGOS DE GESTION'!#REF!),"")</f>
        <v>#REF!</v>
      </c>
      <c r="R48" s="63" t="e">
        <f>IF(AND(' RIESGOS DE GESTION'!#REF!="Muy Baja",' RIESGOS DE GESTION'!#REF!="Menor"),CONCATENATE("R3C",' RIESGOS DE GESTION'!#REF!),"")</f>
        <v>#REF!</v>
      </c>
      <c r="S48" s="63" t="e">
        <f>IF(AND(' RIESGOS DE GESTION'!#REF!="Muy Baja",' RIESGOS DE GESTION'!#REF!="Menor"),CONCATENATE("R3C",' RIESGOS DE GESTION'!#REF!),"")</f>
        <v>#REF!</v>
      </c>
      <c r="T48" s="63" t="e">
        <f>IF(AND(' RIESGOS DE GESTION'!#REF!="Muy Baja",' RIESGOS DE GESTION'!#REF!="Menor"),CONCATENATE("R3C",' RIESGOS DE GESTION'!#REF!),"")</f>
        <v>#REF!</v>
      </c>
      <c r="U48" s="64" t="e">
        <f>IF(AND(' RIESGOS DE GESTION'!#REF!="Muy Baja",' RIESGOS DE GESTION'!#REF!="Menor"),CONCATENATE("R3C",' RIESGOS DE GESTION'!#REF!),"")</f>
        <v>#REF!</v>
      </c>
      <c r="V48" s="53" t="e">
        <f>IF(AND(' RIESGOS DE GESTION'!#REF!="Muy Baja",' RIESGOS DE GESTION'!#REF!="Moderado"),CONCATENATE("R3C",' RIESGOS DE GESTION'!#REF!),"")</f>
        <v>#REF!</v>
      </c>
      <c r="W48" s="54" t="e">
        <f>IF(AND(' RIESGOS DE GESTION'!#REF!="Muy Baja",' RIESGOS DE GESTION'!#REF!="Moderado"),CONCATENATE("R3C",' RIESGOS DE GESTION'!#REF!),"")</f>
        <v>#REF!</v>
      </c>
      <c r="X48" s="54" t="e">
        <f>IF(AND(' RIESGOS DE GESTION'!#REF!="Muy Baja",' RIESGOS DE GESTION'!#REF!="Moderado"),CONCATENATE("R3C",' RIESGOS DE GESTION'!#REF!),"")</f>
        <v>#REF!</v>
      </c>
      <c r="Y48" s="54" t="e">
        <f>IF(AND(' RIESGOS DE GESTION'!#REF!="Muy Baja",' RIESGOS DE GESTION'!#REF!="Moderado"),CONCATENATE("R3C",' RIESGOS DE GESTION'!#REF!),"")</f>
        <v>#REF!</v>
      </c>
      <c r="Z48" s="54" t="e">
        <f>IF(AND(' RIESGOS DE GESTION'!#REF!="Muy Baja",' RIESGOS DE GESTION'!#REF!="Moderado"),CONCATENATE("R3C",' RIESGOS DE GESTION'!#REF!),"")</f>
        <v>#REF!</v>
      </c>
      <c r="AA48" s="55" t="e">
        <f>IF(AND(' RIESGOS DE GESTION'!#REF!="Muy Baja",' RIESGOS DE GESTION'!#REF!="Moderado"),CONCATENATE("R3C",' RIESGOS DE GESTION'!#REF!),"")</f>
        <v>#REF!</v>
      </c>
      <c r="AB48" s="38" t="e">
        <f>IF(AND(' RIESGOS DE GESTION'!#REF!="Muy Baja",' RIESGOS DE GESTION'!#REF!="Mayor"),CONCATENATE("R3C",' RIESGOS DE GESTION'!#REF!),"")</f>
        <v>#REF!</v>
      </c>
      <c r="AC48" s="39" t="e">
        <f>IF(AND(' RIESGOS DE GESTION'!#REF!="Muy Baja",' RIESGOS DE GESTION'!#REF!="Mayor"),CONCATENATE("R3C",' RIESGOS DE GESTION'!#REF!),"")</f>
        <v>#REF!</v>
      </c>
      <c r="AD48" s="39" t="e">
        <f>IF(AND(' RIESGOS DE GESTION'!#REF!="Muy Baja",' RIESGOS DE GESTION'!#REF!="Mayor"),CONCATENATE("R3C",' RIESGOS DE GESTION'!#REF!),"")</f>
        <v>#REF!</v>
      </c>
      <c r="AE48" s="39" t="e">
        <f>IF(AND(' RIESGOS DE GESTION'!#REF!="Muy Baja",' RIESGOS DE GESTION'!#REF!="Mayor"),CONCATENATE("R3C",' RIESGOS DE GESTION'!#REF!),"")</f>
        <v>#REF!</v>
      </c>
      <c r="AF48" s="39" t="e">
        <f>IF(AND(' RIESGOS DE GESTION'!#REF!="Muy Baja",' RIESGOS DE GESTION'!#REF!="Mayor"),CONCATENATE("R3C",' RIESGOS DE GESTION'!#REF!),"")</f>
        <v>#REF!</v>
      </c>
      <c r="AG48" s="40" t="e">
        <f>IF(AND(' RIESGOS DE GESTION'!#REF!="Muy Baja",' RIESGOS DE GESTION'!#REF!="Mayor"),CONCATENATE("R3C",' RIESGOS DE GESTION'!#REF!),"")</f>
        <v>#REF!</v>
      </c>
      <c r="AH48" s="41" t="e">
        <f>IF(AND(' RIESGOS DE GESTION'!#REF!="Muy Baja",' RIESGOS DE GESTION'!#REF!="Catastrófico"),CONCATENATE("R3C",' RIESGOS DE GESTION'!#REF!),"")</f>
        <v>#REF!</v>
      </c>
      <c r="AI48" s="42" t="e">
        <f>IF(AND(' RIESGOS DE GESTION'!#REF!="Muy Baja",' RIESGOS DE GESTION'!#REF!="Catastrófico"),CONCATENATE("R3C",' RIESGOS DE GESTION'!#REF!),"")</f>
        <v>#REF!</v>
      </c>
      <c r="AJ48" s="42" t="e">
        <f>IF(AND(' RIESGOS DE GESTION'!#REF!="Muy Baja",' RIESGOS DE GESTION'!#REF!="Catastrófico"),CONCATENATE("R3C",' RIESGOS DE GESTION'!#REF!),"")</f>
        <v>#REF!</v>
      </c>
      <c r="AK48" s="42" t="e">
        <f>IF(AND(' RIESGOS DE GESTION'!#REF!="Muy Baja",' RIESGOS DE GESTION'!#REF!="Catastrófico"),CONCATENATE("R3C",' RIESGOS DE GESTION'!#REF!),"")</f>
        <v>#REF!</v>
      </c>
      <c r="AL48" s="42" t="e">
        <f>IF(AND(' RIESGOS DE GESTION'!#REF!="Muy Baja",' RIESGOS DE GESTION'!#REF!="Catastrófico"),CONCATENATE("R3C",' RIESGOS DE GESTION'!#REF!),"")</f>
        <v>#REF!</v>
      </c>
      <c r="AM48" s="43" t="e">
        <f>IF(AND(' RIESGOS DE GESTION'!#REF!="Muy Baja",' RIESGOS DE GESTION'!#REF!="Catastrófico"),CONCATENATE("R3C",' RIESGOS DE GESTION'!#REF!),"")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583"/>
      <c r="C49" s="583"/>
      <c r="D49" s="584"/>
      <c r="E49" s="682"/>
      <c r="F49" s="681"/>
      <c r="G49" s="681"/>
      <c r="H49" s="681"/>
      <c r="I49" s="697"/>
      <c r="J49" s="62" t="e">
        <f>IF(AND(' RIESGOS DE GESTION'!#REF!="Muy Baja",' RIESGOS DE GESTION'!#REF!="Leve"),CONCATENATE("R4C",' RIESGOS DE GESTION'!#REF!),"")</f>
        <v>#REF!</v>
      </c>
      <c r="K49" s="63" t="e">
        <f>IF(AND(' RIESGOS DE GESTION'!#REF!="Muy Baja",' RIESGOS DE GESTION'!#REF!="Leve"),CONCATENATE("R4C",' RIESGOS DE GESTION'!#REF!),"")</f>
        <v>#REF!</v>
      </c>
      <c r="L49" s="63" t="e">
        <f>IF(AND(' RIESGOS DE GESTION'!#REF!="Muy Baja",' RIESGOS DE GESTION'!#REF!="Leve"),CONCATENATE("R4C",' RIESGOS DE GESTION'!#REF!),"")</f>
        <v>#REF!</v>
      </c>
      <c r="M49" s="63" t="e">
        <f>IF(AND(' RIESGOS DE GESTION'!#REF!="Muy Baja",' RIESGOS DE GESTION'!#REF!="Leve"),CONCATENATE("R4C",' RIESGOS DE GESTION'!#REF!),"")</f>
        <v>#REF!</v>
      </c>
      <c r="N49" s="63" t="e">
        <f>IF(AND(' RIESGOS DE GESTION'!#REF!="Muy Baja",' RIESGOS DE GESTION'!#REF!="Leve"),CONCATENATE("R4C",' RIESGOS DE GESTION'!#REF!),"")</f>
        <v>#REF!</v>
      </c>
      <c r="O49" s="64" t="e">
        <f>IF(AND(' RIESGOS DE GESTION'!#REF!="Muy Baja",' RIESGOS DE GESTION'!#REF!="Leve"),CONCATENATE("R4C",' RIESGOS DE GESTION'!#REF!),"")</f>
        <v>#REF!</v>
      </c>
      <c r="P49" s="62" t="e">
        <f>IF(AND(' RIESGOS DE GESTION'!#REF!="Muy Baja",' RIESGOS DE GESTION'!#REF!="Menor"),CONCATENATE("R4C",' RIESGOS DE GESTION'!#REF!),"")</f>
        <v>#REF!</v>
      </c>
      <c r="Q49" s="63" t="e">
        <f>IF(AND(' RIESGOS DE GESTION'!#REF!="Muy Baja",' RIESGOS DE GESTION'!#REF!="Menor"),CONCATENATE("R4C",' RIESGOS DE GESTION'!#REF!),"")</f>
        <v>#REF!</v>
      </c>
      <c r="R49" s="63" t="e">
        <f>IF(AND(' RIESGOS DE GESTION'!#REF!="Muy Baja",' RIESGOS DE GESTION'!#REF!="Menor"),CONCATENATE("R4C",' RIESGOS DE GESTION'!#REF!),"")</f>
        <v>#REF!</v>
      </c>
      <c r="S49" s="63" t="e">
        <f>IF(AND(' RIESGOS DE GESTION'!#REF!="Muy Baja",' RIESGOS DE GESTION'!#REF!="Menor"),CONCATENATE("R4C",' RIESGOS DE GESTION'!#REF!),"")</f>
        <v>#REF!</v>
      </c>
      <c r="T49" s="63" t="e">
        <f>IF(AND(' RIESGOS DE GESTION'!#REF!="Muy Baja",' RIESGOS DE GESTION'!#REF!="Menor"),CONCATENATE("R4C",' RIESGOS DE GESTION'!#REF!),"")</f>
        <v>#REF!</v>
      </c>
      <c r="U49" s="64" t="e">
        <f>IF(AND(' RIESGOS DE GESTION'!#REF!="Muy Baja",' RIESGOS DE GESTION'!#REF!="Menor"),CONCATENATE("R4C",' RIESGOS DE GESTION'!#REF!),"")</f>
        <v>#REF!</v>
      </c>
      <c r="V49" s="53" t="e">
        <f>IF(AND(' RIESGOS DE GESTION'!#REF!="Muy Baja",' RIESGOS DE GESTION'!#REF!="Moderado"),CONCATENATE("R4C",' RIESGOS DE GESTION'!#REF!),"")</f>
        <v>#REF!</v>
      </c>
      <c r="W49" s="54" t="e">
        <f>IF(AND(' RIESGOS DE GESTION'!#REF!="Muy Baja",' RIESGOS DE GESTION'!#REF!="Moderado"),CONCATENATE("R4C",' RIESGOS DE GESTION'!#REF!),"")</f>
        <v>#REF!</v>
      </c>
      <c r="X49" s="54" t="e">
        <f>IF(AND(' RIESGOS DE GESTION'!#REF!="Muy Baja",' RIESGOS DE GESTION'!#REF!="Moderado"),CONCATENATE("R4C",' RIESGOS DE GESTION'!#REF!),"")</f>
        <v>#REF!</v>
      </c>
      <c r="Y49" s="54" t="e">
        <f>IF(AND(' RIESGOS DE GESTION'!#REF!="Muy Baja",' RIESGOS DE GESTION'!#REF!="Moderado"),CONCATENATE("R4C",' RIESGOS DE GESTION'!#REF!),"")</f>
        <v>#REF!</v>
      </c>
      <c r="Z49" s="54" t="e">
        <f>IF(AND(' RIESGOS DE GESTION'!#REF!="Muy Baja",' RIESGOS DE GESTION'!#REF!="Moderado"),CONCATENATE("R4C",' RIESGOS DE GESTION'!#REF!),"")</f>
        <v>#REF!</v>
      </c>
      <c r="AA49" s="55" t="e">
        <f>IF(AND(' RIESGOS DE GESTION'!#REF!="Muy Baja",' RIESGOS DE GESTION'!#REF!="Moderado"),CONCATENATE("R4C",' RIESGOS DE GESTION'!#REF!),"")</f>
        <v>#REF!</v>
      </c>
      <c r="AB49" s="38" t="e">
        <f>IF(AND(' RIESGOS DE GESTION'!#REF!="Muy Baja",' RIESGOS DE GESTION'!#REF!="Mayor"),CONCATENATE("R4C",' RIESGOS DE GESTION'!#REF!),"")</f>
        <v>#REF!</v>
      </c>
      <c r="AC49" s="39" t="e">
        <f>IF(AND(' RIESGOS DE GESTION'!#REF!="Muy Baja",' RIESGOS DE GESTION'!#REF!="Mayor"),CONCATENATE("R4C",' RIESGOS DE GESTION'!#REF!),"")</f>
        <v>#REF!</v>
      </c>
      <c r="AD49" s="39" t="e">
        <f>IF(AND(' RIESGOS DE GESTION'!#REF!="Muy Baja",' RIESGOS DE GESTION'!#REF!="Mayor"),CONCATENATE("R4C",' RIESGOS DE GESTION'!#REF!),"")</f>
        <v>#REF!</v>
      </c>
      <c r="AE49" s="39" t="e">
        <f>IF(AND(' RIESGOS DE GESTION'!#REF!="Muy Baja",' RIESGOS DE GESTION'!#REF!="Mayor"),CONCATENATE("R4C",' RIESGOS DE GESTION'!#REF!),"")</f>
        <v>#REF!</v>
      </c>
      <c r="AF49" s="39" t="e">
        <f>IF(AND(' RIESGOS DE GESTION'!#REF!="Muy Baja",' RIESGOS DE GESTION'!#REF!="Mayor"),CONCATENATE("R4C",' RIESGOS DE GESTION'!#REF!),"")</f>
        <v>#REF!</v>
      </c>
      <c r="AG49" s="40" t="e">
        <f>IF(AND(' RIESGOS DE GESTION'!#REF!="Muy Baja",' RIESGOS DE GESTION'!#REF!="Mayor"),CONCATENATE("R4C",' RIESGOS DE GESTION'!#REF!),"")</f>
        <v>#REF!</v>
      </c>
      <c r="AH49" s="41" t="e">
        <f>IF(AND(' RIESGOS DE GESTION'!#REF!="Muy Baja",' RIESGOS DE GESTION'!#REF!="Catastrófico"),CONCATENATE("R4C",' RIESGOS DE GESTION'!#REF!),"")</f>
        <v>#REF!</v>
      </c>
      <c r="AI49" s="42" t="e">
        <f>IF(AND(' RIESGOS DE GESTION'!#REF!="Muy Baja",' RIESGOS DE GESTION'!#REF!="Catastrófico"),CONCATENATE("R4C",' RIESGOS DE GESTION'!#REF!),"")</f>
        <v>#REF!</v>
      </c>
      <c r="AJ49" s="42" t="e">
        <f>IF(AND(' RIESGOS DE GESTION'!#REF!="Muy Baja",' RIESGOS DE GESTION'!#REF!="Catastrófico"),CONCATENATE("R4C",' RIESGOS DE GESTION'!#REF!),"")</f>
        <v>#REF!</v>
      </c>
      <c r="AK49" s="42" t="e">
        <f>IF(AND(' RIESGOS DE GESTION'!#REF!="Muy Baja",' RIESGOS DE GESTION'!#REF!="Catastrófico"),CONCATENATE("R4C",' RIESGOS DE GESTION'!#REF!),"")</f>
        <v>#REF!</v>
      </c>
      <c r="AL49" s="42" t="e">
        <f>IF(AND(' RIESGOS DE GESTION'!#REF!="Muy Baja",' RIESGOS DE GESTION'!#REF!="Catastrófico"),CONCATENATE("R4C",' RIESGOS DE GESTION'!#REF!),"")</f>
        <v>#REF!</v>
      </c>
      <c r="AM49" s="43" t="e">
        <f>IF(AND(' RIESGOS DE GESTION'!#REF!="Muy Baja",' RIESGOS DE GESTION'!#REF!="Catastrófico"),CONCATENATE("R4C",' RIESGOS DE GESTION'!#REF!),"")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583"/>
      <c r="C50" s="583"/>
      <c r="D50" s="584"/>
      <c r="E50" s="682"/>
      <c r="F50" s="681"/>
      <c r="G50" s="681"/>
      <c r="H50" s="681"/>
      <c r="I50" s="697"/>
      <c r="J50" s="62" t="e">
        <f>IF(AND(' RIESGOS DE GESTION'!#REF!="Muy Baja",' RIESGOS DE GESTION'!#REF!="Leve"),CONCATENATE("R5C",' RIESGOS DE GESTION'!#REF!),"")</f>
        <v>#REF!</v>
      </c>
      <c r="K50" s="63" t="e">
        <f>IF(AND(' RIESGOS DE GESTION'!#REF!="Muy Baja",' RIESGOS DE GESTION'!#REF!="Leve"),CONCATENATE("R5C",' RIESGOS DE GESTION'!#REF!),"")</f>
        <v>#REF!</v>
      </c>
      <c r="L50" s="63" t="e">
        <f>IF(AND(' RIESGOS DE GESTION'!#REF!="Muy Baja",' RIESGOS DE GESTION'!#REF!="Leve"),CONCATENATE("R5C",' RIESGOS DE GESTION'!#REF!),"")</f>
        <v>#REF!</v>
      </c>
      <c r="M50" s="63" t="e">
        <f>IF(AND(' RIESGOS DE GESTION'!#REF!="Muy Baja",' RIESGOS DE GESTION'!#REF!="Leve"),CONCATENATE("R5C",' RIESGOS DE GESTION'!#REF!),"")</f>
        <v>#REF!</v>
      </c>
      <c r="N50" s="63" t="e">
        <f>IF(AND(' RIESGOS DE GESTION'!#REF!="Muy Baja",' RIESGOS DE GESTION'!#REF!="Leve"),CONCATENATE("R5C",' RIESGOS DE GESTION'!#REF!),"")</f>
        <v>#REF!</v>
      </c>
      <c r="O50" s="64" t="e">
        <f>IF(AND(' RIESGOS DE GESTION'!#REF!="Muy Baja",' RIESGOS DE GESTION'!#REF!="Leve"),CONCATENATE("R5C",' RIESGOS DE GESTION'!#REF!),"")</f>
        <v>#REF!</v>
      </c>
      <c r="P50" s="62" t="e">
        <f>IF(AND(' RIESGOS DE GESTION'!#REF!="Muy Baja",' RIESGOS DE GESTION'!#REF!="Menor"),CONCATENATE("R5C",' RIESGOS DE GESTION'!#REF!),"")</f>
        <v>#REF!</v>
      </c>
      <c r="Q50" s="63" t="e">
        <f>IF(AND(' RIESGOS DE GESTION'!#REF!="Muy Baja",' RIESGOS DE GESTION'!#REF!="Menor"),CONCATENATE("R5C",' RIESGOS DE GESTION'!#REF!),"")</f>
        <v>#REF!</v>
      </c>
      <c r="R50" s="63" t="e">
        <f>IF(AND(' RIESGOS DE GESTION'!#REF!="Muy Baja",' RIESGOS DE GESTION'!#REF!="Menor"),CONCATENATE("R5C",' RIESGOS DE GESTION'!#REF!),"")</f>
        <v>#REF!</v>
      </c>
      <c r="S50" s="63" t="e">
        <f>IF(AND(' RIESGOS DE GESTION'!#REF!="Muy Baja",' RIESGOS DE GESTION'!#REF!="Menor"),CONCATENATE("R5C",' RIESGOS DE GESTION'!#REF!),"")</f>
        <v>#REF!</v>
      </c>
      <c r="T50" s="63" t="e">
        <f>IF(AND(' RIESGOS DE GESTION'!#REF!="Muy Baja",' RIESGOS DE GESTION'!#REF!="Menor"),CONCATENATE("R5C",' RIESGOS DE GESTION'!#REF!),"")</f>
        <v>#REF!</v>
      </c>
      <c r="U50" s="64" t="e">
        <f>IF(AND(' RIESGOS DE GESTION'!#REF!="Muy Baja",' RIESGOS DE GESTION'!#REF!="Menor"),CONCATENATE("R5C",' RIESGOS DE GESTION'!#REF!),"")</f>
        <v>#REF!</v>
      </c>
      <c r="V50" s="53" t="e">
        <f>IF(AND(' RIESGOS DE GESTION'!#REF!="Muy Baja",' RIESGOS DE GESTION'!#REF!="Moderado"),CONCATENATE("R5C",' RIESGOS DE GESTION'!#REF!),"")</f>
        <v>#REF!</v>
      </c>
      <c r="W50" s="54" t="e">
        <f>IF(AND(' RIESGOS DE GESTION'!#REF!="Muy Baja",' RIESGOS DE GESTION'!#REF!="Moderado"),CONCATENATE("R5C",' RIESGOS DE GESTION'!#REF!),"")</f>
        <v>#REF!</v>
      </c>
      <c r="X50" s="54" t="e">
        <f>IF(AND(' RIESGOS DE GESTION'!#REF!="Muy Baja",' RIESGOS DE GESTION'!#REF!="Moderado"),CONCATENATE("R5C",' RIESGOS DE GESTION'!#REF!),"")</f>
        <v>#REF!</v>
      </c>
      <c r="Y50" s="54" t="e">
        <f>IF(AND(' RIESGOS DE GESTION'!#REF!="Muy Baja",' RIESGOS DE GESTION'!#REF!="Moderado"),CONCATENATE("R5C",' RIESGOS DE GESTION'!#REF!),"")</f>
        <v>#REF!</v>
      </c>
      <c r="Z50" s="54" t="e">
        <f>IF(AND(' RIESGOS DE GESTION'!#REF!="Muy Baja",' RIESGOS DE GESTION'!#REF!="Moderado"),CONCATENATE("R5C",' RIESGOS DE GESTION'!#REF!),"")</f>
        <v>#REF!</v>
      </c>
      <c r="AA50" s="55" t="e">
        <f>IF(AND(' RIESGOS DE GESTION'!#REF!="Muy Baja",' RIESGOS DE GESTION'!#REF!="Moderado"),CONCATENATE("R5C",' RIESGOS DE GESTION'!#REF!),"")</f>
        <v>#REF!</v>
      </c>
      <c r="AB50" s="38" t="e">
        <f>IF(AND(' RIESGOS DE GESTION'!#REF!="Muy Baja",' RIESGOS DE GESTION'!#REF!="Mayor"),CONCATENATE("R5C",' RIESGOS DE GESTION'!#REF!),"")</f>
        <v>#REF!</v>
      </c>
      <c r="AC50" s="39" t="e">
        <f>IF(AND(' RIESGOS DE GESTION'!#REF!="Muy Baja",' RIESGOS DE GESTION'!#REF!="Mayor"),CONCATENATE("R5C",' RIESGOS DE GESTION'!#REF!),"")</f>
        <v>#REF!</v>
      </c>
      <c r="AD50" s="39" t="e">
        <f>IF(AND(' RIESGOS DE GESTION'!#REF!="Muy Baja",' RIESGOS DE GESTION'!#REF!="Mayor"),CONCATENATE("R5C",' RIESGOS DE GESTION'!#REF!),"")</f>
        <v>#REF!</v>
      </c>
      <c r="AE50" s="39" t="e">
        <f>IF(AND(' RIESGOS DE GESTION'!#REF!="Muy Baja",' RIESGOS DE GESTION'!#REF!="Mayor"),CONCATENATE("R5C",' RIESGOS DE GESTION'!#REF!),"")</f>
        <v>#REF!</v>
      </c>
      <c r="AF50" s="39" t="e">
        <f>IF(AND(' RIESGOS DE GESTION'!#REF!="Muy Baja",' RIESGOS DE GESTION'!#REF!="Mayor"),CONCATENATE("R5C",' RIESGOS DE GESTION'!#REF!),"")</f>
        <v>#REF!</v>
      </c>
      <c r="AG50" s="40" t="e">
        <f>IF(AND(' RIESGOS DE GESTION'!#REF!="Muy Baja",' RIESGOS DE GESTION'!#REF!="Mayor"),CONCATENATE("R5C",' RIESGOS DE GESTION'!#REF!),"")</f>
        <v>#REF!</v>
      </c>
      <c r="AH50" s="41" t="e">
        <f>IF(AND(' RIESGOS DE GESTION'!#REF!="Muy Baja",' RIESGOS DE GESTION'!#REF!="Catastrófico"),CONCATENATE("R5C",' RIESGOS DE GESTION'!#REF!),"")</f>
        <v>#REF!</v>
      </c>
      <c r="AI50" s="42" t="e">
        <f>IF(AND(' RIESGOS DE GESTION'!#REF!="Muy Baja",' RIESGOS DE GESTION'!#REF!="Catastrófico"),CONCATENATE("R5C",' RIESGOS DE GESTION'!#REF!),"")</f>
        <v>#REF!</v>
      </c>
      <c r="AJ50" s="42" t="e">
        <f>IF(AND(' RIESGOS DE GESTION'!#REF!="Muy Baja",' RIESGOS DE GESTION'!#REF!="Catastrófico"),CONCATENATE("R5C",' RIESGOS DE GESTION'!#REF!),"")</f>
        <v>#REF!</v>
      </c>
      <c r="AK50" s="42" t="e">
        <f>IF(AND(' RIESGOS DE GESTION'!#REF!="Muy Baja",' RIESGOS DE GESTION'!#REF!="Catastrófico"),CONCATENATE("R5C",' RIESGOS DE GESTION'!#REF!),"")</f>
        <v>#REF!</v>
      </c>
      <c r="AL50" s="42" t="e">
        <f>IF(AND(' RIESGOS DE GESTION'!#REF!="Muy Baja",' RIESGOS DE GESTION'!#REF!="Catastrófico"),CONCATENATE("R5C",' RIESGOS DE GESTION'!#REF!),"")</f>
        <v>#REF!</v>
      </c>
      <c r="AM50" s="43" t="e">
        <f>IF(AND(' RIESGOS DE GESTION'!#REF!="Muy Baja",' RIESGOS DE GESTION'!#REF!="Catastrófico"),CONCATENATE("R5C",' RIESGOS DE GESTION'!#REF!),"")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583"/>
      <c r="C51" s="583"/>
      <c r="D51" s="584"/>
      <c r="E51" s="682"/>
      <c r="F51" s="681"/>
      <c r="G51" s="681"/>
      <c r="H51" s="681"/>
      <c r="I51" s="697"/>
      <c r="J51" s="62" t="e">
        <f>IF(AND(' RIESGOS DE GESTION'!#REF!="Muy Baja",' RIESGOS DE GESTION'!#REF!="Leve"),CONCATENATE("R6C",' RIESGOS DE GESTION'!#REF!),"")</f>
        <v>#REF!</v>
      </c>
      <c r="K51" s="63" t="e">
        <f>IF(AND(' RIESGOS DE GESTION'!#REF!="Muy Baja",' RIESGOS DE GESTION'!#REF!="Leve"),CONCATENATE("R6C",' RIESGOS DE GESTION'!#REF!),"")</f>
        <v>#REF!</v>
      </c>
      <c r="L51" s="63" t="e">
        <f>IF(AND(' RIESGOS DE GESTION'!#REF!="Muy Baja",' RIESGOS DE GESTION'!#REF!="Leve"),CONCATENATE("R6C",' RIESGOS DE GESTION'!#REF!),"")</f>
        <v>#REF!</v>
      </c>
      <c r="M51" s="63" t="e">
        <f>IF(AND(' RIESGOS DE GESTION'!#REF!="Muy Baja",' RIESGOS DE GESTION'!#REF!="Leve"),CONCATENATE("R6C",' RIESGOS DE GESTION'!#REF!),"")</f>
        <v>#REF!</v>
      </c>
      <c r="N51" s="63" t="e">
        <f>IF(AND(' RIESGOS DE GESTION'!#REF!="Muy Baja",' RIESGOS DE GESTION'!#REF!="Leve"),CONCATENATE("R6C",' RIESGOS DE GESTION'!#REF!),"")</f>
        <v>#REF!</v>
      </c>
      <c r="O51" s="64" t="e">
        <f>IF(AND(' RIESGOS DE GESTION'!#REF!="Muy Baja",' RIESGOS DE GESTION'!#REF!="Leve"),CONCATENATE("R6C",' RIESGOS DE GESTION'!#REF!),"")</f>
        <v>#REF!</v>
      </c>
      <c r="P51" s="62" t="e">
        <f>IF(AND(' RIESGOS DE GESTION'!#REF!="Muy Baja",' RIESGOS DE GESTION'!#REF!="Menor"),CONCATENATE("R6C",' RIESGOS DE GESTION'!#REF!),"")</f>
        <v>#REF!</v>
      </c>
      <c r="Q51" s="63" t="e">
        <f>IF(AND(' RIESGOS DE GESTION'!#REF!="Muy Baja",' RIESGOS DE GESTION'!#REF!="Menor"),CONCATENATE("R6C",' RIESGOS DE GESTION'!#REF!),"")</f>
        <v>#REF!</v>
      </c>
      <c r="R51" s="63" t="e">
        <f>IF(AND(' RIESGOS DE GESTION'!#REF!="Muy Baja",' RIESGOS DE GESTION'!#REF!="Menor"),CONCATENATE("R6C",' RIESGOS DE GESTION'!#REF!),"")</f>
        <v>#REF!</v>
      </c>
      <c r="S51" s="63" t="e">
        <f>IF(AND(' RIESGOS DE GESTION'!#REF!="Muy Baja",' RIESGOS DE GESTION'!#REF!="Menor"),CONCATENATE("R6C",' RIESGOS DE GESTION'!#REF!),"")</f>
        <v>#REF!</v>
      </c>
      <c r="T51" s="63" t="e">
        <f>IF(AND(' RIESGOS DE GESTION'!#REF!="Muy Baja",' RIESGOS DE GESTION'!#REF!="Menor"),CONCATENATE("R6C",' RIESGOS DE GESTION'!#REF!),"")</f>
        <v>#REF!</v>
      </c>
      <c r="U51" s="64" t="e">
        <f>IF(AND(' RIESGOS DE GESTION'!#REF!="Muy Baja",' RIESGOS DE GESTION'!#REF!="Menor"),CONCATENATE("R6C",' RIESGOS DE GESTION'!#REF!),"")</f>
        <v>#REF!</v>
      </c>
      <c r="V51" s="53" t="e">
        <f>IF(AND(' RIESGOS DE GESTION'!#REF!="Muy Baja",' RIESGOS DE GESTION'!#REF!="Moderado"),CONCATENATE("R6C",' RIESGOS DE GESTION'!#REF!),"")</f>
        <v>#REF!</v>
      </c>
      <c r="W51" s="54" t="e">
        <f>IF(AND(' RIESGOS DE GESTION'!#REF!="Muy Baja",' RIESGOS DE GESTION'!#REF!="Moderado"),CONCATENATE("R6C",' RIESGOS DE GESTION'!#REF!),"")</f>
        <v>#REF!</v>
      </c>
      <c r="X51" s="54" t="e">
        <f>IF(AND(' RIESGOS DE GESTION'!#REF!="Muy Baja",' RIESGOS DE GESTION'!#REF!="Moderado"),CONCATENATE("R6C",' RIESGOS DE GESTION'!#REF!),"")</f>
        <v>#REF!</v>
      </c>
      <c r="Y51" s="54" t="e">
        <f>IF(AND(' RIESGOS DE GESTION'!#REF!="Muy Baja",' RIESGOS DE GESTION'!#REF!="Moderado"),CONCATENATE("R6C",' RIESGOS DE GESTION'!#REF!),"")</f>
        <v>#REF!</v>
      </c>
      <c r="Z51" s="54" t="e">
        <f>IF(AND(' RIESGOS DE GESTION'!#REF!="Muy Baja",' RIESGOS DE GESTION'!#REF!="Moderado"),CONCATENATE("R6C",' RIESGOS DE GESTION'!#REF!),"")</f>
        <v>#REF!</v>
      </c>
      <c r="AA51" s="55" t="e">
        <f>IF(AND(' RIESGOS DE GESTION'!#REF!="Muy Baja",' RIESGOS DE GESTION'!#REF!="Moderado"),CONCATENATE("R6C",' RIESGOS DE GESTION'!#REF!),"")</f>
        <v>#REF!</v>
      </c>
      <c r="AB51" s="38" t="e">
        <f>IF(AND(' RIESGOS DE GESTION'!#REF!="Muy Baja",' RIESGOS DE GESTION'!#REF!="Mayor"),CONCATENATE("R6C",' RIESGOS DE GESTION'!#REF!),"")</f>
        <v>#REF!</v>
      </c>
      <c r="AC51" s="39" t="e">
        <f>IF(AND(' RIESGOS DE GESTION'!#REF!="Muy Baja",' RIESGOS DE GESTION'!#REF!="Mayor"),CONCATENATE("R6C",' RIESGOS DE GESTION'!#REF!),"")</f>
        <v>#REF!</v>
      </c>
      <c r="AD51" s="39" t="e">
        <f>IF(AND(' RIESGOS DE GESTION'!#REF!="Muy Baja",' RIESGOS DE GESTION'!#REF!="Mayor"),CONCATENATE("R6C",' RIESGOS DE GESTION'!#REF!),"")</f>
        <v>#REF!</v>
      </c>
      <c r="AE51" s="39" t="e">
        <f>IF(AND(' RIESGOS DE GESTION'!#REF!="Muy Baja",' RIESGOS DE GESTION'!#REF!="Mayor"),CONCATENATE("R6C",' RIESGOS DE GESTION'!#REF!),"")</f>
        <v>#REF!</v>
      </c>
      <c r="AF51" s="39" t="e">
        <f>IF(AND(' RIESGOS DE GESTION'!#REF!="Muy Baja",' RIESGOS DE GESTION'!#REF!="Mayor"),CONCATENATE("R6C",' RIESGOS DE GESTION'!#REF!),"")</f>
        <v>#REF!</v>
      </c>
      <c r="AG51" s="40" t="e">
        <f>IF(AND(' RIESGOS DE GESTION'!#REF!="Muy Baja",' RIESGOS DE GESTION'!#REF!="Mayor"),CONCATENATE("R6C",' RIESGOS DE GESTION'!#REF!),"")</f>
        <v>#REF!</v>
      </c>
      <c r="AH51" s="41" t="e">
        <f>IF(AND(' RIESGOS DE GESTION'!#REF!="Muy Baja",' RIESGOS DE GESTION'!#REF!="Catastrófico"),CONCATENATE("R6C",' RIESGOS DE GESTION'!#REF!),"")</f>
        <v>#REF!</v>
      </c>
      <c r="AI51" s="42" t="e">
        <f>IF(AND(' RIESGOS DE GESTION'!#REF!="Muy Baja",' RIESGOS DE GESTION'!#REF!="Catastrófico"),CONCATENATE("R6C",' RIESGOS DE GESTION'!#REF!),"")</f>
        <v>#REF!</v>
      </c>
      <c r="AJ51" s="42" t="e">
        <f>IF(AND(' RIESGOS DE GESTION'!#REF!="Muy Baja",' RIESGOS DE GESTION'!#REF!="Catastrófico"),CONCATENATE("R6C",' RIESGOS DE GESTION'!#REF!),"")</f>
        <v>#REF!</v>
      </c>
      <c r="AK51" s="42" t="e">
        <f>IF(AND(' RIESGOS DE GESTION'!#REF!="Muy Baja",' RIESGOS DE GESTION'!#REF!="Catastrófico"),CONCATENATE("R6C",' RIESGOS DE GESTION'!#REF!),"")</f>
        <v>#REF!</v>
      </c>
      <c r="AL51" s="42" t="e">
        <f>IF(AND(' RIESGOS DE GESTION'!#REF!="Muy Baja",' RIESGOS DE GESTION'!#REF!="Catastrófico"),CONCATENATE("R6C",' RIESGOS DE GESTION'!#REF!),"")</f>
        <v>#REF!</v>
      </c>
      <c r="AM51" s="43" t="e">
        <f>IF(AND(' RIESGOS DE GESTION'!#REF!="Muy Baja",' RIESGOS DE GESTION'!#REF!="Catastrófico"),CONCATENATE("R6C",' RIESGOS DE GESTION'!#REF!),"")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583"/>
      <c r="C52" s="583"/>
      <c r="D52" s="584"/>
      <c r="E52" s="682"/>
      <c r="F52" s="681"/>
      <c r="G52" s="681"/>
      <c r="H52" s="681"/>
      <c r="I52" s="697"/>
      <c r="J52" s="62" t="e">
        <f>IF(AND(' RIESGOS DE GESTION'!#REF!="Muy Baja",' RIESGOS DE GESTION'!#REF!="Leve"),CONCATENATE("R7C",' RIESGOS DE GESTION'!#REF!),"")</f>
        <v>#REF!</v>
      </c>
      <c r="K52" s="63" t="e">
        <f>IF(AND(' RIESGOS DE GESTION'!#REF!="Muy Baja",' RIESGOS DE GESTION'!#REF!="Leve"),CONCATENATE("R7C",' RIESGOS DE GESTION'!#REF!),"")</f>
        <v>#REF!</v>
      </c>
      <c r="L52" s="63" t="e">
        <f>IF(AND(' RIESGOS DE GESTION'!#REF!="Muy Baja",' RIESGOS DE GESTION'!#REF!="Leve"),CONCATENATE("R7C",' RIESGOS DE GESTION'!#REF!),"")</f>
        <v>#REF!</v>
      </c>
      <c r="M52" s="63" t="e">
        <f>IF(AND(' RIESGOS DE GESTION'!#REF!="Muy Baja",' RIESGOS DE GESTION'!#REF!="Leve"),CONCATENATE("R7C",' RIESGOS DE GESTION'!#REF!),"")</f>
        <v>#REF!</v>
      </c>
      <c r="N52" s="63" t="e">
        <f>IF(AND(' RIESGOS DE GESTION'!#REF!="Muy Baja",' RIESGOS DE GESTION'!#REF!="Leve"),CONCATENATE("R7C",' RIESGOS DE GESTION'!#REF!),"")</f>
        <v>#REF!</v>
      </c>
      <c r="O52" s="64" t="e">
        <f>IF(AND(' RIESGOS DE GESTION'!#REF!="Muy Baja",' RIESGOS DE GESTION'!#REF!="Leve"),CONCATENATE("R7C",' RIESGOS DE GESTION'!#REF!),"")</f>
        <v>#REF!</v>
      </c>
      <c r="P52" s="62" t="e">
        <f>IF(AND(' RIESGOS DE GESTION'!#REF!="Muy Baja",' RIESGOS DE GESTION'!#REF!="Menor"),CONCATENATE("R7C",' RIESGOS DE GESTION'!#REF!),"")</f>
        <v>#REF!</v>
      </c>
      <c r="Q52" s="63" t="e">
        <f>IF(AND(' RIESGOS DE GESTION'!#REF!="Muy Baja",' RIESGOS DE GESTION'!#REF!="Menor"),CONCATENATE("R7C",' RIESGOS DE GESTION'!#REF!),"")</f>
        <v>#REF!</v>
      </c>
      <c r="R52" s="63" t="e">
        <f>IF(AND(' RIESGOS DE GESTION'!#REF!="Muy Baja",' RIESGOS DE GESTION'!#REF!="Menor"),CONCATENATE("R7C",' RIESGOS DE GESTION'!#REF!),"")</f>
        <v>#REF!</v>
      </c>
      <c r="S52" s="63" t="e">
        <f>IF(AND(' RIESGOS DE GESTION'!#REF!="Muy Baja",' RIESGOS DE GESTION'!#REF!="Menor"),CONCATENATE("R7C",' RIESGOS DE GESTION'!#REF!),"")</f>
        <v>#REF!</v>
      </c>
      <c r="T52" s="63" t="e">
        <f>IF(AND(' RIESGOS DE GESTION'!#REF!="Muy Baja",' RIESGOS DE GESTION'!#REF!="Menor"),CONCATENATE("R7C",' RIESGOS DE GESTION'!#REF!),"")</f>
        <v>#REF!</v>
      </c>
      <c r="U52" s="64" t="e">
        <f>IF(AND(' RIESGOS DE GESTION'!#REF!="Muy Baja",' RIESGOS DE GESTION'!#REF!="Menor"),CONCATENATE("R7C",' RIESGOS DE GESTION'!#REF!),"")</f>
        <v>#REF!</v>
      </c>
      <c r="V52" s="53" t="e">
        <f>IF(AND(' RIESGOS DE GESTION'!#REF!="Muy Baja",' RIESGOS DE GESTION'!#REF!="Moderado"),CONCATENATE("R7C",' RIESGOS DE GESTION'!#REF!),"")</f>
        <v>#REF!</v>
      </c>
      <c r="W52" s="54" t="e">
        <f>IF(AND(' RIESGOS DE GESTION'!#REF!="Muy Baja",' RIESGOS DE GESTION'!#REF!="Moderado"),CONCATENATE("R7C",' RIESGOS DE GESTION'!#REF!),"")</f>
        <v>#REF!</v>
      </c>
      <c r="X52" s="54" t="e">
        <f>IF(AND(' RIESGOS DE GESTION'!#REF!="Muy Baja",' RIESGOS DE GESTION'!#REF!="Moderado"),CONCATENATE("R7C",' RIESGOS DE GESTION'!#REF!),"")</f>
        <v>#REF!</v>
      </c>
      <c r="Y52" s="54" t="e">
        <f>IF(AND(' RIESGOS DE GESTION'!#REF!="Muy Baja",' RIESGOS DE GESTION'!#REF!="Moderado"),CONCATENATE("R7C",' RIESGOS DE GESTION'!#REF!),"")</f>
        <v>#REF!</v>
      </c>
      <c r="Z52" s="54" t="e">
        <f>IF(AND(' RIESGOS DE GESTION'!#REF!="Muy Baja",' RIESGOS DE GESTION'!#REF!="Moderado"),CONCATENATE("R7C",' RIESGOS DE GESTION'!#REF!),"")</f>
        <v>#REF!</v>
      </c>
      <c r="AA52" s="55" t="e">
        <f>IF(AND(' RIESGOS DE GESTION'!#REF!="Muy Baja",' RIESGOS DE GESTION'!#REF!="Moderado"),CONCATENATE("R7C",' RIESGOS DE GESTION'!#REF!),"")</f>
        <v>#REF!</v>
      </c>
      <c r="AB52" s="38" t="e">
        <f>IF(AND(' RIESGOS DE GESTION'!#REF!="Muy Baja",' RIESGOS DE GESTION'!#REF!="Mayor"),CONCATENATE("R7C",' RIESGOS DE GESTION'!#REF!),"")</f>
        <v>#REF!</v>
      </c>
      <c r="AC52" s="39" t="e">
        <f>IF(AND(' RIESGOS DE GESTION'!#REF!="Muy Baja",' RIESGOS DE GESTION'!#REF!="Mayor"),CONCATENATE("R7C",' RIESGOS DE GESTION'!#REF!),"")</f>
        <v>#REF!</v>
      </c>
      <c r="AD52" s="39" t="e">
        <f>IF(AND(' RIESGOS DE GESTION'!#REF!="Muy Baja",' RIESGOS DE GESTION'!#REF!="Mayor"),CONCATENATE("R7C",' RIESGOS DE GESTION'!#REF!),"")</f>
        <v>#REF!</v>
      </c>
      <c r="AE52" s="39" t="e">
        <f>IF(AND(' RIESGOS DE GESTION'!#REF!="Muy Baja",' RIESGOS DE GESTION'!#REF!="Mayor"),CONCATENATE("R7C",' RIESGOS DE GESTION'!#REF!),"")</f>
        <v>#REF!</v>
      </c>
      <c r="AF52" s="39" t="e">
        <f>IF(AND(' RIESGOS DE GESTION'!#REF!="Muy Baja",' RIESGOS DE GESTION'!#REF!="Mayor"),CONCATENATE("R7C",' RIESGOS DE GESTION'!#REF!),"")</f>
        <v>#REF!</v>
      </c>
      <c r="AG52" s="40" t="e">
        <f>IF(AND(' RIESGOS DE GESTION'!#REF!="Muy Baja",' RIESGOS DE GESTION'!#REF!="Mayor"),CONCATENATE("R7C",' RIESGOS DE GESTION'!#REF!),"")</f>
        <v>#REF!</v>
      </c>
      <c r="AH52" s="41" t="e">
        <f>IF(AND(' RIESGOS DE GESTION'!#REF!="Muy Baja",' RIESGOS DE GESTION'!#REF!="Catastrófico"),CONCATENATE("R7C",' RIESGOS DE GESTION'!#REF!),"")</f>
        <v>#REF!</v>
      </c>
      <c r="AI52" s="42" t="e">
        <f>IF(AND(' RIESGOS DE GESTION'!#REF!="Muy Baja",' RIESGOS DE GESTION'!#REF!="Catastrófico"),CONCATENATE("R7C",' RIESGOS DE GESTION'!#REF!),"")</f>
        <v>#REF!</v>
      </c>
      <c r="AJ52" s="42" t="e">
        <f>IF(AND(' RIESGOS DE GESTION'!#REF!="Muy Baja",' RIESGOS DE GESTION'!#REF!="Catastrófico"),CONCATENATE("R7C",' RIESGOS DE GESTION'!#REF!),"")</f>
        <v>#REF!</v>
      </c>
      <c r="AK52" s="42" t="e">
        <f>IF(AND(' RIESGOS DE GESTION'!#REF!="Muy Baja",' RIESGOS DE GESTION'!#REF!="Catastrófico"),CONCATENATE("R7C",' RIESGOS DE GESTION'!#REF!),"")</f>
        <v>#REF!</v>
      </c>
      <c r="AL52" s="42" t="e">
        <f>IF(AND(' RIESGOS DE GESTION'!#REF!="Muy Baja",' RIESGOS DE GESTION'!#REF!="Catastrófico"),CONCATENATE("R7C",' RIESGOS DE GESTION'!#REF!),"")</f>
        <v>#REF!</v>
      </c>
      <c r="AM52" s="43" t="e">
        <f>IF(AND(' RIESGOS DE GESTION'!#REF!="Muy Baja",' RIESGOS DE GESTION'!#REF!="Catastrófico"),CONCATENATE("R7C",' RIESGOS DE GESTION'!#REF!),"")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583"/>
      <c r="C53" s="583"/>
      <c r="D53" s="584"/>
      <c r="E53" s="682"/>
      <c r="F53" s="681"/>
      <c r="G53" s="681"/>
      <c r="H53" s="681"/>
      <c r="I53" s="697"/>
      <c r="J53" s="62" t="e">
        <f>IF(AND(' RIESGOS DE GESTION'!#REF!="Muy Baja",' RIESGOS DE GESTION'!#REF!="Leve"),CONCATENATE("R8C",' RIESGOS DE GESTION'!#REF!),"")</f>
        <v>#REF!</v>
      </c>
      <c r="K53" s="63" t="e">
        <f>IF(AND(' RIESGOS DE GESTION'!#REF!="Muy Baja",' RIESGOS DE GESTION'!#REF!="Leve"),CONCATENATE("R8C",' RIESGOS DE GESTION'!#REF!),"")</f>
        <v>#REF!</v>
      </c>
      <c r="L53" s="63" t="e">
        <f>IF(AND(' RIESGOS DE GESTION'!#REF!="Muy Baja",' RIESGOS DE GESTION'!#REF!="Leve"),CONCATENATE("R8C",' RIESGOS DE GESTION'!#REF!),"")</f>
        <v>#REF!</v>
      </c>
      <c r="M53" s="63" t="e">
        <f>IF(AND(' RIESGOS DE GESTION'!#REF!="Muy Baja",' RIESGOS DE GESTION'!#REF!="Leve"),CONCATENATE("R8C",' RIESGOS DE GESTION'!#REF!),"")</f>
        <v>#REF!</v>
      </c>
      <c r="N53" s="63" t="e">
        <f>IF(AND(' RIESGOS DE GESTION'!#REF!="Muy Baja",' RIESGOS DE GESTION'!#REF!="Leve"),CONCATENATE("R8C",' RIESGOS DE GESTION'!#REF!),"")</f>
        <v>#REF!</v>
      </c>
      <c r="O53" s="64" t="e">
        <f>IF(AND(' RIESGOS DE GESTION'!#REF!="Muy Baja",' RIESGOS DE GESTION'!#REF!="Leve"),CONCATENATE("R8C",' RIESGOS DE GESTION'!#REF!),"")</f>
        <v>#REF!</v>
      </c>
      <c r="P53" s="62" t="e">
        <f>IF(AND(' RIESGOS DE GESTION'!#REF!="Muy Baja",' RIESGOS DE GESTION'!#REF!="Menor"),CONCATENATE("R8C",' RIESGOS DE GESTION'!#REF!),"")</f>
        <v>#REF!</v>
      </c>
      <c r="Q53" s="63" t="e">
        <f>IF(AND(' RIESGOS DE GESTION'!#REF!="Muy Baja",' RIESGOS DE GESTION'!#REF!="Menor"),CONCATENATE("R8C",' RIESGOS DE GESTION'!#REF!),"")</f>
        <v>#REF!</v>
      </c>
      <c r="R53" s="63" t="e">
        <f>IF(AND(' RIESGOS DE GESTION'!#REF!="Muy Baja",' RIESGOS DE GESTION'!#REF!="Menor"),CONCATENATE("R8C",' RIESGOS DE GESTION'!#REF!),"")</f>
        <v>#REF!</v>
      </c>
      <c r="S53" s="63" t="e">
        <f>IF(AND(' RIESGOS DE GESTION'!#REF!="Muy Baja",' RIESGOS DE GESTION'!#REF!="Menor"),CONCATENATE("R8C",' RIESGOS DE GESTION'!#REF!),"")</f>
        <v>#REF!</v>
      </c>
      <c r="T53" s="63" t="e">
        <f>IF(AND(' RIESGOS DE GESTION'!#REF!="Muy Baja",' RIESGOS DE GESTION'!#REF!="Menor"),CONCATENATE("R8C",' RIESGOS DE GESTION'!#REF!),"")</f>
        <v>#REF!</v>
      </c>
      <c r="U53" s="64" t="e">
        <f>IF(AND(' RIESGOS DE GESTION'!#REF!="Muy Baja",' RIESGOS DE GESTION'!#REF!="Menor"),CONCATENATE("R8C",' RIESGOS DE GESTION'!#REF!),"")</f>
        <v>#REF!</v>
      </c>
      <c r="V53" s="53" t="e">
        <f>IF(AND(' RIESGOS DE GESTION'!#REF!="Muy Baja",' RIESGOS DE GESTION'!#REF!="Moderado"),CONCATENATE("R8C",' RIESGOS DE GESTION'!#REF!),"")</f>
        <v>#REF!</v>
      </c>
      <c r="W53" s="54" t="e">
        <f>IF(AND(' RIESGOS DE GESTION'!#REF!="Muy Baja",' RIESGOS DE GESTION'!#REF!="Moderado"),CONCATENATE("R8C",' RIESGOS DE GESTION'!#REF!),"")</f>
        <v>#REF!</v>
      </c>
      <c r="X53" s="54" t="e">
        <f>IF(AND(' RIESGOS DE GESTION'!#REF!="Muy Baja",' RIESGOS DE GESTION'!#REF!="Moderado"),CONCATENATE("R8C",' RIESGOS DE GESTION'!#REF!),"")</f>
        <v>#REF!</v>
      </c>
      <c r="Y53" s="54" t="e">
        <f>IF(AND(' RIESGOS DE GESTION'!#REF!="Muy Baja",' RIESGOS DE GESTION'!#REF!="Moderado"),CONCATENATE("R8C",' RIESGOS DE GESTION'!#REF!),"")</f>
        <v>#REF!</v>
      </c>
      <c r="Z53" s="54" t="e">
        <f>IF(AND(' RIESGOS DE GESTION'!#REF!="Muy Baja",' RIESGOS DE GESTION'!#REF!="Moderado"),CONCATENATE("R8C",' RIESGOS DE GESTION'!#REF!),"")</f>
        <v>#REF!</v>
      </c>
      <c r="AA53" s="55" t="e">
        <f>IF(AND(' RIESGOS DE GESTION'!#REF!="Muy Baja",' RIESGOS DE GESTION'!#REF!="Moderado"),CONCATENATE("R8C",' RIESGOS DE GESTION'!#REF!),"")</f>
        <v>#REF!</v>
      </c>
      <c r="AB53" s="38" t="e">
        <f>IF(AND(' RIESGOS DE GESTION'!#REF!="Muy Baja",' RIESGOS DE GESTION'!#REF!="Mayor"),CONCATENATE("R8C",' RIESGOS DE GESTION'!#REF!),"")</f>
        <v>#REF!</v>
      </c>
      <c r="AC53" s="39" t="e">
        <f>IF(AND(' RIESGOS DE GESTION'!#REF!="Muy Baja",' RIESGOS DE GESTION'!#REF!="Mayor"),CONCATENATE("R8C",' RIESGOS DE GESTION'!#REF!),"")</f>
        <v>#REF!</v>
      </c>
      <c r="AD53" s="39" t="e">
        <f>IF(AND(' RIESGOS DE GESTION'!#REF!="Muy Baja",' RIESGOS DE GESTION'!#REF!="Mayor"),CONCATENATE("R8C",' RIESGOS DE GESTION'!#REF!),"")</f>
        <v>#REF!</v>
      </c>
      <c r="AE53" s="39" t="e">
        <f>IF(AND(' RIESGOS DE GESTION'!#REF!="Muy Baja",' RIESGOS DE GESTION'!#REF!="Mayor"),CONCATENATE("R8C",' RIESGOS DE GESTION'!#REF!),"")</f>
        <v>#REF!</v>
      </c>
      <c r="AF53" s="39" t="e">
        <f>IF(AND(' RIESGOS DE GESTION'!#REF!="Muy Baja",' RIESGOS DE GESTION'!#REF!="Mayor"),CONCATENATE("R8C",' RIESGOS DE GESTION'!#REF!),"")</f>
        <v>#REF!</v>
      </c>
      <c r="AG53" s="40" t="e">
        <f>IF(AND(' RIESGOS DE GESTION'!#REF!="Muy Baja",' RIESGOS DE GESTION'!#REF!="Mayor"),CONCATENATE("R8C",' RIESGOS DE GESTION'!#REF!),"")</f>
        <v>#REF!</v>
      </c>
      <c r="AH53" s="41" t="e">
        <f>IF(AND(' RIESGOS DE GESTION'!#REF!="Muy Baja",' RIESGOS DE GESTION'!#REF!="Catastrófico"),CONCATENATE("R8C",' RIESGOS DE GESTION'!#REF!),"")</f>
        <v>#REF!</v>
      </c>
      <c r="AI53" s="42" t="e">
        <f>IF(AND(' RIESGOS DE GESTION'!#REF!="Muy Baja",' RIESGOS DE GESTION'!#REF!="Catastrófico"),CONCATENATE("R8C",' RIESGOS DE GESTION'!#REF!),"")</f>
        <v>#REF!</v>
      </c>
      <c r="AJ53" s="42" t="e">
        <f>IF(AND(' RIESGOS DE GESTION'!#REF!="Muy Baja",' RIESGOS DE GESTION'!#REF!="Catastrófico"),CONCATENATE("R8C",' RIESGOS DE GESTION'!#REF!),"")</f>
        <v>#REF!</v>
      </c>
      <c r="AK53" s="42" t="e">
        <f>IF(AND(' RIESGOS DE GESTION'!#REF!="Muy Baja",' RIESGOS DE GESTION'!#REF!="Catastrófico"),CONCATENATE("R8C",' RIESGOS DE GESTION'!#REF!),"")</f>
        <v>#REF!</v>
      </c>
      <c r="AL53" s="42" t="e">
        <f>IF(AND(' RIESGOS DE GESTION'!#REF!="Muy Baja",' RIESGOS DE GESTION'!#REF!="Catastrófico"),CONCATENATE("R8C",' RIESGOS DE GESTION'!#REF!),"")</f>
        <v>#REF!</v>
      </c>
      <c r="AM53" s="43" t="e">
        <f>IF(AND(' RIESGOS DE GESTION'!#REF!="Muy Baja",' RIESGOS DE GESTION'!#REF!="Catastrófico"),CONCATENATE("R8C",' RIESGOS DE GESTION'!#REF!),"")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583"/>
      <c r="C54" s="583"/>
      <c r="D54" s="584"/>
      <c r="E54" s="682"/>
      <c r="F54" s="681"/>
      <c r="G54" s="681"/>
      <c r="H54" s="681"/>
      <c r="I54" s="697"/>
      <c r="J54" s="62" t="e">
        <f>IF(AND(' RIESGOS DE GESTION'!#REF!="Muy Baja",' RIESGOS DE GESTION'!#REF!="Leve"),CONCATENATE("R9C",' RIESGOS DE GESTION'!#REF!),"")</f>
        <v>#REF!</v>
      </c>
      <c r="K54" s="63" t="e">
        <f>IF(AND(' RIESGOS DE GESTION'!#REF!="Muy Baja",' RIESGOS DE GESTION'!#REF!="Leve"),CONCATENATE("R9C",' RIESGOS DE GESTION'!#REF!),"")</f>
        <v>#REF!</v>
      </c>
      <c r="L54" s="63" t="e">
        <f>IF(AND(' RIESGOS DE GESTION'!#REF!="Muy Baja",' RIESGOS DE GESTION'!#REF!="Leve"),CONCATENATE("R9C",' RIESGOS DE GESTION'!#REF!),"")</f>
        <v>#REF!</v>
      </c>
      <c r="M54" s="63" t="e">
        <f>IF(AND(' RIESGOS DE GESTION'!#REF!="Muy Baja",' RIESGOS DE GESTION'!#REF!="Leve"),CONCATENATE("R9C",' RIESGOS DE GESTION'!#REF!),"")</f>
        <v>#REF!</v>
      </c>
      <c r="N54" s="63" t="e">
        <f>IF(AND(' RIESGOS DE GESTION'!#REF!="Muy Baja",' RIESGOS DE GESTION'!#REF!="Leve"),CONCATENATE("R9C",' RIESGOS DE GESTION'!#REF!),"")</f>
        <v>#REF!</v>
      </c>
      <c r="O54" s="64" t="e">
        <f>IF(AND(' RIESGOS DE GESTION'!#REF!="Muy Baja",' RIESGOS DE GESTION'!#REF!="Leve"),CONCATENATE("R9C",' RIESGOS DE GESTION'!#REF!),"")</f>
        <v>#REF!</v>
      </c>
      <c r="P54" s="62" t="e">
        <f>IF(AND(' RIESGOS DE GESTION'!#REF!="Muy Baja",' RIESGOS DE GESTION'!#REF!="Menor"),CONCATENATE("R9C",' RIESGOS DE GESTION'!#REF!),"")</f>
        <v>#REF!</v>
      </c>
      <c r="Q54" s="63" t="e">
        <f>IF(AND(' RIESGOS DE GESTION'!#REF!="Muy Baja",' RIESGOS DE GESTION'!#REF!="Menor"),CONCATENATE("R9C",' RIESGOS DE GESTION'!#REF!),"")</f>
        <v>#REF!</v>
      </c>
      <c r="R54" s="63" t="e">
        <f>IF(AND(' RIESGOS DE GESTION'!#REF!="Muy Baja",' RIESGOS DE GESTION'!#REF!="Menor"),CONCATENATE("R9C",' RIESGOS DE GESTION'!#REF!),"")</f>
        <v>#REF!</v>
      </c>
      <c r="S54" s="63" t="e">
        <f>IF(AND(' RIESGOS DE GESTION'!#REF!="Muy Baja",' RIESGOS DE GESTION'!#REF!="Menor"),CONCATENATE("R9C",' RIESGOS DE GESTION'!#REF!),"")</f>
        <v>#REF!</v>
      </c>
      <c r="T54" s="63" t="e">
        <f>IF(AND(' RIESGOS DE GESTION'!#REF!="Muy Baja",' RIESGOS DE GESTION'!#REF!="Menor"),CONCATENATE("R9C",' RIESGOS DE GESTION'!#REF!),"")</f>
        <v>#REF!</v>
      </c>
      <c r="U54" s="64" t="e">
        <f>IF(AND(' RIESGOS DE GESTION'!#REF!="Muy Baja",' RIESGOS DE GESTION'!#REF!="Menor"),CONCATENATE("R9C",' RIESGOS DE GESTION'!#REF!),"")</f>
        <v>#REF!</v>
      </c>
      <c r="V54" s="53" t="e">
        <f>IF(AND(' RIESGOS DE GESTION'!#REF!="Muy Baja",' RIESGOS DE GESTION'!#REF!="Moderado"),CONCATENATE("R9C",' RIESGOS DE GESTION'!#REF!),"")</f>
        <v>#REF!</v>
      </c>
      <c r="W54" s="54" t="e">
        <f>IF(AND(' RIESGOS DE GESTION'!#REF!="Muy Baja",' RIESGOS DE GESTION'!#REF!="Moderado"),CONCATENATE("R9C",' RIESGOS DE GESTION'!#REF!),"")</f>
        <v>#REF!</v>
      </c>
      <c r="X54" s="54" t="e">
        <f>IF(AND(' RIESGOS DE GESTION'!#REF!="Muy Baja",' RIESGOS DE GESTION'!#REF!="Moderado"),CONCATENATE("R9C",' RIESGOS DE GESTION'!#REF!),"")</f>
        <v>#REF!</v>
      </c>
      <c r="Y54" s="54" t="e">
        <f>IF(AND(' RIESGOS DE GESTION'!#REF!="Muy Baja",' RIESGOS DE GESTION'!#REF!="Moderado"),CONCATENATE("R9C",' RIESGOS DE GESTION'!#REF!),"")</f>
        <v>#REF!</v>
      </c>
      <c r="Z54" s="54" t="e">
        <f>IF(AND(' RIESGOS DE GESTION'!#REF!="Muy Baja",' RIESGOS DE GESTION'!#REF!="Moderado"),CONCATENATE("R9C",' RIESGOS DE GESTION'!#REF!),"")</f>
        <v>#REF!</v>
      </c>
      <c r="AA54" s="55" t="e">
        <f>IF(AND(' RIESGOS DE GESTION'!#REF!="Muy Baja",' RIESGOS DE GESTION'!#REF!="Moderado"),CONCATENATE("R9C",' RIESGOS DE GESTION'!#REF!),"")</f>
        <v>#REF!</v>
      </c>
      <c r="AB54" s="38" t="e">
        <f>IF(AND(' RIESGOS DE GESTION'!#REF!="Muy Baja",' RIESGOS DE GESTION'!#REF!="Mayor"),CONCATENATE("R9C",' RIESGOS DE GESTION'!#REF!),"")</f>
        <v>#REF!</v>
      </c>
      <c r="AC54" s="39" t="e">
        <f>IF(AND(' RIESGOS DE GESTION'!#REF!="Muy Baja",' RIESGOS DE GESTION'!#REF!="Mayor"),CONCATENATE("R9C",' RIESGOS DE GESTION'!#REF!),"")</f>
        <v>#REF!</v>
      </c>
      <c r="AD54" s="39" t="e">
        <f>IF(AND(' RIESGOS DE GESTION'!#REF!="Muy Baja",' RIESGOS DE GESTION'!#REF!="Mayor"),CONCATENATE("R9C",' RIESGOS DE GESTION'!#REF!),"")</f>
        <v>#REF!</v>
      </c>
      <c r="AE54" s="39" t="e">
        <f>IF(AND(' RIESGOS DE GESTION'!#REF!="Muy Baja",' RIESGOS DE GESTION'!#REF!="Mayor"),CONCATENATE("R9C",' RIESGOS DE GESTION'!#REF!),"")</f>
        <v>#REF!</v>
      </c>
      <c r="AF54" s="39" t="e">
        <f>IF(AND(' RIESGOS DE GESTION'!#REF!="Muy Baja",' RIESGOS DE GESTION'!#REF!="Mayor"),CONCATENATE("R9C",' RIESGOS DE GESTION'!#REF!),"")</f>
        <v>#REF!</v>
      </c>
      <c r="AG54" s="40" t="e">
        <f>IF(AND(' RIESGOS DE GESTION'!#REF!="Muy Baja",' RIESGOS DE GESTION'!#REF!="Mayor"),CONCATENATE("R9C",' RIESGOS DE GESTION'!#REF!),"")</f>
        <v>#REF!</v>
      </c>
      <c r="AH54" s="41" t="e">
        <f>IF(AND(' RIESGOS DE GESTION'!#REF!="Muy Baja",' RIESGOS DE GESTION'!#REF!="Catastrófico"),CONCATENATE("R9C",' RIESGOS DE GESTION'!#REF!),"")</f>
        <v>#REF!</v>
      </c>
      <c r="AI54" s="42" t="e">
        <f>IF(AND(' RIESGOS DE GESTION'!#REF!="Muy Baja",' RIESGOS DE GESTION'!#REF!="Catastrófico"),CONCATENATE("R9C",' RIESGOS DE GESTION'!#REF!),"")</f>
        <v>#REF!</v>
      </c>
      <c r="AJ54" s="42" t="e">
        <f>IF(AND(' RIESGOS DE GESTION'!#REF!="Muy Baja",' RIESGOS DE GESTION'!#REF!="Catastrófico"),CONCATENATE("R9C",' RIESGOS DE GESTION'!#REF!),"")</f>
        <v>#REF!</v>
      </c>
      <c r="AK54" s="42" t="e">
        <f>IF(AND(' RIESGOS DE GESTION'!#REF!="Muy Baja",' RIESGOS DE GESTION'!#REF!="Catastrófico"),CONCATENATE("R9C",' RIESGOS DE GESTION'!#REF!),"")</f>
        <v>#REF!</v>
      </c>
      <c r="AL54" s="42" t="e">
        <f>IF(AND(' RIESGOS DE GESTION'!#REF!="Muy Baja",' RIESGOS DE GESTION'!#REF!="Catastrófico"),CONCATENATE("R9C",' RIESGOS DE GESTION'!#REF!),"")</f>
        <v>#REF!</v>
      </c>
      <c r="AM54" s="43" t="e">
        <f>IF(AND(' RIESGOS DE GESTION'!#REF!="Muy Baja",' RIESGOS DE GESTION'!#REF!="Catastrófico"),CONCATENATE("R9C",' RIESGOS DE GESTION'!#REF!),"")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583"/>
      <c r="C55" s="583"/>
      <c r="D55" s="584"/>
      <c r="E55" s="683"/>
      <c r="F55" s="684"/>
      <c r="G55" s="684"/>
      <c r="H55" s="684"/>
      <c r="I55" s="698"/>
      <c r="J55" s="65" t="e">
        <f>IF(AND(' RIESGOS DE GESTION'!#REF!="Muy Baja",' RIESGOS DE GESTION'!#REF!="Leve"),CONCATENATE("R10C",' RIESGOS DE GESTION'!#REF!),"")</f>
        <v>#REF!</v>
      </c>
      <c r="K55" s="66" t="e">
        <f>IF(AND(' RIESGOS DE GESTION'!#REF!="Muy Baja",' RIESGOS DE GESTION'!#REF!="Leve"),CONCATENATE("R10C",' RIESGOS DE GESTION'!#REF!),"")</f>
        <v>#REF!</v>
      </c>
      <c r="L55" s="66" t="e">
        <f>IF(AND(' RIESGOS DE GESTION'!#REF!="Muy Baja",' RIESGOS DE GESTION'!#REF!="Leve"),CONCATENATE("R10C",' RIESGOS DE GESTION'!#REF!),"")</f>
        <v>#REF!</v>
      </c>
      <c r="M55" s="66" t="e">
        <f>IF(AND(' RIESGOS DE GESTION'!#REF!="Muy Baja",' RIESGOS DE GESTION'!#REF!="Leve"),CONCATENATE("R10C",' RIESGOS DE GESTION'!#REF!),"")</f>
        <v>#REF!</v>
      </c>
      <c r="N55" s="66" t="e">
        <f>IF(AND(' RIESGOS DE GESTION'!#REF!="Muy Baja",' RIESGOS DE GESTION'!#REF!="Leve"),CONCATENATE("R10C",' RIESGOS DE GESTION'!#REF!),"")</f>
        <v>#REF!</v>
      </c>
      <c r="O55" s="67" t="e">
        <f>IF(AND(' RIESGOS DE GESTION'!#REF!="Muy Baja",' RIESGOS DE GESTION'!#REF!="Leve"),CONCATENATE("R10C",' RIESGOS DE GESTION'!#REF!),"")</f>
        <v>#REF!</v>
      </c>
      <c r="P55" s="65" t="e">
        <f>IF(AND(' RIESGOS DE GESTION'!#REF!="Muy Baja",' RIESGOS DE GESTION'!#REF!="Menor"),CONCATENATE("R10C",' RIESGOS DE GESTION'!#REF!),"")</f>
        <v>#REF!</v>
      </c>
      <c r="Q55" s="66" t="e">
        <f>IF(AND(' RIESGOS DE GESTION'!#REF!="Muy Baja",' RIESGOS DE GESTION'!#REF!="Menor"),CONCATENATE("R10C",' RIESGOS DE GESTION'!#REF!),"")</f>
        <v>#REF!</v>
      </c>
      <c r="R55" s="66" t="e">
        <f>IF(AND(' RIESGOS DE GESTION'!#REF!="Muy Baja",' RIESGOS DE GESTION'!#REF!="Menor"),CONCATENATE("R10C",' RIESGOS DE GESTION'!#REF!),"")</f>
        <v>#REF!</v>
      </c>
      <c r="S55" s="66" t="e">
        <f>IF(AND(' RIESGOS DE GESTION'!#REF!="Muy Baja",' RIESGOS DE GESTION'!#REF!="Menor"),CONCATENATE("R10C",' RIESGOS DE GESTION'!#REF!),"")</f>
        <v>#REF!</v>
      </c>
      <c r="T55" s="66" t="e">
        <f>IF(AND(' RIESGOS DE GESTION'!#REF!="Muy Baja",' RIESGOS DE GESTION'!#REF!="Menor"),CONCATENATE("R10C",' RIESGOS DE GESTION'!#REF!),"")</f>
        <v>#REF!</v>
      </c>
      <c r="U55" s="67" t="e">
        <f>IF(AND(' RIESGOS DE GESTION'!#REF!="Muy Baja",' RIESGOS DE GESTION'!#REF!="Menor"),CONCATENATE("R10C",' RIESGOS DE GESTION'!#REF!),"")</f>
        <v>#REF!</v>
      </c>
      <c r="V55" s="56" t="e">
        <f>IF(AND(' RIESGOS DE GESTION'!#REF!="Muy Baja",' RIESGOS DE GESTION'!#REF!="Moderado"),CONCATENATE("R10C",' RIESGOS DE GESTION'!#REF!),"")</f>
        <v>#REF!</v>
      </c>
      <c r="W55" s="57" t="e">
        <f>IF(AND(' RIESGOS DE GESTION'!#REF!="Muy Baja",' RIESGOS DE GESTION'!#REF!="Moderado"),CONCATENATE("R10C",' RIESGOS DE GESTION'!#REF!),"")</f>
        <v>#REF!</v>
      </c>
      <c r="X55" s="57" t="e">
        <f>IF(AND(' RIESGOS DE GESTION'!#REF!="Muy Baja",' RIESGOS DE GESTION'!#REF!="Moderado"),CONCATENATE("R10C",' RIESGOS DE GESTION'!#REF!),"")</f>
        <v>#REF!</v>
      </c>
      <c r="Y55" s="57" t="e">
        <f>IF(AND(' RIESGOS DE GESTION'!#REF!="Muy Baja",' RIESGOS DE GESTION'!#REF!="Moderado"),CONCATENATE("R10C",' RIESGOS DE GESTION'!#REF!),"")</f>
        <v>#REF!</v>
      </c>
      <c r="Z55" s="57" t="e">
        <f>IF(AND(' RIESGOS DE GESTION'!#REF!="Muy Baja",' RIESGOS DE GESTION'!#REF!="Moderado"),CONCATENATE("R10C",' RIESGOS DE GESTION'!#REF!),"")</f>
        <v>#REF!</v>
      </c>
      <c r="AA55" s="58" t="e">
        <f>IF(AND(' RIESGOS DE GESTION'!#REF!="Muy Baja",' RIESGOS DE GESTION'!#REF!="Moderado"),CONCATENATE("R10C",' RIESGOS DE GESTION'!#REF!),"")</f>
        <v>#REF!</v>
      </c>
      <c r="AB55" s="44" t="e">
        <f>IF(AND(' RIESGOS DE GESTION'!#REF!="Muy Baja",' RIESGOS DE GESTION'!#REF!="Mayor"),CONCATENATE("R10C",' RIESGOS DE GESTION'!#REF!),"")</f>
        <v>#REF!</v>
      </c>
      <c r="AC55" s="45" t="e">
        <f>IF(AND(' RIESGOS DE GESTION'!#REF!="Muy Baja",' RIESGOS DE GESTION'!#REF!="Mayor"),CONCATENATE("R10C",' RIESGOS DE GESTION'!#REF!),"")</f>
        <v>#REF!</v>
      </c>
      <c r="AD55" s="45" t="e">
        <f>IF(AND(' RIESGOS DE GESTION'!#REF!="Muy Baja",' RIESGOS DE GESTION'!#REF!="Mayor"),CONCATENATE("R10C",' RIESGOS DE GESTION'!#REF!),"")</f>
        <v>#REF!</v>
      </c>
      <c r="AE55" s="45" t="e">
        <f>IF(AND(' RIESGOS DE GESTION'!#REF!="Muy Baja",' RIESGOS DE GESTION'!#REF!="Mayor"),CONCATENATE("R10C",' RIESGOS DE GESTION'!#REF!),"")</f>
        <v>#REF!</v>
      </c>
      <c r="AF55" s="45" t="e">
        <f>IF(AND(' RIESGOS DE GESTION'!#REF!="Muy Baja",' RIESGOS DE GESTION'!#REF!="Mayor"),CONCATENATE("R10C",' RIESGOS DE GESTION'!#REF!),"")</f>
        <v>#REF!</v>
      </c>
      <c r="AG55" s="46" t="e">
        <f>IF(AND(' RIESGOS DE GESTION'!#REF!="Muy Baja",' RIESGOS DE GESTION'!#REF!="Mayor"),CONCATENATE("R10C",' RIESGOS DE GESTION'!#REF!),"")</f>
        <v>#REF!</v>
      </c>
      <c r="AH55" s="47" t="e">
        <f>IF(AND(' RIESGOS DE GESTION'!#REF!="Muy Baja",' RIESGOS DE GESTION'!#REF!="Catastrófico"),CONCATENATE("R10C",' RIESGOS DE GESTION'!#REF!),"")</f>
        <v>#REF!</v>
      </c>
      <c r="AI55" s="48" t="e">
        <f>IF(AND(' RIESGOS DE GESTION'!#REF!="Muy Baja",' RIESGOS DE GESTION'!#REF!="Catastrófico"),CONCATENATE("R10C",' RIESGOS DE GESTION'!#REF!),"")</f>
        <v>#REF!</v>
      </c>
      <c r="AJ55" s="48" t="e">
        <f>IF(AND(' RIESGOS DE GESTION'!#REF!="Muy Baja",' RIESGOS DE GESTION'!#REF!="Catastrófico"),CONCATENATE("R10C",' RIESGOS DE GESTION'!#REF!),"")</f>
        <v>#REF!</v>
      </c>
      <c r="AK55" s="48" t="e">
        <f>IF(AND(' RIESGOS DE GESTION'!#REF!="Muy Baja",' RIESGOS DE GESTION'!#REF!="Catastrófico"),CONCATENATE("R10C",' RIESGOS DE GESTION'!#REF!),"")</f>
        <v>#REF!</v>
      </c>
      <c r="AL55" s="48" t="e">
        <f>IF(AND(' RIESGOS DE GESTION'!#REF!="Muy Baja",' RIESGOS DE GESTION'!#REF!="Catastrófico"),CONCATENATE("R10C",' RIESGOS DE GESTION'!#REF!),"")</f>
        <v>#REF!</v>
      </c>
      <c r="AM55" s="49" t="e">
        <f>IF(AND(' RIESGOS DE GESTION'!#REF!="Muy Baja",' RIESGOS DE GESTION'!#REF!="Catastrófico"),CONCATENATE("R10C",' RIESGOS DE GESTION'!#REF!),"")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78" t="s">
        <v>424</v>
      </c>
      <c r="K56" s="679"/>
      <c r="L56" s="679"/>
      <c r="M56" s="679"/>
      <c r="N56" s="679"/>
      <c r="O56" s="696"/>
      <c r="P56" s="678" t="s">
        <v>425</v>
      </c>
      <c r="Q56" s="679"/>
      <c r="R56" s="679"/>
      <c r="S56" s="679"/>
      <c r="T56" s="679"/>
      <c r="U56" s="696"/>
      <c r="V56" s="678" t="s">
        <v>426</v>
      </c>
      <c r="W56" s="679"/>
      <c r="X56" s="679"/>
      <c r="Y56" s="679"/>
      <c r="Z56" s="679"/>
      <c r="AA56" s="696"/>
      <c r="AB56" s="678" t="s">
        <v>427</v>
      </c>
      <c r="AC56" s="717"/>
      <c r="AD56" s="679"/>
      <c r="AE56" s="679"/>
      <c r="AF56" s="679"/>
      <c r="AG56" s="696"/>
      <c r="AH56" s="678" t="s">
        <v>428</v>
      </c>
      <c r="AI56" s="679"/>
      <c r="AJ56" s="679"/>
      <c r="AK56" s="679"/>
      <c r="AL56" s="679"/>
      <c r="AM56" s="696"/>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82"/>
      <c r="K57" s="681"/>
      <c r="L57" s="681"/>
      <c r="M57" s="681"/>
      <c r="N57" s="681"/>
      <c r="O57" s="697"/>
      <c r="P57" s="682"/>
      <c r="Q57" s="681"/>
      <c r="R57" s="681"/>
      <c r="S57" s="681"/>
      <c r="T57" s="681"/>
      <c r="U57" s="697"/>
      <c r="V57" s="682"/>
      <c r="W57" s="681"/>
      <c r="X57" s="681"/>
      <c r="Y57" s="681"/>
      <c r="Z57" s="681"/>
      <c r="AA57" s="697"/>
      <c r="AB57" s="682"/>
      <c r="AC57" s="681"/>
      <c r="AD57" s="681"/>
      <c r="AE57" s="681"/>
      <c r="AF57" s="681"/>
      <c r="AG57" s="697"/>
      <c r="AH57" s="682"/>
      <c r="AI57" s="681"/>
      <c r="AJ57" s="681"/>
      <c r="AK57" s="681"/>
      <c r="AL57" s="681"/>
      <c r="AM57" s="697"/>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82"/>
      <c r="K58" s="681"/>
      <c r="L58" s="681"/>
      <c r="M58" s="681"/>
      <c r="N58" s="681"/>
      <c r="O58" s="697"/>
      <c r="P58" s="682"/>
      <c r="Q58" s="681"/>
      <c r="R58" s="681"/>
      <c r="S58" s="681"/>
      <c r="T58" s="681"/>
      <c r="U58" s="697"/>
      <c r="V58" s="682"/>
      <c r="W58" s="681"/>
      <c r="X58" s="681"/>
      <c r="Y58" s="681"/>
      <c r="Z58" s="681"/>
      <c r="AA58" s="697"/>
      <c r="AB58" s="682"/>
      <c r="AC58" s="681"/>
      <c r="AD58" s="681"/>
      <c r="AE58" s="681"/>
      <c r="AF58" s="681"/>
      <c r="AG58" s="697"/>
      <c r="AH58" s="682"/>
      <c r="AI58" s="681"/>
      <c r="AJ58" s="681"/>
      <c r="AK58" s="681"/>
      <c r="AL58" s="681"/>
      <c r="AM58" s="697"/>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82"/>
      <c r="K59" s="681"/>
      <c r="L59" s="681"/>
      <c r="M59" s="681"/>
      <c r="N59" s="681"/>
      <c r="O59" s="697"/>
      <c r="P59" s="682"/>
      <c r="Q59" s="681"/>
      <c r="R59" s="681"/>
      <c r="S59" s="681"/>
      <c r="T59" s="681"/>
      <c r="U59" s="697"/>
      <c r="V59" s="682"/>
      <c r="W59" s="681"/>
      <c r="X59" s="681"/>
      <c r="Y59" s="681"/>
      <c r="Z59" s="681"/>
      <c r="AA59" s="697"/>
      <c r="AB59" s="682"/>
      <c r="AC59" s="681"/>
      <c r="AD59" s="681"/>
      <c r="AE59" s="681"/>
      <c r="AF59" s="681"/>
      <c r="AG59" s="697"/>
      <c r="AH59" s="682"/>
      <c r="AI59" s="681"/>
      <c r="AJ59" s="681"/>
      <c r="AK59" s="681"/>
      <c r="AL59" s="681"/>
      <c r="AM59" s="697"/>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82"/>
      <c r="K60" s="681"/>
      <c r="L60" s="681"/>
      <c r="M60" s="681"/>
      <c r="N60" s="681"/>
      <c r="O60" s="697"/>
      <c r="P60" s="682"/>
      <c r="Q60" s="681"/>
      <c r="R60" s="681"/>
      <c r="S60" s="681"/>
      <c r="T60" s="681"/>
      <c r="U60" s="697"/>
      <c r="V60" s="682"/>
      <c r="W60" s="681"/>
      <c r="X60" s="681"/>
      <c r="Y60" s="681"/>
      <c r="Z60" s="681"/>
      <c r="AA60" s="697"/>
      <c r="AB60" s="682"/>
      <c r="AC60" s="681"/>
      <c r="AD60" s="681"/>
      <c r="AE60" s="681"/>
      <c r="AF60" s="681"/>
      <c r="AG60" s="697"/>
      <c r="AH60" s="682"/>
      <c r="AI60" s="681"/>
      <c r="AJ60" s="681"/>
      <c r="AK60" s="681"/>
      <c r="AL60" s="681"/>
      <c r="AM60" s="697"/>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683"/>
      <c r="K61" s="684"/>
      <c r="L61" s="684"/>
      <c r="M61" s="684"/>
      <c r="N61" s="684"/>
      <c r="O61" s="698"/>
      <c r="P61" s="683"/>
      <c r="Q61" s="684"/>
      <c r="R61" s="684"/>
      <c r="S61" s="684"/>
      <c r="T61" s="684"/>
      <c r="U61" s="698"/>
      <c r="V61" s="683"/>
      <c r="W61" s="684"/>
      <c r="X61" s="684"/>
      <c r="Y61" s="684"/>
      <c r="Z61" s="684"/>
      <c r="AA61" s="698"/>
      <c r="AB61" s="683"/>
      <c r="AC61" s="684"/>
      <c r="AD61" s="684"/>
      <c r="AE61" s="684"/>
      <c r="AF61" s="684"/>
      <c r="AG61" s="698"/>
      <c r="AH61" s="683"/>
      <c r="AI61" s="684"/>
      <c r="AJ61" s="684"/>
      <c r="AK61" s="684"/>
      <c r="AL61" s="684"/>
      <c r="AM61" s="698"/>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69"/>
      <c r="B1" s="718" t="s">
        <v>430</v>
      </c>
      <c r="C1" s="718"/>
      <c r="D1" s="718"/>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431</v>
      </c>
      <c r="D3" s="4" t="s">
        <v>264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432</v>
      </c>
      <c r="C4" s="6" t="s">
        <v>433</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434</v>
      </c>
      <c r="C5" s="9" t="s">
        <v>435</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436</v>
      </c>
      <c r="C6" s="9" t="s">
        <v>437</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438</v>
      </c>
      <c r="C7" s="9" t="s">
        <v>439</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440</v>
      </c>
      <c r="C8" s="9" t="s">
        <v>441</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69"/>
      <c r="B1" s="719" t="s">
        <v>442</v>
      </c>
      <c r="C1" s="719"/>
      <c r="D1" s="719"/>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443</v>
      </c>
      <c r="D3" s="22" t="s">
        <v>444</v>
      </c>
      <c r="E3" s="69"/>
      <c r="F3" s="69"/>
      <c r="G3" s="69"/>
      <c r="H3" s="69"/>
      <c r="I3" s="69"/>
      <c r="J3" s="69"/>
      <c r="K3" s="69"/>
      <c r="L3" s="69"/>
      <c r="M3" s="69"/>
      <c r="N3" s="69"/>
      <c r="O3" s="69"/>
      <c r="P3" s="69"/>
      <c r="Q3" s="69"/>
      <c r="R3" s="69"/>
      <c r="S3" s="69"/>
      <c r="T3" s="69"/>
      <c r="U3" s="69"/>
    </row>
    <row r="4" spans="1:21" ht="33.75" x14ac:dyDescent="0.25">
      <c r="A4" s="89" t="s">
        <v>445</v>
      </c>
      <c r="B4" s="25" t="s">
        <v>446</v>
      </c>
      <c r="C4" s="30" t="s">
        <v>447</v>
      </c>
      <c r="D4" s="23" t="s">
        <v>448</v>
      </c>
      <c r="E4" s="69"/>
      <c r="F4" s="69"/>
      <c r="G4" s="69"/>
      <c r="H4" s="69"/>
      <c r="I4" s="69"/>
      <c r="J4" s="69"/>
      <c r="K4" s="69"/>
      <c r="L4" s="69"/>
      <c r="M4" s="69"/>
      <c r="N4" s="69"/>
      <c r="O4" s="69"/>
      <c r="P4" s="69"/>
      <c r="Q4" s="69"/>
      <c r="R4" s="69"/>
      <c r="S4" s="69"/>
      <c r="T4" s="69"/>
      <c r="U4" s="69"/>
    </row>
    <row r="5" spans="1:21" ht="67.5" x14ac:dyDescent="0.25">
      <c r="A5" s="89" t="s">
        <v>449</v>
      </c>
      <c r="B5" s="26" t="s">
        <v>450</v>
      </c>
      <c r="C5" s="31" t="s">
        <v>451</v>
      </c>
      <c r="D5" s="24" t="s">
        <v>452</v>
      </c>
      <c r="E5" s="69"/>
      <c r="F5" s="69"/>
      <c r="G5" s="69"/>
      <c r="H5" s="69"/>
      <c r="I5" s="69"/>
      <c r="J5" s="69"/>
      <c r="K5" s="69"/>
      <c r="L5" s="69"/>
      <c r="M5" s="69"/>
      <c r="N5" s="69"/>
      <c r="O5" s="69"/>
      <c r="P5" s="69"/>
      <c r="Q5" s="69"/>
      <c r="R5" s="69"/>
      <c r="S5" s="69"/>
      <c r="T5" s="69"/>
      <c r="U5" s="69"/>
    </row>
    <row r="6" spans="1:21" ht="67.5" x14ac:dyDescent="0.25">
      <c r="A6" s="89" t="s">
        <v>420</v>
      </c>
      <c r="B6" s="27" t="s">
        <v>453</v>
      </c>
      <c r="C6" s="31" t="s">
        <v>454</v>
      </c>
      <c r="D6" s="24" t="s">
        <v>455</v>
      </c>
      <c r="E6" s="69"/>
      <c r="F6" s="69"/>
      <c r="G6" s="69"/>
      <c r="H6" s="69"/>
      <c r="I6" s="69"/>
      <c r="J6" s="69"/>
      <c r="K6" s="69"/>
      <c r="L6" s="69"/>
      <c r="M6" s="69"/>
      <c r="N6" s="69"/>
      <c r="O6" s="69"/>
      <c r="P6" s="69"/>
      <c r="Q6" s="69"/>
      <c r="R6" s="69"/>
      <c r="S6" s="69"/>
      <c r="T6" s="69"/>
      <c r="U6" s="69"/>
    </row>
    <row r="7" spans="1:21" ht="101.25" x14ac:dyDescent="0.25">
      <c r="A7" s="89" t="s">
        <v>456</v>
      </c>
      <c r="B7" s="28" t="s">
        <v>457</v>
      </c>
      <c r="C7" s="31" t="s">
        <v>458</v>
      </c>
      <c r="D7" s="24" t="s">
        <v>459</v>
      </c>
      <c r="E7" s="69"/>
      <c r="F7" s="69"/>
      <c r="G7" s="69"/>
      <c r="H7" s="69"/>
      <c r="I7" s="69"/>
      <c r="J7" s="69"/>
      <c r="K7" s="69"/>
      <c r="L7" s="69"/>
      <c r="M7" s="69"/>
      <c r="N7" s="69"/>
      <c r="O7" s="69"/>
      <c r="P7" s="69"/>
      <c r="Q7" s="69"/>
      <c r="R7" s="69"/>
      <c r="S7" s="69"/>
      <c r="T7" s="69"/>
      <c r="U7" s="69"/>
    </row>
    <row r="8" spans="1:21" ht="67.5" x14ac:dyDescent="0.25">
      <c r="A8" s="89" t="s">
        <v>460</v>
      </c>
      <c r="B8" s="29" t="s">
        <v>461</v>
      </c>
      <c r="C8" s="31" t="s">
        <v>462</v>
      </c>
      <c r="D8" s="24" t="s">
        <v>463</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464</v>
      </c>
      <c r="C11" s="89" t="s">
        <v>465</v>
      </c>
      <c r="D11" s="89" t="s">
        <v>466</v>
      </c>
      <c r="E11" s="69"/>
      <c r="F11" s="69"/>
      <c r="G11" s="69"/>
      <c r="H11" s="69"/>
      <c r="I11" s="69"/>
      <c r="J11" s="69"/>
      <c r="K11" s="69"/>
      <c r="L11" s="69"/>
      <c r="M11" s="69"/>
      <c r="N11" s="69"/>
      <c r="O11" s="69"/>
      <c r="P11" s="69"/>
      <c r="Q11" s="69"/>
      <c r="R11" s="69"/>
      <c r="S11" s="69"/>
      <c r="T11" s="69"/>
      <c r="U11" s="69"/>
    </row>
    <row r="12" spans="1:21" x14ac:dyDescent="0.25">
      <c r="A12" s="89"/>
      <c r="B12" s="89" t="s">
        <v>467</v>
      </c>
      <c r="C12" s="89" t="s">
        <v>468</v>
      </c>
      <c r="D12" s="89" t="s">
        <v>469</v>
      </c>
      <c r="E12" s="69"/>
      <c r="F12" s="69"/>
      <c r="G12" s="69"/>
      <c r="H12" s="69"/>
      <c r="I12" s="69"/>
      <c r="J12" s="69"/>
      <c r="K12" s="69"/>
      <c r="L12" s="69"/>
      <c r="M12" s="69"/>
      <c r="N12" s="69"/>
      <c r="O12" s="69"/>
      <c r="P12" s="69"/>
      <c r="Q12" s="69"/>
      <c r="R12" s="69"/>
      <c r="S12" s="69"/>
      <c r="T12" s="69"/>
      <c r="U12" s="69"/>
    </row>
    <row r="13" spans="1:21" x14ac:dyDescent="0.25">
      <c r="A13" s="89"/>
      <c r="B13" s="89"/>
      <c r="C13" s="89" t="s">
        <v>470</v>
      </c>
      <c r="D13" s="89" t="s">
        <v>209</v>
      </c>
      <c r="E13" s="69"/>
      <c r="F13" s="69"/>
      <c r="G13" s="69"/>
      <c r="H13" s="69"/>
      <c r="I13" s="69"/>
      <c r="J13" s="69"/>
      <c r="K13" s="69"/>
      <c r="L13" s="69"/>
      <c r="M13" s="69"/>
      <c r="N13" s="69"/>
      <c r="O13" s="69"/>
      <c r="P13" s="69"/>
      <c r="Q13" s="69"/>
      <c r="R13" s="69"/>
      <c r="S13" s="69"/>
      <c r="T13" s="69"/>
      <c r="U13" s="69"/>
    </row>
    <row r="14" spans="1:21" x14ac:dyDescent="0.25">
      <c r="A14" s="89"/>
      <c r="B14" s="89"/>
      <c r="C14" s="89" t="s">
        <v>471</v>
      </c>
      <c r="D14" s="89" t="s">
        <v>472</v>
      </c>
      <c r="E14" s="69"/>
      <c r="F14" s="69"/>
      <c r="G14" s="69"/>
      <c r="H14" s="69"/>
      <c r="I14" s="69"/>
      <c r="J14" s="69"/>
      <c r="K14" s="69"/>
      <c r="L14" s="69"/>
      <c r="M14" s="69"/>
      <c r="N14" s="69"/>
      <c r="O14" s="69"/>
      <c r="P14" s="69"/>
      <c r="Q14" s="69"/>
      <c r="R14" s="69"/>
      <c r="S14" s="69"/>
      <c r="T14" s="69"/>
      <c r="U14" s="69"/>
    </row>
    <row r="15" spans="1:21" x14ac:dyDescent="0.25">
      <c r="A15" s="89"/>
      <c r="B15" s="89"/>
      <c r="C15" s="89" t="s">
        <v>473</v>
      </c>
      <c r="D15" s="89" t="s">
        <v>474</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475</v>
      </c>
      <c r="C209" s="16" t="s">
        <v>476</v>
      </c>
      <c r="D209" s="19" t="s">
        <v>475</v>
      </c>
      <c r="E209" s="19" t="s">
        <v>476</v>
      </c>
    </row>
    <row r="210" spans="1:8" ht="21" x14ac:dyDescent="0.35">
      <c r="A210" s="69"/>
      <c r="B210" s="17" t="s">
        <v>477</v>
      </c>
      <c r="C210" s="17" t="s">
        <v>478</v>
      </c>
      <c r="D210" t="s">
        <v>477</v>
      </c>
      <c r="F210" t="str">
        <f>IF(NOT(ISBLANK(D210)),D210,IF(NOT(ISBLANK(E210)),"     "&amp;E210,FALSE))</f>
        <v>Afectación Económica o presupuestal</v>
      </c>
      <c r="G210" t="s">
        <v>477</v>
      </c>
      <c r="H210" t="str">
        <f>IF(NOT(ISERROR(MATCH(G210,_xlfn.ANCHORARRAY(B221),0))),F223&amp;"Por favor no seleccionar los criterios de impacto",G210)</f>
        <v>❌Por favor no seleccionar los criterios de impacto</v>
      </c>
    </row>
    <row r="211" spans="1:8" ht="21" x14ac:dyDescent="0.35">
      <c r="A211" s="69"/>
      <c r="B211" s="17" t="s">
        <v>477</v>
      </c>
      <c r="C211" s="17" t="s">
        <v>451</v>
      </c>
      <c r="E211" t="s">
        <v>478</v>
      </c>
      <c r="F211" t="str">
        <f t="shared" ref="F211:F221" si="0">IF(NOT(ISBLANK(D211)),D211,IF(NOT(ISBLANK(E211)),"     "&amp;E211,FALSE))</f>
        <v xml:space="preserve">     Afectación menor a 10 SMLMV .</v>
      </c>
    </row>
    <row r="212" spans="1:8" ht="21" x14ac:dyDescent="0.35">
      <c r="A212" s="69"/>
      <c r="B212" s="17" t="s">
        <v>477</v>
      </c>
      <c r="C212" s="17" t="s">
        <v>454</v>
      </c>
      <c r="E212" t="s">
        <v>451</v>
      </c>
      <c r="F212" t="str">
        <f t="shared" si="0"/>
        <v xml:space="preserve">     Entre 10 y 50 SMLMV </v>
      </c>
    </row>
    <row r="213" spans="1:8" ht="21" x14ac:dyDescent="0.35">
      <c r="A213" s="69"/>
      <c r="B213" s="17" t="s">
        <v>477</v>
      </c>
      <c r="C213" s="17" t="s">
        <v>458</v>
      </c>
      <c r="E213" t="s">
        <v>454</v>
      </c>
      <c r="F213" t="str">
        <f t="shared" si="0"/>
        <v xml:space="preserve">     Entre 50 y 100 SMLMV </v>
      </c>
    </row>
    <row r="214" spans="1:8" ht="21" x14ac:dyDescent="0.35">
      <c r="A214" s="69"/>
      <c r="B214" s="17" t="s">
        <v>477</v>
      </c>
      <c r="C214" s="17" t="s">
        <v>462</v>
      </c>
      <c r="E214" t="s">
        <v>458</v>
      </c>
      <c r="F214" t="str">
        <f t="shared" si="0"/>
        <v xml:space="preserve">     Entre 100 y 500 SMLMV </v>
      </c>
    </row>
    <row r="215" spans="1:8" ht="21" x14ac:dyDescent="0.35">
      <c r="A215" s="69"/>
      <c r="B215" s="17" t="s">
        <v>444</v>
      </c>
      <c r="C215" s="17" t="s">
        <v>448</v>
      </c>
      <c r="E215" t="s">
        <v>462</v>
      </c>
      <c r="F215" t="str">
        <f t="shared" si="0"/>
        <v xml:space="preserve">     Mayor a 500 SMLMV </v>
      </c>
    </row>
    <row r="216" spans="1:8" ht="21" x14ac:dyDescent="0.35">
      <c r="A216" s="69"/>
      <c r="B216" s="17" t="s">
        <v>444</v>
      </c>
      <c r="C216" s="17" t="s">
        <v>452</v>
      </c>
      <c r="D216" t="s">
        <v>444</v>
      </c>
      <c r="F216" t="str">
        <f t="shared" si="0"/>
        <v>Pérdida Reputacional</v>
      </c>
    </row>
    <row r="217" spans="1:8" ht="21" x14ac:dyDescent="0.35">
      <c r="A217" s="69"/>
      <c r="B217" s="17" t="s">
        <v>444</v>
      </c>
      <c r="C217" s="17" t="s">
        <v>455</v>
      </c>
      <c r="E217" t="s">
        <v>448</v>
      </c>
      <c r="F217" t="str">
        <f t="shared" si="0"/>
        <v xml:space="preserve">     El riesgo afecta la imagen de alguna área de la organización</v>
      </c>
    </row>
    <row r="218" spans="1:8" ht="21" x14ac:dyDescent="0.35">
      <c r="A218" s="69"/>
      <c r="B218" s="17" t="s">
        <v>444</v>
      </c>
      <c r="C218" s="17" t="s">
        <v>459</v>
      </c>
      <c r="E218" t="s">
        <v>452</v>
      </c>
      <c r="F218" t="str">
        <f t="shared" si="0"/>
        <v xml:space="preserve">     El riesgo afecta la imagen de la entidad internamente, de conocimiento general, nivel interno, de junta dircetiva y accionistas y/o de provedores</v>
      </c>
    </row>
    <row r="219" spans="1:8" ht="21" x14ac:dyDescent="0.35">
      <c r="A219" s="69"/>
      <c r="B219" s="17" t="s">
        <v>444</v>
      </c>
      <c r="C219" s="17" t="s">
        <v>463</v>
      </c>
      <c r="E219" t="s">
        <v>455</v>
      </c>
      <c r="F219" t="str">
        <f t="shared" si="0"/>
        <v xml:space="preserve">     El riesgo afecta la imagen de la entidad con algunos usuarios de relevancia frente al logro de los objetivos</v>
      </c>
    </row>
    <row r="220" spans="1:8" x14ac:dyDescent="0.25">
      <c r="A220" s="69"/>
      <c r="B220" s="18"/>
      <c r="C220" s="18"/>
      <c r="E220" t="s">
        <v>479</v>
      </c>
      <c r="F220" t="str">
        <f t="shared" si="0"/>
        <v xml:space="preserve">     El riesgo afecta la imagen de la entidad con efecto publicitario sostenido a nivel de sector administrativo, nivel departamental o municipal</v>
      </c>
    </row>
    <row r="221" spans="1:8" x14ac:dyDescent="0.25">
      <c r="A221" s="69"/>
      <c r="B221" s="18" t="str" cm="1">
        <f t="array" ref="B221:B223">_xlfn.UNIQUE(Tabla1[[#All],[Criterios]])</f>
        <v>Criterios</v>
      </c>
      <c r="C221" s="18"/>
      <c r="E221" t="s">
        <v>463</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480</v>
      </c>
    </row>
    <row r="224" spans="1:8" x14ac:dyDescent="0.25">
      <c r="B224" s="14"/>
      <c r="C224" s="14"/>
      <c r="F224" s="21" t="s">
        <v>481</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720" t="s">
        <v>482</v>
      </c>
      <c r="C1" s="721"/>
      <c r="D1" s="721"/>
      <c r="E1" s="721"/>
      <c r="F1" s="722"/>
    </row>
    <row r="2" spans="2:6" ht="16.5" thickBot="1" x14ac:dyDescent="0.3">
      <c r="B2" s="75"/>
      <c r="C2" s="75"/>
      <c r="D2" s="75"/>
      <c r="E2" s="75"/>
      <c r="F2" s="75"/>
    </row>
    <row r="3" spans="2:6" ht="16.5" thickBot="1" x14ac:dyDescent="0.25">
      <c r="B3" s="724" t="s">
        <v>483</v>
      </c>
      <c r="C3" s="725"/>
      <c r="D3" s="725"/>
      <c r="E3" s="87" t="s">
        <v>484</v>
      </c>
      <c r="F3" s="88" t="s">
        <v>485</v>
      </c>
    </row>
    <row r="4" spans="2:6" ht="31.5" x14ac:dyDescent="0.2">
      <c r="B4" s="726" t="s">
        <v>486</v>
      </c>
      <c r="C4" s="728" t="s">
        <v>70</v>
      </c>
      <c r="D4" s="76" t="s">
        <v>213</v>
      </c>
      <c r="E4" s="77" t="s">
        <v>487</v>
      </c>
      <c r="F4" s="78">
        <v>0.25</v>
      </c>
    </row>
    <row r="5" spans="2:6" ht="47.25" x14ac:dyDescent="0.2">
      <c r="B5" s="727"/>
      <c r="C5" s="729"/>
      <c r="D5" s="79" t="s">
        <v>488</v>
      </c>
      <c r="E5" s="80" t="s">
        <v>489</v>
      </c>
      <c r="F5" s="81">
        <v>0.15</v>
      </c>
    </row>
    <row r="6" spans="2:6" ht="47.25" x14ac:dyDescent="0.2">
      <c r="B6" s="727"/>
      <c r="C6" s="729"/>
      <c r="D6" s="79" t="s">
        <v>490</v>
      </c>
      <c r="E6" s="80" t="s">
        <v>491</v>
      </c>
      <c r="F6" s="81">
        <v>0.1</v>
      </c>
    </row>
    <row r="7" spans="2:6" ht="63" x14ac:dyDescent="0.2">
      <c r="B7" s="727"/>
      <c r="C7" s="729" t="s">
        <v>198</v>
      </c>
      <c r="D7" s="79" t="s">
        <v>382</v>
      </c>
      <c r="E7" s="80" t="s">
        <v>492</v>
      </c>
      <c r="F7" s="81">
        <v>0.25</v>
      </c>
    </row>
    <row r="8" spans="2:6" ht="31.5" x14ac:dyDescent="0.2">
      <c r="B8" s="727"/>
      <c r="C8" s="729"/>
      <c r="D8" s="79" t="s">
        <v>214</v>
      </c>
      <c r="E8" s="80" t="s">
        <v>493</v>
      </c>
      <c r="F8" s="81">
        <v>0.15</v>
      </c>
    </row>
    <row r="9" spans="2:6" ht="47.25" x14ac:dyDescent="0.2">
      <c r="B9" s="727" t="s">
        <v>494</v>
      </c>
      <c r="C9" s="729" t="s">
        <v>200</v>
      </c>
      <c r="D9" s="79" t="s">
        <v>495</v>
      </c>
      <c r="E9" s="80" t="s">
        <v>496</v>
      </c>
      <c r="F9" s="82" t="s">
        <v>497</v>
      </c>
    </row>
    <row r="10" spans="2:6" ht="63" x14ac:dyDescent="0.2">
      <c r="B10" s="727"/>
      <c r="C10" s="729"/>
      <c r="D10" s="79" t="s">
        <v>215</v>
      </c>
      <c r="E10" s="80" t="s">
        <v>498</v>
      </c>
      <c r="F10" s="82" t="s">
        <v>497</v>
      </c>
    </row>
    <row r="11" spans="2:6" ht="47.25" x14ac:dyDescent="0.2">
      <c r="B11" s="727"/>
      <c r="C11" s="729" t="s">
        <v>201</v>
      </c>
      <c r="D11" s="79" t="s">
        <v>216</v>
      </c>
      <c r="E11" s="80" t="s">
        <v>499</v>
      </c>
      <c r="F11" s="82" t="s">
        <v>497</v>
      </c>
    </row>
    <row r="12" spans="2:6" ht="47.25" x14ac:dyDescent="0.2">
      <c r="B12" s="727"/>
      <c r="C12" s="729"/>
      <c r="D12" s="79" t="s">
        <v>500</v>
      </c>
      <c r="E12" s="80" t="s">
        <v>501</v>
      </c>
      <c r="F12" s="82" t="s">
        <v>497</v>
      </c>
    </row>
    <row r="13" spans="2:6" ht="31.5" x14ac:dyDescent="0.2">
      <c r="B13" s="727"/>
      <c r="C13" s="729" t="s">
        <v>183</v>
      </c>
      <c r="D13" s="79" t="s">
        <v>502</v>
      </c>
      <c r="E13" s="80" t="s">
        <v>503</v>
      </c>
      <c r="F13" s="82" t="s">
        <v>497</v>
      </c>
    </row>
    <row r="14" spans="2:6" ht="32.25" thickBot="1" x14ac:dyDescent="0.25">
      <c r="B14" s="730"/>
      <c r="C14" s="731"/>
      <c r="D14" s="83" t="s">
        <v>504</v>
      </c>
      <c r="E14" s="84" t="s">
        <v>505</v>
      </c>
      <c r="F14" s="85" t="s">
        <v>497</v>
      </c>
    </row>
    <row r="15" spans="2:6" ht="49.5" customHeight="1" x14ac:dyDescent="0.2">
      <c r="B15" s="723" t="s">
        <v>506</v>
      </c>
      <c r="C15" s="723"/>
      <c r="D15" s="723"/>
      <c r="E15" s="723"/>
      <c r="F15" s="723"/>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18" customWidth="1"/>
    <col min="2" max="2" width="155.5703125" style="118" customWidth="1"/>
    <col min="3" max="16384" width="11.42578125" style="118"/>
  </cols>
  <sheetData>
    <row r="1" spans="1:2" ht="17.25" thickBot="1" x14ac:dyDescent="0.35">
      <c r="A1" s="116" t="s">
        <v>507</v>
      </c>
      <c r="B1" s="117" t="s">
        <v>508</v>
      </c>
    </row>
    <row r="2" spans="1:2" ht="41.25" customHeight="1" x14ac:dyDescent="0.3">
      <c r="A2" s="119" t="s">
        <v>375</v>
      </c>
      <c r="B2" s="120" t="s">
        <v>509</v>
      </c>
    </row>
    <row r="3" spans="1:2" x14ac:dyDescent="0.3">
      <c r="A3" s="121" t="s">
        <v>510</v>
      </c>
      <c r="B3" s="122" t="s">
        <v>511</v>
      </c>
    </row>
    <row r="4" spans="1:2" x14ac:dyDescent="0.3">
      <c r="A4" s="121" t="s">
        <v>512</v>
      </c>
      <c r="B4" s="123" t="s">
        <v>513</v>
      </c>
    </row>
    <row r="5" spans="1:2" ht="31.5" customHeight="1" x14ac:dyDescent="0.3">
      <c r="A5" s="121" t="s">
        <v>514</v>
      </c>
      <c r="B5" s="122" t="s">
        <v>515</v>
      </c>
    </row>
    <row r="6" spans="1:2" ht="25.5" x14ac:dyDescent="0.3">
      <c r="A6" s="121" t="s">
        <v>516</v>
      </c>
      <c r="B6" s="122" t="s">
        <v>517</v>
      </c>
    </row>
    <row r="7" spans="1:2" ht="33.75" customHeight="1" x14ac:dyDescent="0.3">
      <c r="A7" s="121" t="s">
        <v>518</v>
      </c>
      <c r="B7" s="122" t="s">
        <v>519</v>
      </c>
    </row>
    <row r="8" spans="1:2" ht="25.5" x14ac:dyDescent="0.3">
      <c r="A8" s="121" t="s">
        <v>520</v>
      </c>
      <c r="B8" s="122" t="s">
        <v>521</v>
      </c>
    </row>
    <row r="9" spans="1:2" ht="17.25" thickBot="1" x14ac:dyDescent="0.35">
      <c r="A9" s="124" t="s">
        <v>522</v>
      </c>
      <c r="B9" s="125" t="s">
        <v>523</v>
      </c>
    </row>
    <row r="10" spans="1:2" ht="17.25" thickBot="1" x14ac:dyDescent="0.35"/>
    <row r="11" spans="1:2" x14ac:dyDescent="0.3">
      <c r="A11" s="735" t="s">
        <v>524</v>
      </c>
      <c r="B11" s="736"/>
    </row>
    <row r="12" spans="1:2" ht="17.25" thickBot="1" x14ac:dyDescent="0.35">
      <c r="A12" s="126" t="s">
        <v>525</v>
      </c>
      <c r="B12" s="127" t="s">
        <v>526</v>
      </c>
    </row>
    <row r="13" spans="1:2" x14ac:dyDescent="0.3">
      <c r="A13" s="737" t="s">
        <v>527</v>
      </c>
      <c r="B13" s="128" t="s">
        <v>528</v>
      </c>
    </row>
    <row r="14" spans="1:2" ht="17.25" thickBot="1" x14ac:dyDescent="0.35">
      <c r="A14" s="738"/>
      <c r="B14" s="129" t="s">
        <v>529</v>
      </c>
    </row>
    <row r="15" spans="1:2" x14ac:dyDescent="0.3">
      <c r="A15" s="739" t="s">
        <v>530</v>
      </c>
      <c r="B15" s="128" t="s">
        <v>531</v>
      </c>
    </row>
    <row r="16" spans="1:2" ht="17.25" thickBot="1" x14ac:dyDescent="0.35">
      <c r="A16" s="740"/>
      <c r="B16" s="129" t="s">
        <v>532</v>
      </c>
    </row>
    <row r="17" spans="1:2" x14ac:dyDescent="0.3">
      <c r="A17" s="732" t="s">
        <v>533</v>
      </c>
      <c r="B17" s="128" t="s">
        <v>534</v>
      </c>
    </row>
    <row r="18" spans="1:2" x14ac:dyDescent="0.3">
      <c r="A18" s="733"/>
      <c r="B18" s="130" t="s">
        <v>535</v>
      </c>
    </row>
    <row r="19" spans="1:2" ht="17.25" thickBot="1" x14ac:dyDescent="0.35">
      <c r="A19" s="734"/>
      <c r="B19" s="129" t="s">
        <v>536</v>
      </c>
    </row>
    <row r="20" spans="1:2" x14ac:dyDescent="0.3">
      <c r="A20" s="739" t="s">
        <v>537</v>
      </c>
      <c r="B20" s="128" t="s">
        <v>377</v>
      </c>
    </row>
    <row r="21" spans="1:2" x14ac:dyDescent="0.3">
      <c r="A21" s="741"/>
      <c r="B21" s="130" t="s">
        <v>538</v>
      </c>
    </row>
    <row r="22" spans="1:2" x14ac:dyDescent="0.3">
      <c r="A22" s="741"/>
      <c r="B22" s="130" t="s">
        <v>539</v>
      </c>
    </row>
    <row r="23" spans="1:2" x14ac:dyDescent="0.3">
      <c r="A23" s="741"/>
      <c r="B23" s="130" t="s">
        <v>540</v>
      </c>
    </row>
    <row r="24" spans="1:2" x14ac:dyDescent="0.3">
      <c r="A24" s="741"/>
      <c r="B24" s="130" t="s">
        <v>541</v>
      </c>
    </row>
    <row r="25" spans="1:2" x14ac:dyDescent="0.3">
      <c r="A25" s="741"/>
      <c r="B25" s="130" t="s">
        <v>542</v>
      </c>
    </row>
    <row r="26" spans="1:2" x14ac:dyDescent="0.3">
      <c r="A26" s="741"/>
      <c r="B26" s="130" t="s">
        <v>543</v>
      </c>
    </row>
    <row r="27" spans="1:2" x14ac:dyDescent="0.3">
      <c r="A27" s="741"/>
      <c r="B27" s="130" t="s">
        <v>544</v>
      </c>
    </row>
    <row r="28" spans="1:2" x14ac:dyDescent="0.3">
      <c r="A28" s="741"/>
      <c r="B28" s="130" t="s">
        <v>545</v>
      </c>
    </row>
    <row r="29" spans="1:2" x14ac:dyDescent="0.3">
      <c r="A29" s="741"/>
      <c r="B29" s="130" t="s">
        <v>546</v>
      </c>
    </row>
    <row r="30" spans="1:2" ht="17.25" thickBot="1" x14ac:dyDescent="0.35">
      <c r="A30" s="740"/>
      <c r="B30" s="129" t="s">
        <v>547</v>
      </c>
    </row>
    <row r="31" spans="1:2" x14ac:dyDescent="0.3">
      <c r="A31" s="732" t="s">
        <v>548</v>
      </c>
      <c r="B31" s="128" t="s">
        <v>549</v>
      </c>
    </row>
    <row r="32" spans="1:2" x14ac:dyDescent="0.3">
      <c r="A32" s="733"/>
      <c r="B32" s="130" t="s">
        <v>550</v>
      </c>
    </row>
    <row r="33" spans="1:2" x14ac:dyDescent="0.3">
      <c r="A33" s="733"/>
      <c r="B33" s="130" t="s">
        <v>551</v>
      </c>
    </row>
    <row r="34" spans="1:2" x14ac:dyDescent="0.3">
      <c r="A34" s="733"/>
      <c r="B34" s="130" t="s">
        <v>552</v>
      </c>
    </row>
    <row r="35" spans="1:2" x14ac:dyDescent="0.3">
      <c r="A35" s="733"/>
      <c r="B35" s="130" t="s">
        <v>553</v>
      </c>
    </row>
    <row r="36" spans="1:2" x14ac:dyDescent="0.3">
      <c r="A36" s="733"/>
      <c r="B36" s="130" t="s">
        <v>554</v>
      </c>
    </row>
    <row r="37" spans="1:2" x14ac:dyDescent="0.3">
      <c r="A37" s="733"/>
      <c r="B37" s="130" t="s">
        <v>555</v>
      </c>
    </row>
    <row r="38" spans="1:2" x14ac:dyDescent="0.3">
      <c r="A38" s="733"/>
      <c r="B38" s="130" t="s">
        <v>556</v>
      </c>
    </row>
    <row r="39" spans="1:2" x14ac:dyDescent="0.3">
      <c r="A39" s="733"/>
      <c r="B39" s="130" t="s">
        <v>557</v>
      </c>
    </row>
    <row r="40" spans="1:2" x14ac:dyDescent="0.3">
      <c r="A40" s="733"/>
      <c r="B40" s="130" t="s">
        <v>558</v>
      </c>
    </row>
    <row r="41" spans="1:2" x14ac:dyDescent="0.3">
      <c r="A41" s="733"/>
      <c r="B41" s="130" t="s">
        <v>559</v>
      </c>
    </row>
    <row r="42" spans="1:2" x14ac:dyDescent="0.3">
      <c r="A42" s="733"/>
      <c r="B42" s="130" t="s">
        <v>560</v>
      </c>
    </row>
    <row r="43" spans="1:2" x14ac:dyDescent="0.3">
      <c r="A43" s="733"/>
      <c r="B43" s="130" t="s">
        <v>561</v>
      </c>
    </row>
    <row r="44" spans="1:2" x14ac:dyDescent="0.3">
      <c r="A44" s="733"/>
      <c r="B44" s="130" t="s">
        <v>562</v>
      </c>
    </row>
    <row r="45" spans="1:2" ht="17.25" thickBot="1" x14ac:dyDescent="0.35">
      <c r="A45" s="734"/>
      <c r="B45" s="129" t="s">
        <v>563</v>
      </c>
    </row>
    <row r="46" spans="1:2" x14ac:dyDescent="0.3">
      <c r="A46" s="732" t="s">
        <v>564</v>
      </c>
      <c r="B46" s="128" t="s">
        <v>565</v>
      </c>
    </row>
    <row r="47" spans="1:2" ht="17.25" thickBot="1" x14ac:dyDescent="0.35">
      <c r="A47" s="734"/>
      <c r="B47" s="129" t="s">
        <v>566</v>
      </c>
    </row>
    <row r="48" spans="1:2" x14ac:dyDescent="0.3">
      <c r="A48" s="737" t="s">
        <v>567</v>
      </c>
      <c r="B48" s="131" t="s">
        <v>568</v>
      </c>
    </row>
    <row r="49" spans="1:2" ht="17.25" thickBot="1" x14ac:dyDescent="0.35">
      <c r="A49" s="738"/>
      <c r="B49" s="132" t="s">
        <v>569</v>
      </c>
    </row>
    <row r="50" spans="1:2" x14ac:dyDescent="0.3">
      <c r="A50" s="742" t="s">
        <v>570</v>
      </c>
      <c r="B50" s="131" t="s">
        <v>571</v>
      </c>
    </row>
    <row r="51" spans="1:2" ht="17.25" thickBot="1" x14ac:dyDescent="0.35">
      <c r="A51" s="743"/>
      <c r="B51" s="132" t="s">
        <v>572</v>
      </c>
    </row>
    <row r="52" spans="1:2" ht="17.25" thickBot="1" x14ac:dyDescent="0.35"/>
    <row r="53" spans="1:2" x14ac:dyDescent="0.3">
      <c r="A53" s="735" t="s">
        <v>573</v>
      </c>
      <c r="B53" s="736"/>
    </row>
    <row r="54" spans="1:2" ht="17.25" thickBot="1" x14ac:dyDescent="0.35">
      <c r="A54" s="126" t="s">
        <v>525</v>
      </c>
      <c r="B54" s="133" t="s">
        <v>574</v>
      </c>
    </row>
    <row r="55" spans="1:2" x14ac:dyDescent="0.3">
      <c r="A55" s="739" t="s">
        <v>97</v>
      </c>
      <c r="B55" s="131" t="s">
        <v>575</v>
      </c>
    </row>
    <row r="56" spans="1:2" x14ac:dyDescent="0.3">
      <c r="A56" s="741"/>
      <c r="B56" s="134" t="s">
        <v>576</v>
      </c>
    </row>
    <row r="57" spans="1:2" x14ac:dyDescent="0.3">
      <c r="A57" s="741"/>
      <c r="B57" s="134" t="s">
        <v>577</v>
      </c>
    </row>
    <row r="58" spans="1:2" x14ac:dyDescent="0.3">
      <c r="A58" s="741"/>
      <c r="B58" s="134" t="s">
        <v>578</v>
      </c>
    </row>
    <row r="59" spans="1:2" x14ac:dyDescent="0.3">
      <c r="A59" s="741"/>
      <c r="B59" s="134" t="s">
        <v>579</v>
      </c>
    </row>
    <row r="60" spans="1:2" x14ac:dyDescent="0.3">
      <c r="A60" s="741"/>
      <c r="B60" s="134" t="s">
        <v>580</v>
      </c>
    </row>
    <row r="61" spans="1:2" x14ac:dyDescent="0.3">
      <c r="A61" s="741"/>
      <c r="B61" s="134" t="s">
        <v>581</v>
      </c>
    </row>
    <row r="62" spans="1:2" x14ac:dyDescent="0.3">
      <c r="A62" s="741"/>
      <c r="B62" s="134" t="s">
        <v>582</v>
      </c>
    </row>
    <row r="63" spans="1:2" x14ac:dyDescent="0.3">
      <c r="A63" s="741"/>
      <c r="B63" s="134" t="s">
        <v>583</v>
      </c>
    </row>
    <row r="64" spans="1:2" x14ac:dyDescent="0.3">
      <c r="A64" s="741"/>
      <c r="B64" s="134" t="s">
        <v>584</v>
      </c>
    </row>
    <row r="65" spans="1:2" x14ac:dyDescent="0.3">
      <c r="A65" s="741"/>
      <c r="B65" s="134" t="s">
        <v>585</v>
      </c>
    </row>
    <row r="66" spans="1:2" x14ac:dyDescent="0.3">
      <c r="A66" s="741"/>
      <c r="B66" s="134" t="s">
        <v>586</v>
      </c>
    </row>
    <row r="67" spans="1:2" x14ac:dyDescent="0.3">
      <c r="A67" s="741"/>
      <c r="B67" s="134" t="s">
        <v>587</v>
      </c>
    </row>
    <row r="68" spans="1:2" ht="17.25" thickBot="1" x14ac:dyDescent="0.35">
      <c r="A68" s="740"/>
      <c r="B68" s="132" t="s">
        <v>588</v>
      </c>
    </row>
    <row r="69" spans="1:2" x14ac:dyDescent="0.3">
      <c r="A69" s="739" t="s">
        <v>589</v>
      </c>
      <c r="B69" s="131" t="s">
        <v>590</v>
      </c>
    </row>
    <row r="70" spans="1:2" x14ac:dyDescent="0.3">
      <c r="A70" s="741"/>
      <c r="B70" s="134" t="s">
        <v>591</v>
      </c>
    </row>
    <row r="71" spans="1:2" x14ac:dyDescent="0.3">
      <c r="A71" s="741"/>
      <c r="B71" s="134" t="s">
        <v>592</v>
      </c>
    </row>
    <row r="72" spans="1:2" x14ac:dyDescent="0.3">
      <c r="A72" s="741"/>
      <c r="B72" s="134" t="s">
        <v>378</v>
      </c>
    </row>
    <row r="73" spans="1:2" x14ac:dyDescent="0.3">
      <c r="A73" s="741"/>
      <c r="B73" s="134" t="s">
        <v>593</v>
      </c>
    </row>
    <row r="74" spans="1:2" x14ac:dyDescent="0.3">
      <c r="A74" s="741"/>
      <c r="B74" s="134" t="s">
        <v>594</v>
      </c>
    </row>
    <row r="75" spans="1:2" x14ac:dyDescent="0.3">
      <c r="A75" s="741"/>
      <c r="B75" s="134" t="s">
        <v>595</v>
      </c>
    </row>
    <row r="76" spans="1:2" x14ac:dyDescent="0.3">
      <c r="A76" s="741"/>
      <c r="B76" s="134" t="s">
        <v>596</v>
      </c>
    </row>
    <row r="77" spans="1:2" x14ac:dyDescent="0.3">
      <c r="A77" s="741"/>
      <c r="B77" s="134" t="s">
        <v>597</v>
      </c>
    </row>
    <row r="78" spans="1:2" x14ac:dyDescent="0.3">
      <c r="A78" s="741"/>
      <c r="B78" s="134" t="s">
        <v>598</v>
      </c>
    </row>
    <row r="79" spans="1:2" x14ac:dyDescent="0.3">
      <c r="A79" s="741"/>
      <c r="B79" s="134" t="s">
        <v>599</v>
      </c>
    </row>
    <row r="80" spans="1:2" x14ac:dyDescent="0.3">
      <c r="A80" s="741"/>
      <c r="B80" s="134" t="s">
        <v>600</v>
      </c>
    </row>
    <row r="81" spans="1:2" x14ac:dyDescent="0.3">
      <c r="A81" s="741"/>
      <c r="B81" s="134" t="s">
        <v>601</v>
      </c>
    </row>
    <row r="82" spans="1:2" x14ac:dyDescent="0.3">
      <c r="A82" s="741"/>
      <c r="B82" s="134" t="s">
        <v>602</v>
      </c>
    </row>
    <row r="83" spans="1:2" x14ac:dyDescent="0.3">
      <c r="A83" s="741"/>
      <c r="B83" s="134" t="s">
        <v>603</v>
      </c>
    </row>
    <row r="84" spans="1:2" ht="17.25" thickBot="1" x14ac:dyDescent="0.35">
      <c r="A84" s="740"/>
      <c r="B84" s="132" t="s">
        <v>604</v>
      </c>
    </row>
    <row r="85" spans="1:2" x14ac:dyDescent="0.3">
      <c r="A85" s="739" t="s">
        <v>605</v>
      </c>
      <c r="B85" s="131" t="s">
        <v>606</v>
      </c>
    </row>
    <row r="86" spans="1:2" x14ac:dyDescent="0.3">
      <c r="A86" s="741"/>
      <c r="B86" s="134" t="s">
        <v>607</v>
      </c>
    </row>
    <row r="87" spans="1:2" x14ac:dyDescent="0.3">
      <c r="A87" s="741"/>
      <c r="B87" s="134" t="s">
        <v>608</v>
      </c>
    </row>
    <row r="88" spans="1:2" x14ac:dyDescent="0.3">
      <c r="A88" s="741"/>
      <c r="B88" s="134" t="s">
        <v>609</v>
      </c>
    </row>
    <row r="89" spans="1:2" x14ac:dyDescent="0.3">
      <c r="A89" s="741"/>
      <c r="B89" s="134" t="s">
        <v>610</v>
      </c>
    </row>
    <row r="90" spans="1:2" ht="16.5" customHeight="1" x14ac:dyDescent="0.3">
      <c r="A90" s="741"/>
      <c r="B90" s="135" t="s">
        <v>611</v>
      </c>
    </row>
    <row r="91" spans="1:2" ht="17.25" thickBot="1" x14ac:dyDescent="0.35">
      <c r="A91" s="740"/>
      <c r="B91" s="132" t="s">
        <v>612</v>
      </c>
    </row>
    <row r="92" spans="1:2" x14ac:dyDescent="0.3">
      <c r="A92" s="739" t="s">
        <v>84</v>
      </c>
      <c r="B92" s="131" t="s">
        <v>613</v>
      </c>
    </row>
    <row r="93" spans="1:2" ht="15" customHeight="1" x14ac:dyDescent="0.3">
      <c r="A93" s="741"/>
      <c r="B93" s="135" t="s">
        <v>614</v>
      </c>
    </row>
    <row r="94" spans="1:2" ht="16.5" customHeight="1" x14ac:dyDescent="0.3">
      <c r="A94" s="741"/>
      <c r="B94" s="135" t="s">
        <v>615</v>
      </c>
    </row>
    <row r="95" spans="1:2" x14ac:dyDescent="0.3">
      <c r="A95" s="741"/>
      <c r="B95" s="134" t="s">
        <v>616</v>
      </c>
    </row>
    <row r="96" spans="1:2" x14ac:dyDescent="0.3">
      <c r="A96" s="741"/>
      <c r="B96" s="134" t="s">
        <v>617</v>
      </c>
    </row>
    <row r="97" spans="1:2" ht="17.25" thickBot="1" x14ac:dyDescent="0.35">
      <c r="A97" s="740"/>
      <c r="B97" s="132" t="s">
        <v>618</v>
      </c>
    </row>
    <row r="98" spans="1:2" x14ac:dyDescent="0.3">
      <c r="A98" s="739" t="s">
        <v>619</v>
      </c>
      <c r="B98" s="136" t="s">
        <v>620</v>
      </c>
    </row>
    <row r="99" spans="1:2" x14ac:dyDescent="0.3">
      <c r="A99" s="741"/>
      <c r="B99" s="134" t="s">
        <v>621</v>
      </c>
    </row>
    <row r="100" spans="1:2" x14ac:dyDescent="0.3">
      <c r="A100" s="741"/>
      <c r="B100" s="134" t="s">
        <v>622</v>
      </c>
    </row>
    <row r="101" spans="1:2" x14ac:dyDescent="0.3">
      <c r="A101" s="741"/>
      <c r="B101" s="134" t="s">
        <v>623</v>
      </c>
    </row>
    <row r="102" spans="1:2" x14ac:dyDescent="0.3">
      <c r="A102" s="741"/>
      <c r="B102" s="134" t="s">
        <v>624</v>
      </c>
    </row>
    <row r="103" spans="1:2" ht="17.25" thickBot="1" x14ac:dyDescent="0.35">
      <c r="A103" s="740"/>
      <c r="B103" s="137" t="s">
        <v>625</v>
      </c>
    </row>
    <row r="104" spans="1:2" x14ac:dyDescent="0.3">
      <c r="A104" s="739" t="s">
        <v>626</v>
      </c>
      <c r="B104" s="136" t="s">
        <v>627</v>
      </c>
    </row>
    <row r="105" spans="1:2" x14ac:dyDescent="0.3">
      <c r="A105" s="741"/>
      <c r="B105" s="134" t="s">
        <v>628</v>
      </c>
    </row>
    <row r="106" spans="1:2" x14ac:dyDescent="0.3">
      <c r="A106" s="741"/>
      <c r="B106" s="134" t="s">
        <v>629</v>
      </c>
    </row>
    <row r="107" spans="1:2" x14ac:dyDescent="0.3">
      <c r="A107" s="741"/>
      <c r="B107" s="134" t="s">
        <v>630</v>
      </c>
    </row>
    <row r="108" spans="1:2" x14ac:dyDescent="0.3">
      <c r="A108" s="741"/>
      <c r="B108" s="134" t="s">
        <v>631</v>
      </c>
    </row>
    <row r="109" spans="1:2" ht="17.25" thickBot="1" x14ac:dyDescent="0.35">
      <c r="A109" s="740"/>
      <c r="B109" s="137" t="s">
        <v>632</v>
      </c>
    </row>
    <row r="110" spans="1:2" ht="17.25" thickBot="1" x14ac:dyDescent="0.35">
      <c r="A110" s="138" t="s">
        <v>633</v>
      </c>
      <c r="B110" s="139" t="s">
        <v>634</v>
      </c>
    </row>
    <row r="111" spans="1:2" ht="15" customHeight="1" x14ac:dyDescent="0.3"/>
    <row r="112" spans="1:2" x14ac:dyDescent="0.3">
      <c r="A112" s="140" t="s">
        <v>635</v>
      </c>
    </row>
    <row r="113" spans="1:1" x14ac:dyDescent="0.3">
      <c r="A113" s="141" t="s">
        <v>380</v>
      </c>
    </row>
    <row r="114" spans="1:1" x14ac:dyDescent="0.3">
      <c r="A114" s="141" t="s">
        <v>636</v>
      </c>
    </row>
    <row r="115" spans="1:1" x14ac:dyDescent="0.3">
      <c r="A115" s="141" t="s">
        <v>637</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638</v>
      </c>
      <c r="E2" t="s">
        <v>639</v>
      </c>
    </row>
    <row r="3" spans="2:5" x14ac:dyDescent="0.25">
      <c r="B3" t="s">
        <v>640</v>
      </c>
      <c r="E3" t="s">
        <v>376</v>
      </c>
    </row>
    <row r="4" spans="2:5" x14ac:dyDescent="0.25">
      <c r="B4" t="s">
        <v>641</v>
      </c>
      <c r="E4" t="s">
        <v>205</v>
      </c>
    </row>
    <row r="5" spans="2:5" x14ac:dyDescent="0.25">
      <c r="B5" t="s">
        <v>218</v>
      </c>
    </row>
    <row r="8" spans="2:5" x14ac:dyDescent="0.25">
      <c r="B8" t="s">
        <v>642</v>
      </c>
    </row>
    <row r="9" spans="2:5" x14ac:dyDescent="0.25">
      <c r="B9" t="s">
        <v>643</v>
      </c>
    </row>
    <row r="10" spans="2:5" x14ac:dyDescent="0.25">
      <c r="B10" t="s">
        <v>224</v>
      </c>
    </row>
    <row r="13" spans="2:5" x14ac:dyDescent="0.25">
      <c r="B13" t="s">
        <v>379</v>
      </c>
    </row>
    <row r="14" spans="2:5" x14ac:dyDescent="0.25">
      <c r="B14" t="s">
        <v>208</v>
      </c>
    </row>
    <row r="15" spans="2:5" x14ac:dyDescent="0.25">
      <c r="B15" t="s">
        <v>644</v>
      </c>
    </row>
    <row r="16" spans="2:5" x14ac:dyDescent="0.25">
      <c r="B16" t="s">
        <v>645</v>
      </c>
    </row>
    <row r="17" spans="2:2" x14ac:dyDescent="0.25">
      <c r="B17" t="s">
        <v>646</v>
      </c>
    </row>
    <row r="20" spans="2:2" x14ac:dyDescent="0.25">
      <c r="B20" t="s">
        <v>224</v>
      </c>
    </row>
    <row r="21" spans="2:2" x14ac:dyDescent="0.25">
      <c r="B21" t="s">
        <v>247</v>
      </c>
    </row>
    <row r="22" spans="2:2" x14ac:dyDescent="0.25">
      <c r="B22" t="s">
        <v>647</v>
      </c>
    </row>
    <row r="24" spans="2:2" x14ac:dyDescent="0.25">
      <c r="B24" t="s">
        <v>648</v>
      </c>
    </row>
    <row r="25" spans="2:2" x14ac:dyDescent="0.25">
      <c r="B25" t="s">
        <v>289</v>
      </c>
    </row>
    <row r="26" spans="2:2" x14ac:dyDescent="0.25">
      <c r="B26" t="s">
        <v>649</v>
      </c>
    </row>
    <row r="27" spans="2:2" x14ac:dyDescent="0.25">
      <c r="B27" t="s">
        <v>650</v>
      </c>
    </row>
    <row r="28" spans="2:2" x14ac:dyDescent="0.25">
      <c r="B28" t="s">
        <v>211</v>
      </c>
    </row>
    <row r="29" spans="2:2" x14ac:dyDescent="0.25">
      <c r="B29" t="s">
        <v>212</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1" customWidth="1"/>
    <col min="2" max="16384" width="11.42578125" style="1"/>
  </cols>
  <sheetData>
    <row r="3" spans="1:1" x14ac:dyDescent="0.2">
      <c r="A3" s="2" t="s">
        <v>213</v>
      </c>
    </row>
    <row r="4" spans="1:1" x14ac:dyDescent="0.2">
      <c r="A4" s="2" t="s">
        <v>488</v>
      </c>
    </row>
    <row r="5" spans="1:1" x14ac:dyDescent="0.2">
      <c r="A5" s="2" t="s">
        <v>490</v>
      </c>
    </row>
    <row r="6" spans="1:1" x14ac:dyDescent="0.2">
      <c r="A6" s="2" t="s">
        <v>382</v>
      </c>
    </row>
    <row r="7" spans="1:1" x14ac:dyDescent="0.2">
      <c r="A7" s="2" t="s">
        <v>214</v>
      </c>
    </row>
    <row r="8" spans="1:1" x14ac:dyDescent="0.2">
      <c r="A8" s="2" t="s">
        <v>495</v>
      </c>
    </row>
    <row r="9" spans="1:1" x14ac:dyDescent="0.2">
      <c r="A9" s="2" t="s">
        <v>215</v>
      </c>
    </row>
    <row r="10" spans="1:1" x14ac:dyDescent="0.2">
      <c r="A10" s="2" t="s">
        <v>216</v>
      </c>
    </row>
    <row r="11" spans="1:1" x14ac:dyDescent="0.2">
      <c r="A11" s="2" t="s">
        <v>500</v>
      </c>
    </row>
    <row r="12" spans="1:1" x14ac:dyDescent="0.2">
      <c r="A12" s="2" t="s">
        <v>217</v>
      </c>
    </row>
    <row r="13" spans="1:1" x14ac:dyDescent="0.2">
      <c r="A13" s="2" t="s">
        <v>651</v>
      </c>
    </row>
    <row r="14" spans="1:1" x14ac:dyDescent="0.2">
      <c r="A14" s="2"/>
    </row>
    <row r="16" spans="1:1" x14ac:dyDescent="0.2">
      <c r="A16" s="2" t="s">
        <v>293</v>
      </c>
    </row>
    <row r="17" spans="1:2" x14ac:dyDescent="0.2">
      <c r="A17" s="2" t="s">
        <v>638</v>
      </c>
    </row>
    <row r="18" spans="1:2" x14ac:dyDescent="0.2">
      <c r="A18" s="2" t="s">
        <v>640</v>
      </c>
    </row>
    <row r="20" spans="1:2" x14ac:dyDescent="0.2">
      <c r="A20" s="2" t="s">
        <v>643</v>
      </c>
    </row>
    <row r="21" spans="1:2" x14ac:dyDescent="0.2">
      <c r="A21" s="2" t="s">
        <v>224</v>
      </c>
    </row>
    <row r="23" spans="1:2" x14ac:dyDescent="0.2">
      <c r="A23" s="1" t="s">
        <v>229</v>
      </c>
    </row>
    <row r="24" spans="1:2" x14ac:dyDescent="0.2">
      <c r="A24" s="1" t="s">
        <v>652</v>
      </c>
    </row>
    <row r="26" spans="1:2" x14ac:dyDescent="0.2">
      <c r="A26" s="109" t="s">
        <v>653</v>
      </c>
      <c r="B26" s="111" t="s">
        <v>654</v>
      </c>
    </row>
    <row r="27" spans="1:2" x14ac:dyDescent="0.2">
      <c r="A27" s="109" t="s">
        <v>655</v>
      </c>
      <c r="B27" s="111" t="s">
        <v>656</v>
      </c>
    </row>
    <row r="28" spans="1:2" ht="25.5" x14ac:dyDescent="0.2">
      <c r="A28" s="109" t="s">
        <v>657</v>
      </c>
      <c r="B28" s="111" t="s">
        <v>658</v>
      </c>
    </row>
    <row r="29" spans="1:2" x14ac:dyDescent="0.2">
      <c r="A29" s="110" t="s">
        <v>659</v>
      </c>
      <c r="B29" s="111" t="s">
        <v>660</v>
      </c>
    </row>
    <row r="30" spans="1:2" x14ac:dyDescent="0.2">
      <c r="A30" s="109" t="s">
        <v>661</v>
      </c>
      <c r="B30" s="111" t="s">
        <v>662</v>
      </c>
    </row>
    <row r="31" spans="1:2" x14ac:dyDescent="0.2">
      <c r="A31" s="109" t="s">
        <v>663</v>
      </c>
      <c r="B31" s="111" t="s">
        <v>664</v>
      </c>
    </row>
    <row r="32" spans="1:2" x14ac:dyDescent="0.2">
      <c r="A32" s="109" t="s">
        <v>665</v>
      </c>
      <c r="B32" s="111" t="s">
        <v>666</v>
      </c>
    </row>
    <row r="33" spans="1:4" x14ac:dyDescent="0.2">
      <c r="A33" s="109" t="s">
        <v>667</v>
      </c>
      <c r="B33" s="111" t="s">
        <v>668</v>
      </c>
    </row>
    <row r="34" spans="1:4" x14ac:dyDescent="0.2">
      <c r="A34" s="109" t="s">
        <v>669</v>
      </c>
      <c r="B34" s="111" t="s">
        <v>670</v>
      </c>
    </row>
    <row r="35" spans="1:4" x14ac:dyDescent="0.2">
      <c r="A35" s="109" t="s">
        <v>671</v>
      </c>
      <c r="B35" s="111" t="s">
        <v>672</v>
      </c>
    </row>
    <row r="36" spans="1:4" x14ac:dyDescent="0.2">
      <c r="A36" s="109" t="s">
        <v>673</v>
      </c>
      <c r="B36" s="111" t="s">
        <v>674</v>
      </c>
    </row>
    <row r="37" spans="1:4" ht="15.75" customHeight="1" x14ac:dyDescent="0.2">
      <c r="A37" s="109" t="s">
        <v>675</v>
      </c>
      <c r="B37" s="111" t="s">
        <v>676</v>
      </c>
    </row>
    <row r="38" spans="1:4" x14ac:dyDescent="0.2">
      <c r="A38" s="109" t="s">
        <v>73</v>
      </c>
      <c r="B38" s="111" t="s">
        <v>202</v>
      </c>
    </row>
    <row r="39" spans="1:4" x14ac:dyDescent="0.2">
      <c r="A39" s="109" t="s">
        <v>677</v>
      </c>
      <c r="B39" s="111" t="s">
        <v>678</v>
      </c>
    </row>
    <row r="43" spans="1:4" x14ac:dyDescent="0.2">
      <c r="A43" s="1">
        <v>1</v>
      </c>
    </row>
    <row r="44" spans="1:4" x14ac:dyDescent="0.2">
      <c r="A44" s="1">
        <v>2</v>
      </c>
    </row>
    <row r="45" spans="1:4" x14ac:dyDescent="0.2">
      <c r="A45" s="1">
        <v>3</v>
      </c>
      <c r="B45" s="1">
        <v>3</v>
      </c>
    </row>
    <row r="46" spans="1:4" x14ac:dyDescent="0.2">
      <c r="A46" s="1">
        <v>4</v>
      </c>
      <c r="B46" s="1">
        <v>4</v>
      </c>
    </row>
    <row r="47" spans="1:4" x14ac:dyDescent="0.2">
      <c r="A47" s="1">
        <v>5</v>
      </c>
      <c r="B47" s="1">
        <v>5</v>
      </c>
      <c r="C47" s="1">
        <f>25*4</f>
        <v>100</v>
      </c>
      <c r="D47" s="1">
        <f>5*4</f>
        <v>20</v>
      </c>
    </row>
    <row r="48" spans="1:4" x14ac:dyDescent="0.2">
      <c r="C48" s="1">
        <f>12*4</f>
        <v>48</v>
      </c>
      <c r="D48" s="1">
        <f>4*4</f>
        <v>16</v>
      </c>
    </row>
    <row r="49" spans="1:4" x14ac:dyDescent="0.2">
      <c r="C49" s="1">
        <f>6*4</f>
        <v>24</v>
      </c>
      <c r="D49" s="1">
        <f>3*4</f>
        <v>12</v>
      </c>
    </row>
    <row r="52" spans="1:4" x14ac:dyDescent="0.2">
      <c r="A52" s="1">
        <v>0</v>
      </c>
      <c r="B52" s="1">
        <v>15</v>
      </c>
      <c r="C52" s="1">
        <v>0</v>
      </c>
    </row>
    <row r="53" spans="1:4" x14ac:dyDescent="0.2">
      <c r="A53" s="1">
        <v>10</v>
      </c>
      <c r="B53" s="1">
        <v>0</v>
      </c>
      <c r="C53" s="1">
        <v>5</v>
      </c>
    </row>
    <row r="54" spans="1:4" x14ac:dyDescent="0.2">
      <c r="A54" s="1">
        <v>15</v>
      </c>
      <c r="C54" s="1">
        <v>10</v>
      </c>
    </row>
    <row r="56" spans="1:4" x14ac:dyDescent="0.2">
      <c r="A56" s="112" t="s">
        <v>291</v>
      </c>
    </row>
    <row r="57" spans="1:4" x14ac:dyDescent="0.2">
      <c r="A57" s="112" t="s">
        <v>679</v>
      </c>
    </row>
    <row r="58" spans="1:4" x14ac:dyDescent="0.2">
      <c r="A58" s="112" t="s">
        <v>680</v>
      </c>
    </row>
    <row r="60" spans="1:4" x14ac:dyDescent="0.2">
      <c r="A60" s="1" t="s">
        <v>292</v>
      </c>
      <c r="B60" s="1" t="s">
        <v>292</v>
      </c>
    </row>
    <row r="61" spans="1:4" x14ac:dyDescent="0.2">
      <c r="A61" s="1" t="s">
        <v>681</v>
      </c>
      <c r="B61" s="1" t="s">
        <v>682</v>
      </c>
    </row>
    <row r="62" spans="1:4" x14ac:dyDescent="0.2">
      <c r="B62" s="1" t="s">
        <v>681</v>
      </c>
    </row>
    <row r="64" spans="1:4" x14ac:dyDescent="0.2">
      <c r="A64" s="1" t="s">
        <v>293</v>
      </c>
    </row>
    <row r="65" spans="1:1" x14ac:dyDescent="0.2">
      <c r="A65" s="1" t="s">
        <v>640</v>
      </c>
    </row>
    <row r="66" spans="1:1" x14ac:dyDescent="0.2">
      <c r="A66" s="1" t="s">
        <v>683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1A9EAD-2B76-4DEA-8931-F31296843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EAC475-0E21-43B4-B0D0-FAFFF2804734}">
  <ds:schemaRefs>
    <ds:schemaRef ds:uri="http://purl.org/dc/dcmitype/"/>
    <ds:schemaRef ds:uri="http://schemas.microsoft.com/office/2006/documentManagement/types"/>
    <ds:schemaRef ds:uri="http://www.w3.org/XML/1998/namespace"/>
    <ds:schemaRef ds:uri="d37b1d50-af9c-447b-b1f1-aa01515899c9"/>
    <ds:schemaRef ds:uri="http://schemas.microsoft.com/office/infopath/2007/PartnerControls"/>
    <ds:schemaRef ds:uri="http://schemas.openxmlformats.org/package/2006/metadata/core-properties"/>
    <ds:schemaRef ds:uri="http://schemas.microsoft.com/office/2006/metadata/properties"/>
    <ds:schemaRef ds:uri="e65ea7b8-1bb6-4105-84f8-2ca17f785111"/>
    <ds:schemaRef ds:uri="http://purl.org/dc/terms/"/>
    <ds:schemaRef ds:uri="http://purl.org/dc/elements/1.1/"/>
  </ds:schemaRefs>
</ds:datastoreItem>
</file>

<file path=customXml/itemProps3.xml><?xml version="1.0" encoding="utf-8"?>
<ds:datastoreItem xmlns:ds="http://schemas.openxmlformats.org/officeDocument/2006/customXml" ds:itemID="{0D13EF7E-9579-4D7E-8F31-C5DA47C362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Osbaldo Cortes Lozano</cp:lastModifiedBy>
  <cp:revision/>
  <dcterms:created xsi:type="dcterms:W3CDTF">2020-03-24T23:12:47Z</dcterms:created>
  <dcterms:modified xsi:type="dcterms:W3CDTF">2023-09-26T02:17:08Z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2022-12-05T15:16:43Z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e0a644e1-c9d0-441b-9b84-b61393dfa946</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